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45782D47-15FF-4A7A-83A7-0C2583120725}"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<sst xmlns="http://schemas.openxmlformats.org/spreadsheetml/2006/main" count="2532" uniqueCount="1281">
  <si>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</si>
  <si>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</si>
  <si>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</si>
  <si>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</si>
  <si>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</si>
  <si>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</si>
  <si>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</si>
  <si>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</si>
  <si>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</si>
  <si>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</si>
  <si>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</si>
  <si>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</si>
  <si>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</si>
  <si>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</si>
  <si>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</si>
  <si>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</si>
  <si>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</si>
  <si>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</si>
  <si>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</si>
  <si>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</si>
  <si>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</si>
  <si>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</si>
  <si>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</si>
  <si>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</si>
  <si>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</si>
  <si>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</si>
  <si>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</si>
  <si>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</si>
  <si>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</si>
  <si>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</si>
  <si>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</si>
  <si>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</si>
  <si>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</si>
  <si>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</si>
  <si>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</si>
  <si>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</si>
  <si>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</si>
  <si>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</si>
  <si>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</si>
  <si>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</si>
  <si>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</si>
  <si>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</si>
  <si>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</si>
  <si>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</si>
  <si>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</si>
  <si>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</si>
  <si>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</si>
  <si>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</si>
  <si>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</si>
  <si>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</si>
  <si>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</si>
  <si>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</si>
  <si>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</si>
  <si>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</si>
  <si>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</si>
  <si>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</si>
  <si>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</si>
  <si>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</si>
  <si>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</si>
  <si>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</si>
  <si>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</si>
  <si>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</si>
  <si>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</si>
  <si>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</si>
  <si>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</si>
  <si>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</si>
  <si>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</si>
  <si>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</si>
  <si>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</si>
  <si>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</si>
  <si>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</si>
  <si>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</si>
  <si>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</si>
  <si>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</si>
  <si>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</si>
  <si>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</si>
  <si>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</si>
  <si>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</si>
  <si>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</si>
  <si>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</si>
  <si>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</si>
  <si>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</si>
  <si>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</si>
  <si>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</si>
  <si>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</si>
  <si>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</si>
  <si>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</si>
  <si>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</si>
  <si>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</si>
  <si>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</si>
  <si>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</si>
  <si>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</si>
  <si>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</si>
  <si>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</si>
  <si>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</si>
  <si>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</si>
  <si>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</si>
  <si>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</si>
  <si>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</si>
  <si>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</si>
  <si>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</si>
  <si>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</si>
  <si>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</si>
  <si>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</si>
  <si>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</si>
  <si>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</si>
  <si>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</si>
  <si>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</si>
  <si>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</si>
  <si>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</si>
  <si>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</si>
  <si>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</si>
  <si>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</si>
  <si>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</si>
  <si>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</si>
  <si>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</si>
  <si>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</si>
  <si>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</si>
  <si>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</si>
  <si>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</si>
  <si>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</si>
  <si>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</si>
  <si>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</si>
  <si>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</si>
  <si>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</si>
  <si>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</si>
  <si>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</si>
  <si>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</si>
  <si>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</si>
  <si>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</si>
  <si>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</si>
  <si>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</si>
  <si>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</si>
  <si>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</si>
  <si>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</si>
  <si>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</si>
  <si>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</si>
  <si>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</si>
  <si>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</si>
  <si>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</si>
  <si>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</si>
  <si>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</si>
  <si>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</si>
  <si>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</si>
  <si>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</si>
  <si>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</si>
  <si>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</si>
  <si>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</si>
  <si>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</si>
  <si>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</si>
  <si>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</si>
  <si>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</si>
  <si>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</si>
  <si>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</si>
  <si>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</si>
  <si>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</si>
  <si>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</si>
  <si>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</si>
  <si>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</si>
  <si>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</si>
  <si>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</si>
  <si>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</si>
  <si>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</si>
  <si>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</si>
  <si>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</si>
  <si>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</si>
  <si>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</si>
  <si>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</si>
  <si>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</si>
  <si>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</si>
  <si>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</si>
  <si>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</si>
  <si>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</si>
  <si>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</si>
  <si>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</si>
  <si>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</si>
  <si>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</si>
  <si>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</si>
  <si>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</si>
  <si>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</si>
  <si>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</si>
  <si>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</si>
  <si>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</si>
  <si>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</si>
  <si>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</si>
  <si>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</si>
  <si>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</si>
  <si>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</si>
  <si>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</si>
  <si>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</si>
  <si>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</si>
  <si>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</si>
  <si>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</si>
  <si>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</si>
  <si>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</si>
  <si>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</si>
  <si>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</si>
  <si>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</si>
  <si>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</si>
  <si>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</si>
  <si>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</si>
  <si>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</si>
  <si>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</si>
  <si>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</si>
  <si>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</si>
  <si>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</si>
  <si>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</si>
  <si>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</si>
  <si>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</si>
  <si>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</si>
  <si>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</si>
  <si>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</si>
  <si>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</si>
  <si>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</si>
  <si>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</si>
  <si>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</si>
  <si>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</si>
  <si>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</si>
  <si>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</si>
  <si>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</si>
  <si>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</si>
  <si>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</si>
  <si>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</si>
  <si>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</si>
  <si>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</si>
  <si>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</si>
  <si>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</si>
  <si>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</si>
  <si>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</si>
  <si>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</si>
  <si>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</si>
  <si>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</si>
  <si>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</si>
  <si>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</si>
  <si>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</si>
  <si>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</si>
  <si>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</si>
  <si>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</si>
  <si>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</si>
  <si>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</si>
  <si>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</si>
  <si>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</si>
  <si>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</si>
  <si>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</si>
  <si>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</si>
  <si>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</si>
  <si>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</si>
  <si>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</si>
  <si>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</si>
  <si>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</si>
  <si>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</si>
  <si>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</si>
  <si>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</si>
  <si>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</si>
  <si>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</si>
  <si>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</si>
  <si>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</si>
  <si>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</si>
  <si>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</si>
  <si>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</si>
  <si>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</si>
  <si>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</si>
  <si>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</si>
  <si>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</si>
  <si>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</si>
  <si>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</si>
  <si>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</si>
  <si>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</si>
  <si>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</si>
  <si>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</si>
  <si>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</si>
  <si>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</si>
  <si>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</si>
  <si>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</si>
  <si>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</si>
  <si>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</si>
  <si>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</si>
  <si>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</si>
  <si>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</si>
  <si>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</si>
  <si>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</si>
  <si>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</si>
  <si>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</si>
  <si>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</si>
  <si>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</si>
  <si>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</si>
  <si>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</si>
  <si>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</si>
  <si>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</si>
  <si>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</si>
  <si>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</si>
  <si>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</si>
  <si>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</si>
  <si>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</si>
  <si>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</si>
  <si>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</si>
  <si>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</si>
  <si>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</si>
  <si>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</si>
  <si>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</si>
  <si>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</si>
  <si>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</si>
  <si>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</si>
  <si>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</si>
  <si>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</si>
  <si>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</si>
  <si>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</si>
  <si>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</si>
  <si>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</si>
  <si>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</si>
  <si>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</si>
  <si>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</si>
  <si>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</si>
  <si>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</si>
  <si>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</si>
  <si>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</si>
  <si>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</si>
  <si>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</si>
  <si>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</si>
  <si>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</si>
  <si>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</si>
  <si>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</si>
  <si>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</si>
  <si>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</si>
  <si>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</si>
  <si>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</si>
  <si>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</si>
  <si>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</si>
  <si>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</si>
  <si>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</si>
  <si>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</si>
  <si>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</si>
  <si>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</si>
  <si>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</si>
  <si>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</si>
  <si>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</si>
  <si>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</si>
  <si>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</si>
  <si>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</si>
  <si>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</si>
  <si>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</si>
  <si>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</si>
  <si>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</si>
  <si>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</si>
  <si>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</si>
  <si>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</si>
  <si>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</si>
  <si>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</si>
  <si>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</si>
  <si>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</si>
  <si>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</si>
  <si>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</si>
  <si>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</si>
  <si>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</si>
  <si>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</si>
  <si>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</si>
  <si>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</si>
  <si>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</si>
  <si>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</si>
  <si>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</si>
  <si>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</si>
  <si>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</si>
  <si>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</si>
  <si>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</si>
  <si>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</si>
  <si>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</si>
  <si>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</si>
  <si>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</si>
  <si>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</si>
  <si>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</si>
  <si>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</si>
  <si>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</si>
  <si>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</si>
  <si>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</si>
  <si>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</si>
  <si>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</si>
  <si>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</si>
  <si>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</si>
  <si>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</si>
  <si>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</si>
  <si>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</si>
  <si>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</si>
  <si>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</si>
  <si>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</si>
  <si>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</si>
  <si>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</si>
  <si>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</si>
  <si>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</si>
  <si>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</si>
  <si>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</si>
  <si>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</si>
  <si>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</si>
  <si>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</si>
  <si>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</si>
  <si>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</si>
  <si>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</si>
  <si>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</si>
  <si>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</si>
  <si>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</si>
  <si>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</si>
  <si>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</si>
  <si>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</si>
  <si>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</si>
  <si>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</si>
  <si>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</si>
  <si>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</si>
  <si>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</si>
  <si>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</si>
  <si>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</si>
  <si>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</si>
  <si>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</si>
  <si>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</si>
  <si>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</si>
  <si>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</si>
  <si>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</si>
  <si>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</si>
  <si>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</si>
  <si>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</si>
  <si>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</si>
  <si>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</si>
  <si>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</si>
  <si>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</si>
  <si>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</si>
  <si>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</si>
  <si>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</si>
  <si>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</si>
  <si>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</si>
  <si>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</si>
  <si>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</si>
  <si>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</si>
  <si>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</si>
  <si>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</si>
  <si>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</si>
  <si>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</si>
  <si>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</si>
  <si>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</si>
  <si>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</si>
  <si>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</si>
  <si>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</si>
  <si>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</si>
  <si>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</si>
  <si>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</si>
  <si>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</si>
  <si>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</si>
  <si>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</si>
  <si>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</si>
  <si>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</si>
  <si>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</si>
  <si>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</si>
  <si>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</si>
  <si>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</si>
  <si>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</si>
  <si>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</si>
  <si>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</si>
  <si>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</si>
  <si>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</si>
  <si>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</si>
  <si>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</si>
  <si>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</si>
  <si>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</si>
  <si>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</si>
  <si>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</si>
  <si>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</si>
  <si>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</si>
  <si>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</si>
  <si>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</si>
  <si>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</si>
  <si>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</si>
  <si>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</si>
  <si>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</si>
  <si>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</si>
  <si>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</si>
  <si>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</si>
  <si>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</si>
  <si>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</si>
  <si>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</si>
  <si>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</si>
  <si>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</si>
  <si>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</si>
  <si>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</si>
  <si>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</si>
  <si>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</si>
  <si>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</si>
  <si>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</si>
  <si>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</si>
  <si>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</si>
  <si>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</si>
  <si>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</si>
  <si>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</si>
  <si>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</si>
  <si>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</si>
  <si>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</si>
  <si>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</si>
  <si>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</si>
  <si>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</si>
  <si>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</si>
  <si>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</si>
  <si>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</si>
  <si>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</si>
  <si>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</si>
  <si>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</si>
  <si>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</si>
  <si>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</si>
  <si>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</si>
  <si>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</si>
  <si>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</si>
  <si>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</si>
  <si>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</si>
  <si>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</si>
  <si>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</si>
  <si>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</si>
  <si>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</si>
  <si>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</si>
  <si>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</si>
  <si>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</si>
  <si>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</si>
  <si>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</si>
  <si>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</si>
  <si>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</si>
  <si>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</si>
  <si>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</si>
  <si>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</si>
  <si>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</si>
  <si>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</si>
  <si>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</si>
  <si>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</si>
  <si>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</si>
  <si>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</si>
  <si>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</si>
  <si>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</si>
  <si>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</si>
  <si>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</si>
  <si>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</si>
  <si>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</si>
  <si>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</si>
  <si>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</si>
  <si>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</si>
  <si>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</si>
  <si>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</si>
  <si>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</si>
  <si>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</si>
  <si>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</si>
  <si>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</si>
  <si>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</si>
  <si>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</si>
  <si>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</si>
  <si>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</si>
  <si>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</si>
  <si>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</si>
  <si>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</si>
  <si>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</si>
  <si>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</si>
  <si>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</si>
  <si>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</si>
  <si>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</si>
  <si>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</si>
  <si>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</si>
  <si>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</si>
  <si>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</si>
  <si>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</si>
  <si>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</si>
  <si>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</si>
  <si>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</si>
  <si>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</si>
  <si>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</si>
  <si>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</si>
  <si>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</si>
  <si>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</si>
  <si>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</si>
  <si>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</si>
  <si>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</si>
  <si>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</si>
  <si>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</si>
  <si>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</si>
  <si>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</si>
  <si>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</si>
  <si>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</si>
  <si>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</si>
  <si>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</si>
  <si>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</si>
  <si>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</si>
  <si>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</si>
  <si>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</si>
  <si>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</si>
  <si>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</si>
  <si>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</si>
  <si>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</si>
  <si>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</si>
  <si>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</si>
  <si>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</si>
  <si>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</si>
  <si>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</si>
  <si>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</si>
  <si>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</si>
  <si>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</si>
  <si>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</si>
  <si>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</si>
  <si>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</si>
  <si>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</si>
  <si>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</si>
  <si>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</si>
  <si>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</si>
  <si>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</si>
  <si>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</si>
  <si>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</si>
  <si>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</si>
  <si>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</si>
  <si>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</si>
  <si>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</si>
  <si>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</si>
  <si>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</si>
  <si>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</si>
  <si>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</si>
  <si>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</si>
  <si>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</si>
  <si>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</si>
  <si>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</si>
  <si>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</si>
  <si>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</si>
  <si>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</si>
  <si>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</si>
  <si>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</si>
  <si>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</si>
  <si>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</si>
  <si>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</si>
  <si>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</si>
  <si>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</si>
  <si>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</si>
  <si>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</si>
  <si>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</si>
  <si>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</si>
  <si>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</si>
  <si>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</si>
  <si>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</si>
  <si>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</si>
  <si>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</si>
  <si>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</si>
  <si>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</si>
  <si>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</si>
  <si>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</si>
  <si>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</si>
  <si>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</si>
  <si>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</si>
  <si>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</si>
  <si>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</si>
  <si>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</si>
  <si>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</si>
  <si>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</si>
  <si>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</si>
  <si>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</si>
  <si>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</si>
  <si>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</si>
  <si>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</si>
  <si>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</si>
  <si>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</si>
  <si>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</si>
  <si>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</si>
  <si>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</si>
  <si>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</si>
  <si>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</si>
  <si>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</si>
  <si>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</si>
  <si>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</si>
  <si>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</si>
  <si>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</si>
  <si>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</si>
  <si>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</si>
  <si>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</si>
  <si>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</si>
  <si>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</si>
  <si>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</si>
  <si>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</si>
  <si>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</si>
  <si>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</si>
  <si>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</si>
  <si>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</si>
  <si>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</si>
  <si>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</si>
  <si>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</si>
  <si>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</si>
  <si>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</si>
  <si>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</si>
  <si>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</si>
  <si>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</si>
  <si>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</si>
  <si>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</si>
  <si>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</si>
  <si>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</si>
  <si>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</si>
  <si>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</si>
  <si>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</si>
  <si>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</si>
  <si>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</si>
  <si>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</si>
  <si>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</si>
  <si>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</si>
  <si>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</si>
  <si>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</si>
  <si>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</si>
  <si>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</si>
  <si>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</si>
  <si>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</si>
  <si>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</si>
  <si>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</si>
  <si>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</si>
  <si>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</si>
  <si>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</si>
  <si>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</si>
  <si>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</si>
  <si>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</si>
  <si>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</si>
  <si>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</si>
  <si>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</si>
  <si>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</si>
  <si>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</si>
  <si>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</si>
  <si>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</si>
  <si>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</si>
  <si>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</si>
  <si>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</si>
  <si>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</si>
  <si>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</si>
  <si>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</si>
  <si>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</si>
  <si>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</si>
  <si>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</si>
  <si>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</si>
  <si>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</si>
  <si>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</si>
  <si>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</si>
  <si>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</si>
  <si>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</si>
  <si>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</si>
  <si>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</si>
  <si>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</si>
  <si>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</si>
  <si>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</si>
  <si>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</si>
  <si>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</si>
  <si>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</si>
  <si>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</si>
  <si>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</si>
  <si>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</si>
  <si>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</si>
  <si>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</si>
  <si>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</si>
  <si>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</si>
  <si>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</si>
  <si>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</si>
  <si>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</si>
  <si>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</si>
  <si>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</si>
  <si>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</si>
  <si>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</si>
  <si>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</si>
  <si>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</si>
  <si>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</si>
  <si>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</si>
  <si>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</si>
  <si>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</si>
  <si>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</si>
  <si>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</si>
  <si>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</si>
  <si>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</si>
  <si>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</si>
  <si>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</si>
  <si>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</si>
  <si>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</si>
  <si>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</si>
  <si>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</si>
  <si>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</si>
  <si>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</si>
  <si>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</si>
  <si>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</si>
  <si>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</si>
  <si>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</si>
  <si>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</si>
  <si>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</si>
  <si>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</si>
  <si>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</si>
  <si>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</si>
  <si>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</si>
  <si>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</si>
  <si>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</si>
  <si>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</si>
  <si>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</si>
  <si>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</si>
  <si>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</si>
  <si>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</si>
  <si>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</si>
  <si>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</si>
  <si>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</si>
  <si>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</si>
  <si>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</si>
  <si>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</si>
  <si>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</si>
  <si>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</si>
  <si>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</si>
  <si>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</si>
  <si>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</si>
  <si>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</si>
  <si>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</si>
  <si>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</si>
  <si>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</si>
  <si>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</si>
  <si>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</si>
  <si>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</si>
  <si>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</si>
  <si>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</si>
  <si>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</si>
  <si>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</si>
  <si>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</si>
  <si>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</si>
  <si>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</si>
  <si>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</si>
  <si>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</si>
  <si>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</si>
  <si>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</si>
  <si>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</si>
  <si>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</si>
  <si>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</si>
  <si>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</si>
  <si>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</si>
  <si>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</si>
  <si>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</si>
  <si>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</si>
  <si>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</si>
  <si>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</si>
  <si>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</si>
  <si>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</si>
  <si>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</si>
  <si>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</si>
  <si>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</si>
  <si>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</si>
  <si>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</si>
  <si>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</si>
  <si>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</si>
  <si>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</si>
  <si>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</si>
  <si>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</si>
  <si>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</si>
  <si>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</si>
  <si>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</si>
  <si>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</si>
  <si>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</si>
  <si>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</si>
  <si>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</si>
  <si>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</si>
  <si>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</si>
  <si>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</si>
  <si>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</si>
  <si>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</si>
  <si>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</si>
  <si>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</si>
  <si>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</si>
  <si>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</si>
  <si>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</si>
  <si>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</si>
  <si>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</si>
  <si>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</si>
  <si>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</si>
  <si>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</si>
  <si>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</si>
  <si>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</si>
  <si>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</si>
  <si>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</si>
  <si>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</si>
  <si>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</si>
  <si>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</si>
  <si>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</si>
  <si>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</si>
  <si>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</si>
  <si>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</si>
  <si>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</si>
  <si>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</si>
  <si>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</si>
  <si>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</si>
  <si>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</si>
  <si>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</si>
  <si>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</si>
  <si>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</si>
  <si>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</si>
  <si>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</si>
  <si>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</si>
  <si>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</si>
  <si>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</si>
  <si>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</si>
  <si>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</si>
  <si>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</si>
  <si>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</si>
  <si>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</si>
  <si>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</si>
  <si>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</si>
  <si>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</si>
  <si>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</si>
  <si>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</si>
  <si>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</si>
  <si>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</si>
  <si>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</si>
  <si>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</si>
  <si>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</si>
  <si>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</si>
  <si>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</si>
  <si>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</si>
  <si>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</si>
  <si>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</si>
  <si>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</si>
  <si>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</si>
  <si>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</si>
  <si>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</si>
  <si>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</si>
  <si>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</si>
  <si>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</si>
  <si>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</si>
  <si>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</si>
  <si>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</si>
  <si>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</si>
  <si>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</si>
  <si>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</si>
  <si>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</si>
  <si>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</si>
  <si>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</si>
  <si>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</si>
  <si>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</si>
  <si>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</si>
  <si>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</si>
  <si>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</si>
  <si>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</si>
  <si>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</si>
  <si>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</si>
  <si>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</si>
  <si>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</si>
  <si>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</si>
  <si>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</si>
  <si>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</si>
  <si>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</si>
  <si>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</si>
  <si>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</si>
  <si>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</si>
  <si>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</si>
  <si>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</si>
  <si>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</si>
  <si>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</si>
  <si>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</si>
  <si>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</si>
  <si>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</si>
  <si>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</si>
  <si>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</si>
  <si>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</si>
  <si>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</si>
  <si>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</si>
  <si>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</si>
  <si>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</si>
  <si>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</si>
  <si>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</si>
  <si>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</si>
  <si>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</si>
  <si>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</si>
  <si>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</si>
  <si>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</si>
  <si>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</si>
  <si>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</si>
  <si>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</si>
  <si>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</si>
  <si>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</si>
  <si>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</si>
  <si>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</si>
  <si>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</si>
  <si>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</si>
  <si>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</si>
  <si>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</si>
  <si>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</si>
  <si>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</si>
  <si>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</si>
  <si>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</si>
  <si>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</si>
  <si>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</si>
  <si>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</si>
  <si>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</si>
  <si>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</si>
  <si>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</si>
  <si>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</si>
  <si>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</si>
  <si>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</si>
  <si>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</si>
  <si>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</si>
  <si>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</si>
  <si>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</si>
  <si>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</si>
  <si>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</si>
  <si>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</si>
  <si>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</si>
  <si>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</si>
  <si>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</si>
  <si>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</si>
  <si>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</si>
  <si>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</si>
  <si>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</si>
  <si>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</si>
  <si>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</si>
  <si>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</si>
  <si>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</si>
  <si>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</si>
  <si>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</si>
  <si>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</si>
  <si>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</si>
  <si>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</si>
  <si>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</si>
  <si>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</si>
  <si>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</si>
  <si>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</si>
  <si>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</si>
  <si>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</si>
  <si>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</si>
  <si>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</si>
  <si>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</si>
  <si>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</si>
  <si>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</si>
  <si>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</si>
  <si>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</si>
  <si>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</si>
  <si>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</si>
  <si>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</si>
  <si>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</si>
  <si>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</si>
  <si>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</si>
  <si>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</si>
  <si>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</si>
  <si>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</si>
  <si>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</si>
  <si>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</si>
  <si>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</si>
  <si>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</si>
  <si>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</si>
  <si>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</si>
  <si>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</si>
  <si>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</si>
  <si>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</si>
  <si>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</si>
  <si>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</si>
  <si>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</si>
  <si>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</si>
  <si>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</si>
  <si>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</si>
  <si>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</si>
  <si>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</si>
  <si>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</si>
  <si>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</si>
  <si>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</si>
  <si>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</si>
  <si>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</si>
  <si>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</si>
  <si>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</si>
  <si>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</si>
  <si>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</si>
  <si>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</si>
  <si>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</si>
  <si>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</si>
  <si>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</si>
  <si>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</si>
  <si>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</si>
  <si>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</si>
  <si>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</si>
  <si>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</si>
  <si>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</si>
  <si>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</si>
  <si>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</si>
  <si>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</si>
  <si>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</si>
  <si>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</si>
  <si>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</si>
  <si>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</si>
  <si>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</si>
  <si>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</si>
  <si>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</si>
  <si>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</si>
  <si>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</si>
  <si>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</si>
  <si>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</si>
  <si>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</si>
  <si>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</si>
  <si>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</si>
  <si>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</si>
  <si>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</si>
  <si>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</si>
  <si>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</si>
  <si>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</si>
  <si>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</si>
  <si>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</si>
  <si>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</si>
  <si>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</si>
  <si>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</si>
  <si>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</si>
  <si>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</si>
  <si>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</si>
  <si>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</si>
  <si>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</si>
  <si>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</si>
  <si>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</si>
  <si>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</si>
  <si>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</si>
  <si>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</si>
  <si>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</si>
  <si>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</si>
  <si>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</si>
  <si>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</si>
  <si>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</si>
  <si>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</si>
  <si>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</si>
  <si>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</si>
  <si>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</si>
  <si>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</si>
  <si>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</si>
  <si>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</si>
  <si>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</si>
  <si>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</si>
  <si>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</si>
  <si>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</si>
  <si>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</si>
  <si>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</si>
  <si>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</si>
  <si>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</si>
  <si>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</si>
  <si>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</si>
  <si>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</si>
  <si>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</si>
  <si>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</si>
  <si>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</si>
  <si>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</si>
  <si>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</si>
  <si>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</si>
  <si>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</si>
  <si>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</si>
  <si>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</si>
  <si>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</si>
  <si>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</si>
  <si>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</si>
  <si>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</si>
  <si>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</si>
  <si>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</si>
  <si>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</si>
  <si>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</si>
  <si>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</si>
  <si>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</si>
  <si>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</si>
  <si>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</si>
  <si>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</si>
  <si>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</si>
  <si>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</si>
  <si>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</si>
  <si>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</si>
  <si>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</si>
  <si>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</si>
  <si>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</si>
  <si>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</si>
  <si>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</si>
  <si>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</si>
  <si>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</si>
  <si>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</si>
  <si>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</si>
  <si>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</si>
  <si>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</si>
  <si>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</si>
  <si>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</si>
  <si>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</si>
  <si>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</si>
  <si>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</si>
  <si>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</si>
  <si>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</si>
  <si>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</si>
  <si>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</si>
  <si>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</si>
  <si>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</si>
  <si>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</si>
  <si>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</si>
  <si>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</si>
  <si>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</si>
  <si>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</si>
  <si>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</si>
  <si>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</si>
  <si>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</si>
  <si>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</si>
  <si>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</si>
  <si>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</si>
  <si>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</si>
  <si>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</si>
  <si>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</si>
  <si>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</si>
  <si>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</si>
  <si>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</si>
  <si>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</si>
  <si>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</si>
  <si>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</si>
  <si>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</si>
  <si>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</si>
  <si>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</si>
  <si>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</si>
  <si>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</si>
  <si>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</si>
  <si>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</si>
  <si>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</si>
  <si>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</si>
  <si>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</si>
  <si>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</si>
  <si>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</si>
  <si>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</si>
  <si>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</si>
  <si>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</si>
  <si>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</si>
  <si>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</si>
  <si>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</si>
  <si>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</si>
  <si>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</si>
  <si>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</si>
  <si>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</si>
  <si>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</si>
  <si>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</si>
  <si>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</si>
  <si>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</si>
  <si>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</si>
  <si>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</si>
  <si>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</si>
  <si>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</si>
  <si>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</si>
  <si>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</si>
  <si>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</si>
  <si>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</si>
  <si>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</si>
  <si>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</si>
  <si>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</si>
  <si>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</si>
  <si>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</si>
  <si>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</si>
  <si>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</si>
  <si>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</si>
  <si>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</si>
  <si>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</si>
  <si>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</si>
  <si>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</si>
  <si>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</si>
  <si>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</si>
  <si>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</si>
  <si>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</si>
  <si>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</si>
  <si>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</si>
  <si>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</si>
  <si>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</si>
  <si>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</si>
  <si>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</si>
  <si>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</si>
  <si>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</si>
  <si>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</si>
  <si>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</si>
  <si>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</si>
  <si>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</si>
  <si>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</si>
  <si>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</si>
  <si>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</si>
  <si>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</si>
  <si>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</si>
  <si>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</si>
  <si>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</si>
  <si>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</si>
  <si>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</si>
  <si>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</si>
  <si>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</si>
  <si>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</si>
  <si>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</si>
  <si>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</si>
  <si>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</si>
  <si>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</si>
  <si>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</si>
  <si>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</si>
  <si>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</si>
  <si>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</si>
  <si>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</si>
  <si>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CCIP</t>
  </si>
  <si>
    <t>4190840</t>
  </si>
  <si>
    <t>VEOLIA - CCIP</t>
  </si>
  <si>
    <t>matthew.bloom@veolia.com</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</si>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</sst>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40.468532856859298</c:v>
                </c:pt>
                <c:pt idx="1">
                  <c:v>2.0024160337996988</c:v>
                </c:pt>
                <c:pt idx="2">
                  <c:v>207.83105533430333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9.4482628548739331</c:v>
                </c:pt>
                <c:pt idx="1">
                  <c:v>0.26113598867139654</c:v>
                </c:pt>
                <c:pt idx="2">
                  <c:v>22.932599740379239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33.101332075000009</c:v>
                </c:pt>
                <c:pt idx="1">
                  <c:v>0.92482240795754933</c:v>
                </c:pt>
                <c:pt idx="2">
                  <c:v>81.576646511736101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4.7537090315217476</c:v>
                </c:pt>
                <c:pt idx="1">
                  <c:v>0.56875750335916142</c:v>
                </c:pt>
                <c:pt idx="2">
                  <c:v>65.772221385014277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0.06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4.2999999999999997E-2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0.156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3.8954499999999996E-2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0.78124550000000137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$2,309/Yr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25.190999999999999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353.46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1282.3200000000002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320.20598999999999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328.00592317500059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1.3669328594261378</c:v>
                </c:pt>
                <c:pt idx="1">
                  <c:v>9.0856271993300333E-2</c:v>
                </c:pt>
                <c:pt idx="2">
                  <c:v>9.8992448677431035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31.020270001985363</c:v>
                </c:pt>
                <c:pt idx="1">
                  <c:v>1.8469276802355887</c:v>
                </c:pt>
                <c:pt idx="2">
                  <c:v>197.99876234722763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image" Target="../media/image10.emf"/><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1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1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1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2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2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22"/>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2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2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25"/>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26"/>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27"/>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28"/>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29"/>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30"/>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31"/>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32"/>
                  </a:ext>
                </a:extLst>
              </xdr:cNvPicPr>
            </xdr:nvPicPr>
            <xdr:blipFill rotWithShape="1">
              <a:blip xmlns:r="http://schemas.openxmlformats.org/officeDocument/2006/relationships" r:embed="rId2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33"/>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34"/>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35"/>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6" sqref="AB26:AL2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1278</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1279</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41" activePane="bottomLeft" state="frozen"/>
      <selection pane="bottomLeft" activeCell="AP63" sqref="AP63"/>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CCIP</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16.661000000000001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16.661000000000001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16.661000000000001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16.661000000000001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15.581799999999999</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15.581799999999999</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0.06</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0.06</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15.6418</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1.0192000000000014</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3.8954499999999996E-2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0.156</v>
      </c>
      <c r="I41" s="280"/>
      <c r="J41" s="270" t="str">
        <f>IF('Start Page'!$AB$22="million gallons (US)","MG/Yr",IF('Start Page'!$AB$22="Megalitres (thousand cubic metres)","ML/Yr",IF('Start Page'!$AB$22="acre-feet","Acre-ft/Yr","")))</f>
        <v>MG/Yr</v>
      </c>
      <c r="K41" s="270"/>
      <c r="L41" s="270"/>
      <c r="M41" s="270"/>
      <c r="N41" s="270"/>
      <c r="O41" s="530"/>
      <c r="P41" s="582" t="s">
        <v>790</v>
      </c>
      <c r="Q41" s="1013">
        <v>0.156</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4.2999999999999997E-2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4.2999999999999997E-2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0.23795450000000001</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0.156</v>
      </c>
      <c r="Y50" s="135">
        <f>IFERROR(IF(W41=1,((H25)/(1-(O41*X41)))-(H25),Q41*H25/(H23+H25)),0)</f>
        <v>0</v>
      </c>
      <c r="Z50" s="923">
        <f>SUM(X50:Y50)</f>
        <v>0.156</v>
      </c>
      <c r="AA50" s="1050"/>
      <c r="AB50" s="1050"/>
      <c r="AC50" s="1050"/>
    </row>
    <row r="51" spans="1:29">
      <c r="A51" s="91"/>
      <c r="B51" s="562"/>
      <c r="C51" s="1030" t="s">
        <v>664</v>
      </c>
      <c r="D51" s="1030"/>
      <c r="E51" s="1030"/>
      <c r="F51" s="1030"/>
      <c r="G51" s="869"/>
      <c r="H51" s="868">
        <f>IFERROR(H35-H46,"")</f>
        <v>0.78124550000000137</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1.0192000000000014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1.0792000000000015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3.16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69</v>
      </c>
      <c r="I62" s="291"/>
      <c r="J62" s="292"/>
      <c r="K62" s="101"/>
      <c r="L62" s="101"/>
      <c r="M62" s="292" t="s">
        <v>904</v>
      </c>
      <c r="N62" s="101"/>
      <c r="U62" s="256"/>
      <c r="V62" s="91"/>
    </row>
    <row r="63" spans="1:29">
      <c r="A63" s="91"/>
      <c r="B63" s="562"/>
      <c r="C63" s="529" t="s">
        <v>167</v>
      </c>
      <c r="D63" s="53"/>
      <c r="E63" s="512"/>
      <c r="F63" s="273"/>
      <c r="G63" s="53"/>
      <c r="H63" s="500">
        <f>IF(ISERROR(H62/H61),"",H62/H61)</f>
        <v>21.835443037974681</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A5" sqref="A5:D35"/>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CCIP</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CCIP</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result is above 90th %ile</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33.101332075000009</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33.101332075000009</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33.101332075000009</v>
      </c>
      <c r="AB18" s="1080"/>
      <c r="AC18" s="1080"/>
      <c r="AD18" s="871" t="str">
        <f>BD13</f>
        <v>$/conn/year</v>
      </c>
      <c r="AE18" s="872"/>
      <c r="AF18" s="873"/>
      <c r="AG18" s="873"/>
      <c r="AH18" s="874"/>
      <c r="AI18" s="874"/>
      <c r="AJ18" s="872"/>
      <c r="AK18" s="1080">
        <f>BS22</f>
        <v>28.347623043478261</v>
      </c>
      <c r="AL18" s="1080"/>
      <c r="AM18" s="1080"/>
      <c r="AN18" s="871" t="str">
        <f>BD13</f>
        <v>$/conn/year</v>
      </c>
      <c r="AO18" s="872"/>
      <c r="AP18" s="872"/>
      <c r="AQ18" s="872"/>
      <c r="AR18" s="872"/>
      <c r="AS18" s="872"/>
      <c r="AT18" s="872"/>
      <c r="AU18" s="1080">
        <f>BS29</f>
        <v>4.7537090315217476</v>
      </c>
      <c r="AV18" s="1080"/>
      <c r="AW18" s="1080"/>
      <c r="AX18" s="871" t="str">
        <f>BD13</f>
        <v>$/conn/year</v>
      </c>
      <c r="AY18" s="701"/>
      <c r="AZ18" s="247"/>
      <c r="BA18" s="247"/>
      <c r="BB18" s="342"/>
      <c r="BC18" s="109"/>
      <c r="BD18" s="58" t="s">
        <v>708</v>
      </c>
      <c r="BE18" s="234">
        <f>(((5.41*Worksheet!H61)+(0.15*Worksheet!H62)+(7.5*(Worksheet!H62*Worksheet!W67/5280)))*Worksheet!H68)/1000000*365</f>
        <v>0.57153172857954548</v>
      </c>
      <c r="BN18" s="659"/>
      <c r="BO18" s="716" t="s">
        <v>1041</v>
      </c>
      <c r="BP18" s="718">
        <f>BQ18-BQ17</f>
        <v>8.9525318444022357</v>
      </c>
      <c r="BQ18" s="900">
        <f t="shared" si="0"/>
        <v>18.283980813778896</v>
      </c>
      <c r="BR18" s="716" t="s">
        <v>781</v>
      </c>
      <c r="BS18" s="720">
        <f>SUM(BP16:BP20)-SUM(BS16,BS17)</f>
        <v>81.576646511736101</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1.7539641713924001</v>
      </c>
      <c r="BF19" s="233">
        <f>BE19*325851.427242/Worksheet!H62/365</f>
        <v>22.693338438735179</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3.9658983750000005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28.347623043478261</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24.233075430263664</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23.845346223379444</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40.468532856859298</v>
      </c>
      <c r="AB29" s="1084"/>
      <c r="AC29" s="1084"/>
      <c r="AD29" s="870" t="str">
        <f>BD10</f>
        <v>gal/conn/day</v>
      </c>
      <c r="AE29" s="870"/>
      <c r="AF29" s="875"/>
      <c r="AG29" s="875"/>
      <c r="AH29" s="700"/>
      <c r="AI29" s="700"/>
      <c r="AJ29" s="700"/>
      <c r="AK29" s="1084">
        <f>BS43</f>
        <v>9.4482628548739331</v>
      </c>
      <c r="AL29" s="1084"/>
      <c r="AM29" s="1084"/>
      <c r="AN29" s="871" t="str">
        <f>BD10</f>
        <v>gal/conn/day</v>
      </c>
      <c r="AO29" s="700"/>
      <c r="AP29" s="700"/>
      <c r="AQ29" s="700"/>
      <c r="AR29" s="700"/>
      <c r="AS29" s="700"/>
      <c r="AT29" s="700"/>
      <c r="AU29" s="1090">
        <f>BS55</f>
        <v>31.020270001985363</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4.7537090315217476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4.7537090315217476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65.772221385014277</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40.468532856859298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result is below 10th %ile</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40.468532856859298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207.83105533430333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1.3669328594261378</v>
      </c>
      <c r="AI41" s="1089"/>
      <c r="AJ41" s="1089"/>
      <c r="AK41" s="870" t="s">
        <v>1050</v>
      </c>
      <c r="AL41" s="799"/>
      <c r="AM41" s="800"/>
      <c r="AN41" s="796"/>
      <c r="AO41" s="796"/>
      <c r="AP41" s="796"/>
      <c r="AQ41" s="796"/>
      <c r="AR41" s="796"/>
      <c r="AS41" s="1088">
        <f>BS69</f>
        <v>677.34133865094623</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0.57153172857954548</v>
      </c>
      <c r="AL43" s="1086"/>
      <c r="AM43" s="1086"/>
      <c r="AN43" s="1086"/>
      <c r="AO43" s="916" t="str">
        <f>BD7</f>
        <v>MG/Yr</v>
      </c>
      <c r="AP43" s="700"/>
      <c r="AQ43" s="700"/>
      <c r="AR43" s="700"/>
      <c r="AS43" s="1086">
        <f>IF(BG19=1,BF19,IFERROR(AK43*1000000/Worksheet!H62/365,""))</f>
        <v>22.693338438735179</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9.4482628548739331</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9.4482628548739331</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22.932599740379239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0.23795450000000001</v>
      </c>
      <c r="J49" s="1095"/>
      <c r="K49" s="1095"/>
      <c r="L49" s="1095"/>
      <c r="M49" s="683"/>
      <c r="N49" s="1096">
        <f>IF(OR(ISBLANK('Start Page'!$AB$22),ISBLANK(Worksheet!J76)),"",(SUM(Worksheet!H43+Worksheet!H39+Worksheet!X50)*Worksheet!H76)*INDEX(Sheet1!B2:D4,MATCH('Start Page'!AB22,Sheet1!A2:A4,0),MATCH(Worksheet!J76,Sheet1!B1:D1,0))+Worksheet!Y50*Worksheet!H77)</f>
        <v>1955.9859900000001</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0.78124550000000137</v>
      </c>
      <c r="J50" s="1095"/>
      <c r="K50" s="1095"/>
      <c r="L50" s="1095"/>
      <c r="M50" s="683"/>
      <c r="N50" s="1096">
        <f>IFERROR(IF(Worksheet!H41="Select under/over","",IF(ISBLANK('Start Page'!AB22),"",Worksheet!H51*(IF(BD29=FALSE,Worksheet!H77,IF(BD29=TRUE,Worksheet!H76*INDEX(Sheet1!B2:D4,MATCH('Start Page'!AB22,Sheet1!A2:A4,0),MATCH(Worksheet!J76,Sheet1!B1:D1,0)),""))))),"")</f>
        <v>328.00592317500059</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0.06</v>
      </c>
      <c r="J51" s="1095"/>
      <c r="K51" s="1095"/>
      <c r="L51" s="1095"/>
      <c r="M51" s="683"/>
      <c r="N51" s="1096">
        <f>IFERROR(IF(SUM(Sheet1!D90:D91)=0,"",SUM(Sheet1!D90:D91)),"")</f>
        <v>25.190999999999999</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1.0792000000000015</v>
      </c>
      <c r="J52" s="1095"/>
      <c r="K52" s="1095"/>
      <c r="L52" s="1095"/>
      <c r="M52" s="683"/>
      <c r="N52" s="1096">
        <f>IF(SUM(N49:N51)=0,"",SUM(N49:N51))</f>
        <v>2309.1829131750005</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31.020270001985363</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31.020270001985363</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197.99876234722763</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1.3669328594261378</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1.3669328594261378</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9.8992448677431035</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677.34133865094623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49" sqref="G49:G51"/>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CCIP</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1"/>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t="s">
        <v>1280</v>
      </c>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 MG/Yr</v>
      </c>
    </row>
    <row r="79" spans="1:6" ht="16.5">
      <c r="B79" s="52"/>
      <c r="C79" s="52"/>
      <c r="D79" s="52"/>
      <c r="E79" s="9" t="str">
        <f>IFERROR("Total Cost of NRW = $"&amp;TEXT(SUM(D90,D91,D94,D95,D96,D98),"#,###")&amp;"/Yr","")</f>
        <v>Total Cost of NRW = $2,309/Yr</v>
      </c>
      <c r="F79" s="52"/>
    </row>
    <row r="80" spans="1:6">
      <c r="A80"/>
      <c r="B80"/>
      <c r="C80" s="53" t="str">
        <f>"Volume ("&amp;Worksheet!J15&amp;")"</f>
        <v>Volume (MG/Yr)</v>
      </c>
      <c r="D80" s="53" t="s">
        <v>149</v>
      </c>
      <c r="E80" s="94" t="s">
        <v>1087</v>
      </c>
      <c r="F80"/>
    </row>
    <row r="81" spans="1:6">
      <c r="A81" s="46" t="s">
        <v>129</v>
      </c>
      <c r="B81" s="46"/>
      <c r="C81" s="122">
        <f>IF(Dashboard!BO$2&gt;0,"",Worksheet!H15)</f>
        <v>16.661000000000001</v>
      </c>
      <c r="D81" s="123">
        <f>IF(Dashboard!BO$2&gt;0,"",C81*(Worksheet!$H$77))</f>
        <v>6995.1208500000012</v>
      </c>
      <c r="E81" s="605">
        <f>D81</f>
        <v>6995.1208500000012</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16.661000000000001</v>
      </c>
      <c r="D87" s="123">
        <f>IF(Dashboard!BO$2&gt;0,"",C87*(Worksheet!$H$77))</f>
        <v>6995.1208500000012</v>
      </c>
      <c r="E87" s="605">
        <f t="shared" si="0"/>
        <v>6995.1208500000012</v>
      </c>
      <c r="F87"/>
    </row>
    <row r="88" spans="1:6">
      <c r="A88" t="s">
        <v>55</v>
      </c>
      <c r="B88"/>
      <c r="C88" s="122">
        <f>IF(Dashboard!BO$2&gt;0,"",Worksheet!H23)</f>
        <v>15.581799999999999</v>
      </c>
      <c r="D88" s="123">
        <f>IF(Dashboard!BO$2&gt;0,"",C88*(Worksheet!$H$76*1000))</f>
        <v>128082.39599999999</v>
      </c>
      <c r="E88" s="605">
        <f t="shared" si="0"/>
        <v>128082.39599999999</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0.06</v>
      </c>
      <c r="D91" s="127">
        <f>IF(Dashboard!BO$2&gt;0,"",IF(ISBLANK('Start Page'!AB22),"",IF(AND(ISBLANK(Worksheet!H77),Worksheet!Z77&lt;&gt;1),"",Worksheet!H26*(IF(Dashboard!BD29=FALSE,Worksheet!H77,IF(Dashboard!BD29=TRUE,Worksheet!H76*INDEX(Sheet1!B2:D4,MATCH('Start Page'!AB22,Sheet1!A2:A4,0),MATCH(Worksheet!J76,Sheet1!B1:D1,0)),""))))))</f>
        <v>25.190999999999999</v>
      </c>
      <c r="E91" s="606">
        <f t="shared" si="0"/>
        <v>25.190999999999999</v>
      </c>
      <c r="F91"/>
    </row>
    <row r="92" spans="1:6">
      <c r="A92" s="158" t="s">
        <v>2</v>
      </c>
      <c r="B92" s="125" t="s">
        <v>241</v>
      </c>
      <c r="C92" s="122">
        <f>IF(Dashboard!BO$2&gt;0,"",Worksheet!H30)</f>
        <v>15.6418</v>
      </c>
      <c r="D92" s="123">
        <f>IF(Dashboard!BO$2&gt;0,"",C92*(Worksheet!$H$76*1000))</f>
        <v>128575.59600000001</v>
      </c>
      <c r="E92" s="605">
        <f t="shared" si="0"/>
        <v>128575.59600000001</v>
      </c>
      <c r="F92"/>
    </row>
    <row r="93" spans="1:6">
      <c r="A93" t="s">
        <v>51</v>
      </c>
      <c r="B93"/>
      <c r="C93" s="122">
        <f>IF(Dashboard!BO$2&gt;0,"",Worksheet!H35)</f>
        <v>1.0192000000000014</v>
      </c>
      <c r="D93" s="123"/>
      <c r="E93" s="605">
        <f t="shared" si="0"/>
        <v>0</v>
      </c>
      <c r="F93"/>
    </row>
    <row r="94" spans="1:6">
      <c r="A94" s="223" t="s">
        <v>680</v>
      </c>
      <c r="B94" s="46"/>
      <c r="C94" s="126">
        <f>IF(Dashboard!BO$2&gt;0,"",Worksheet!H43)</f>
        <v>4.2999999999999997E-2</v>
      </c>
      <c r="D94" s="127">
        <f>IF(Dashboard!BO$2&gt;0,"",IF(ISBLANK('Start Page'!AB22),"",IF(AND(ISBLANK(Worksheet!H77),Worksheet!Z77&lt;&gt;1),"",C94*Worksheet!H76*INDEX(Sheet1!B2:D4,MATCH('Start Page'!AB22,Sheet1!A2:A4,0),MATCH(Worksheet!J76,Sheet1!B1:D1,0)))))</f>
        <v>353.46</v>
      </c>
      <c r="E94" s="606">
        <f t="shared" si="0"/>
        <v>353.46</v>
      </c>
      <c r="F94" s="128"/>
    </row>
    <row r="95" spans="1:6">
      <c r="A95" s="223" t="s">
        <v>681</v>
      </c>
      <c r="B95" s="46"/>
      <c r="C95" s="126">
        <f>IF(Dashboard!BO$2&gt;0,"",Worksheet!H41)</f>
        <v>0.156</v>
      </c>
      <c r="D95" s="127">
        <f>IF(Dashboard!BO$2&gt;0,"",IF(ISBLANK('Start Page'!AB22),"",IF(AND(ISBLANK(Worksheet!H77),Worksheet!Z77&lt;&gt;1),"",C95*Worksheet!H76*INDEX(Sheet1!B2:D4,MATCH('Start Page'!AB22,Sheet1!A2:A4,0),MATCH(Worksheet!J76,Sheet1!B1:D1,0)))))</f>
        <v>1282.3200000000002</v>
      </c>
      <c r="E95" s="606">
        <f t="shared" si="0"/>
        <v>1282.3200000000002</v>
      </c>
      <c r="F95" s="128"/>
    </row>
    <row r="96" spans="1:6">
      <c r="A96" s="223" t="s">
        <v>682</v>
      </c>
      <c r="B96" s="46"/>
      <c r="C96" s="126">
        <f>IF(Dashboard!BO$2&gt;0,"",Worksheet!H39)</f>
        <v>3.8954499999999996E-2</v>
      </c>
      <c r="D96" s="127">
        <f>IF(Dashboard!BO$2&gt;0,"",IF(ISBLANK('Start Page'!AB22),"",IF(AND(ISBLANK(Worksheet!H77),Worksheet!Z77&lt;&gt;1),"",C96*Worksheet!H76*INDEX(Sheet1!B2:D4,MATCH('Start Page'!AB22,Sheet1!A2:A4,0),MATCH(Worksheet!J76,Sheet1!B1:D1,0)))))</f>
        <v>320.20598999999999</v>
      </c>
      <c r="E96" s="606">
        <f t="shared" si="0"/>
        <v>320.20598999999999</v>
      </c>
      <c r="F96" s="128"/>
    </row>
    <row r="97" spans="1:7">
      <c r="A97" t="s">
        <v>42</v>
      </c>
      <c r="B97"/>
      <c r="C97" s="122">
        <f>IF(Dashboard!BO$2&gt;0,"",Worksheet!H46)</f>
        <v>0.23795450000000001</v>
      </c>
      <c r="D97" s="123">
        <f>IF(Dashboard!BO$2&gt;0,"",SUM(D94:D96))</f>
        <v>1955.9859900000001</v>
      </c>
      <c r="E97" s="605">
        <f t="shared" si="0"/>
        <v>1955.9859900000001</v>
      </c>
      <c r="F97"/>
    </row>
    <row r="98" spans="1:7">
      <c r="A98" s="54" t="str">
        <f>"Real Losses valued at "&amp;A76&amp;""</f>
        <v xml:space="preserve">Real Losses valued at </v>
      </c>
      <c r="B98" s="46"/>
      <c r="C98" s="126">
        <f>IF(Dashboard!BO$2&gt;0,"",Worksheet!H51)</f>
        <v>0.78124550000000137</v>
      </c>
      <c r="D98" s="127">
        <f>IF(Dashboard!BO$2&gt;0,"",Dashboard!N50)</f>
        <v>328.00592317500059</v>
      </c>
      <c r="E98" s="606">
        <f t="shared" si="0"/>
        <v>328.00592317500059</v>
      </c>
      <c r="F98" s="605"/>
    </row>
    <row r="99" spans="1:7">
      <c r="A99" t="s">
        <v>74</v>
      </c>
      <c r="B99"/>
      <c r="C99" s="122">
        <f>IF(Dashboard!BO$2&gt;0,"",Worksheet!H57)</f>
        <v>1.0792000000000015</v>
      </c>
      <c r="D99" s="124">
        <f>IF(Dashboard!BO$2&gt;0,"",D97+D98+D90+D91)</f>
        <v>2309.1829131750005</v>
      </c>
      <c r="E99" s="605">
        <f t="shared" si="0"/>
        <v>2309.1829131750005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CCIP</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15.581799999999999</v>
      </c>
      <c r="H12" s="362"/>
      <c r="I12" s="5"/>
      <c r="K12" s="898"/>
    </row>
    <row r="13" spans="2:16" ht="22.5" customHeight="1">
      <c r="B13" s="1113"/>
      <c r="C13" s="363"/>
      <c r="D13" s="360"/>
      <c r="E13" s="1122"/>
      <c r="F13" s="365">
        <f>Worksheet!H23+Worksheet!H24</f>
        <v>15.581799999999999</v>
      </c>
      <c r="G13" s="366" t="s">
        <v>1092</v>
      </c>
      <c r="H13" s="367">
        <f>SUM(G12+G14)</f>
        <v>15.581799999999999</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15.6418</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16.661000000000001</v>
      </c>
      <c r="C17" s="378"/>
      <c r="D17" s="379"/>
      <c r="E17" s="250"/>
      <c r="F17" s="380">
        <f>Worksheet!H25+Worksheet!H26</f>
        <v>0.06</v>
      </c>
      <c r="G17" s="364" t="s">
        <v>1094</v>
      </c>
      <c r="H17" s="362"/>
      <c r="I17" s="5"/>
      <c r="K17" s="46"/>
      <c r="L17" s="121"/>
      <c r="M17" s="121"/>
      <c r="N17" s="121"/>
      <c r="O17" s="121"/>
      <c r="P17" s="121"/>
    </row>
    <row r="18" spans="2:16" ht="15.75" customHeight="1">
      <c r="B18" s="375"/>
      <c r="C18" s="1134" t="s">
        <v>765</v>
      </c>
      <c r="D18" s="360"/>
      <c r="E18" s="381"/>
      <c r="F18" s="370"/>
      <c r="G18" s="382">
        <f>Worksheet!H26</f>
        <v>0.06</v>
      </c>
      <c r="H18" s="362"/>
      <c r="I18" s="5"/>
      <c r="K18" s="46"/>
    </row>
    <row r="19" spans="2:16" ht="22.5" customHeight="1">
      <c r="B19" s="375"/>
      <c r="C19" s="1134"/>
      <c r="D19" s="383" t="s">
        <v>118</v>
      </c>
      <c r="E19" s="356"/>
      <c r="F19" s="384"/>
      <c r="G19" s="600" t="s">
        <v>697</v>
      </c>
      <c r="H19" s="385">
        <f>Worksheet!H25+Worksheet!H26+Worksheet!H46+Worksheet!H51</f>
        <v>1.0792000000000015</v>
      </c>
      <c r="I19" s="5"/>
      <c r="K19" s="46"/>
      <c r="L19" s="121"/>
      <c r="M19" s="121"/>
      <c r="N19" s="121"/>
      <c r="O19" s="121"/>
      <c r="P19" s="121"/>
    </row>
    <row r="20" spans="2:16" ht="15.75" customHeight="1">
      <c r="B20" s="375"/>
      <c r="C20" s="386">
        <f>B17+B27</f>
        <v>16.661000000000001</v>
      </c>
      <c r="D20" s="360"/>
      <c r="E20" s="250"/>
      <c r="F20" s="387" t="s">
        <v>52</v>
      </c>
      <c r="G20" s="376">
        <f>Worksheet!H39</f>
        <v>3.8954499999999996E-2</v>
      </c>
      <c r="H20" s="362"/>
      <c r="I20" s="5"/>
      <c r="K20" s="46"/>
    </row>
    <row r="21" spans="2:16" ht="14.25" customHeight="1">
      <c r="B21" s="388"/>
      <c r="C21" s="389"/>
      <c r="D21" s="386">
        <f>Worksheet!H19</f>
        <v>16.661000000000001</v>
      </c>
      <c r="E21" s="390"/>
      <c r="F21" s="380">
        <f>Worksheet!H46</f>
        <v>0.23795450000000001</v>
      </c>
      <c r="G21" s="364" t="s">
        <v>696</v>
      </c>
      <c r="H21" s="362"/>
      <c r="I21" s="5"/>
      <c r="K21" s="46"/>
      <c r="L21" s="121"/>
      <c r="M21" s="121"/>
      <c r="N21" s="121"/>
      <c r="O21" s="121"/>
      <c r="P21" s="121"/>
    </row>
    <row r="22" spans="2:16" ht="15.75" customHeight="1">
      <c r="B22" s="375"/>
      <c r="C22" s="359"/>
      <c r="D22" s="360"/>
      <c r="E22" s="250"/>
      <c r="F22" s="390"/>
      <c r="G22" s="391">
        <f>Worksheet!H41</f>
        <v>0.156</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4.2999999999999997E-2</v>
      </c>
      <c r="H24" s="362"/>
      <c r="I24" s="5"/>
      <c r="K24" s="46"/>
    </row>
    <row r="25" spans="2:16" ht="26.25" customHeight="1">
      <c r="B25" s="1112" t="s">
        <v>1089</v>
      </c>
      <c r="C25" s="363"/>
      <c r="D25" s="360"/>
      <c r="E25" s="393">
        <f>Worksheet!H53</f>
        <v>1.0192000000000014</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0.78124550000000137</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CCIP</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931AD8-7B93-47BC-B1A0-62A10F7D81BC}"/>
</file>

<file path=customXml/itemProps2.xml><?xml version="1.0" encoding="utf-8"?>
<ds:datastoreItem xmlns:ds="http://schemas.openxmlformats.org/officeDocument/2006/customXml" ds:itemID="{90D6EF31-FCB6-44C0-92E1-66E420FB322F}">
  <ds:schemaRefs>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metadata/properties"/>
    <ds:schemaRef ds:uri="http://schemas.microsoft.com/office/2006/documentManagement/types"/>
    <ds:schemaRef ds:uri="6b11e1cc-f8f4-4753-8eb9-82c6086f7ab0"/>
    <ds:schemaRef ds:uri="df5a1bbb-24dc-472d-b5b2-ad007ec20f6c"/>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