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1015A53C-45C1-4DAD-A304-B1AC25CC4FD5}"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56" i="53" s="1"/>
  <c r="BP73" i="53"/>
  <c r="BP25" i="53"/>
  <c r="AB33" i="53"/>
  <c r="BP34" i="53"/>
  <c r="BP18" i="53"/>
  <c r="BP32" i="53"/>
  <c r="BP26" i="53"/>
  <c r="BP27" i="53"/>
  <c r="BP19" i="53"/>
  <c r="BP33" i="53"/>
  <c r="BP20" i="53"/>
  <c r="BP48" i="53"/>
  <c r="BP46" i="53"/>
  <c r="BP40" i="53"/>
  <c r="BP47" i="53"/>
  <c r="BP39" i="53"/>
  <c r="BP41" i="53"/>
  <c r="D44" i="56"/>
  <c r="BP70" i="53" l="1"/>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<sst xmlns="http://schemas.openxmlformats.org/spreadsheetml/2006/main" count="2535" uniqueCount="1282">
  <si>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</si>
  <si>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</si>
  <si>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</si>
  <si>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</si>
  <si>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</si>
  <si>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</si>
  <si>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</si>
  <si>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</si>
  <si>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</si>
  <si>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</si>
  <si>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</si>
  <si>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</si>
  <si>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</si>
  <si>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</si>
  <si>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</si>
  <si>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</si>
  <si>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</si>
  <si>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</si>
  <si>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</si>
  <si>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</si>
  <si>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</si>
  <si>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</si>
  <si>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</si>
  <si>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</si>
  <si>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</si>
  <si>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</si>
  <si>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</si>
  <si>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</si>
  <si>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</si>
  <si>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</si>
  <si>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</si>
  <si>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</si>
  <si>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</si>
  <si>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</si>
  <si>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</si>
  <si>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</si>
  <si>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</si>
  <si>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</si>
  <si>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</si>
  <si>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</si>
  <si>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</si>
  <si>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</si>
  <si>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</si>
  <si>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</si>
  <si>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</si>
  <si>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</si>
  <si>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</si>
  <si>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</si>
  <si>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</si>
  <si>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</si>
  <si>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</si>
  <si>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</si>
  <si>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</si>
  <si>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</si>
  <si>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</si>
  <si>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</si>
  <si>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</si>
  <si>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</si>
  <si>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</si>
  <si>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</si>
  <si>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</si>
  <si>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</si>
  <si>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</si>
  <si>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</si>
  <si>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</si>
  <si>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</si>
  <si>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</si>
  <si>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</si>
  <si>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</si>
  <si>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</si>
  <si>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</si>
  <si>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</si>
  <si>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</si>
  <si>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</si>
  <si>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</si>
  <si>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</si>
  <si>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</si>
  <si>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</si>
  <si>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</si>
  <si>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</si>
  <si>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</si>
  <si>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</si>
  <si>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</si>
  <si>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</si>
  <si>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</si>
  <si>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</si>
  <si>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</si>
  <si>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</si>
  <si>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</si>
  <si>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</si>
  <si>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</si>
  <si>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</si>
  <si>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</si>
  <si>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</si>
  <si>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</si>
  <si>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</si>
  <si>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</si>
  <si>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</si>
  <si>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</si>
  <si>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</si>
  <si>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</si>
  <si>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</si>
  <si>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</si>
  <si>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</si>
  <si>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</si>
  <si>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</si>
  <si>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</si>
  <si>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</si>
  <si>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</si>
  <si>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</si>
  <si>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</si>
  <si>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</si>
  <si>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</si>
  <si>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</si>
  <si>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</si>
  <si>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</si>
  <si>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</si>
  <si>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</si>
  <si>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</si>
  <si>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</si>
  <si>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</si>
  <si>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</si>
  <si>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</si>
  <si>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</si>
  <si>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</si>
  <si>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</si>
  <si>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</si>
  <si>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</si>
  <si>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</si>
  <si>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</si>
  <si>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</si>
  <si>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</si>
  <si>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</si>
  <si>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</si>
  <si>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</si>
  <si>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</si>
  <si>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</si>
  <si>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</si>
  <si>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</si>
  <si>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</si>
  <si>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</si>
  <si>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</si>
  <si>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</si>
  <si>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</si>
  <si>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</si>
  <si>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</si>
  <si>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</si>
  <si>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</si>
  <si>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</si>
  <si>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</si>
  <si>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</si>
  <si>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</si>
  <si>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</si>
  <si>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</si>
  <si>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</si>
  <si>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</si>
  <si>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</si>
  <si>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</si>
  <si>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</si>
  <si>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</si>
  <si>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</si>
  <si>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</si>
  <si>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</si>
  <si>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</si>
  <si>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</si>
  <si>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</si>
  <si>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</si>
  <si>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</si>
  <si>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</si>
  <si>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</si>
  <si>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</si>
  <si>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</si>
  <si>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</si>
  <si>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</si>
  <si>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</si>
  <si>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</si>
  <si>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</si>
  <si>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</si>
  <si>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</si>
  <si>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</si>
  <si>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</si>
  <si>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</si>
  <si>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</si>
  <si>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</si>
  <si>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</si>
  <si>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</si>
  <si>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</si>
  <si>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</si>
  <si>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</si>
  <si>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</si>
  <si>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</si>
  <si>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</si>
  <si>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</si>
  <si>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</si>
  <si>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</si>
  <si>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</si>
  <si>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</si>
  <si>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</si>
  <si>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</si>
  <si>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</si>
  <si>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</si>
  <si>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</si>
  <si>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</si>
  <si>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</si>
  <si>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</si>
  <si>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</si>
  <si>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</si>
  <si>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</si>
  <si>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</si>
  <si>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</si>
  <si>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</si>
  <si>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</si>
  <si>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</si>
  <si>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</si>
  <si>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</si>
  <si>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</si>
  <si>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</si>
  <si>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</si>
  <si>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</si>
  <si>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</si>
  <si>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</si>
  <si>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</si>
  <si>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</si>
  <si>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</si>
  <si>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</si>
  <si>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</si>
  <si>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</si>
  <si>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</si>
  <si>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</si>
  <si>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</si>
  <si>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</si>
  <si>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</si>
  <si>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</si>
  <si>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</si>
  <si>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</si>
  <si>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</si>
  <si>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</si>
  <si>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</si>
  <si>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</si>
  <si>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</si>
  <si>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</si>
  <si>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</si>
  <si>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</si>
  <si>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</si>
  <si>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</si>
  <si>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</si>
  <si>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</si>
  <si>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</si>
  <si>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</si>
  <si>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</si>
  <si>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</si>
  <si>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</si>
  <si>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</si>
  <si>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</si>
  <si>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</si>
  <si>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</si>
  <si>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</si>
  <si>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</si>
  <si>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</si>
  <si>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</si>
  <si>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</si>
  <si>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</si>
  <si>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</si>
  <si>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</si>
  <si>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</si>
  <si>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</si>
  <si>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</si>
  <si>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</si>
  <si>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</si>
  <si>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</si>
  <si>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</si>
  <si>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</si>
  <si>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</si>
  <si>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</si>
  <si>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</si>
  <si>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</si>
  <si>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</si>
  <si>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</si>
  <si>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</si>
  <si>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</si>
  <si>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</si>
  <si>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</si>
  <si>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</si>
  <si>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</si>
  <si>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</si>
  <si>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</si>
  <si>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</si>
  <si>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</si>
  <si>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</si>
  <si>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</si>
  <si>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</si>
  <si>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</si>
  <si>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</si>
  <si>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</si>
  <si>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</si>
  <si>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</si>
  <si>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</si>
  <si>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</si>
  <si>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</si>
  <si>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</si>
  <si>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</si>
  <si>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</si>
  <si>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</si>
  <si>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</si>
  <si>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</si>
  <si>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</si>
  <si>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</si>
  <si>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</si>
  <si>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</si>
  <si>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</si>
  <si>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</si>
  <si>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</si>
  <si>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</si>
  <si>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</si>
  <si>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</si>
  <si>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</si>
  <si>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</si>
  <si>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</si>
  <si>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</si>
  <si>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</si>
  <si>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</si>
  <si>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</si>
  <si>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</si>
  <si>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</si>
  <si>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</si>
  <si>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</si>
  <si>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</si>
  <si>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</si>
  <si>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</si>
  <si>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</si>
  <si>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</si>
  <si>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</si>
  <si>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</si>
  <si>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</si>
  <si>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</si>
  <si>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</si>
  <si>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</si>
  <si>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</si>
  <si>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</si>
  <si>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</si>
  <si>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</si>
  <si>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</si>
  <si>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</si>
  <si>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</si>
  <si>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</si>
  <si>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</si>
  <si>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</si>
  <si>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</si>
  <si>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</si>
  <si>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</si>
  <si>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</si>
  <si>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</si>
  <si>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</si>
  <si>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</si>
  <si>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</si>
  <si>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</si>
  <si>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</si>
  <si>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</si>
  <si>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</si>
  <si>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</si>
  <si>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</si>
  <si>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</si>
  <si>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</si>
  <si>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</si>
  <si>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</si>
  <si>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</si>
  <si>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</si>
  <si>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</si>
  <si>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</si>
  <si>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</si>
  <si>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</si>
  <si>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</si>
  <si>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</si>
  <si>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</si>
  <si>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</si>
  <si>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</si>
  <si>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</si>
  <si>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</si>
  <si>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</si>
  <si>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</si>
  <si>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</si>
  <si>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</si>
  <si>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</si>
  <si>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</si>
  <si>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</si>
  <si>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</si>
  <si>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</si>
  <si>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</si>
  <si>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</si>
  <si>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</si>
  <si>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</si>
  <si>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</si>
  <si>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</si>
  <si>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</si>
  <si>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</si>
  <si>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</si>
  <si>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</si>
  <si>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</si>
  <si>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</si>
  <si>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</si>
  <si>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</si>
  <si>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</si>
  <si>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</si>
  <si>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</si>
  <si>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</si>
  <si>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</si>
  <si>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</si>
  <si>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</si>
  <si>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</si>
  <si>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</si>
  <si>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</si>
  <si>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</si>
  <si>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</si>
  <si>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</si>
  <si>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</si>
  <si>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</si>
  <si>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</si>
  <si>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</si>
  <si>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</si>
  <si>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</si>
  <si>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</si>
  <si>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</si>
  <si>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</si>
  <si>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</si>
  <si>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</si>
  <si>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</si>
  <si>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</si>
  <si>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</si>
  <si>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</si>
  <si>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</si>
  <si>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</si>
  <si>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</si>
  <si>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</si>
  <si>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</si>
  <si>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</si>
  <si>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</si>
  <si>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</si>
  <si>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</si>
  <si>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</si>
  <si>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</si>
  <si>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</si>
  <si>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</si>
  <si>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</si>
  <si>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</si>
  <si>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</si>
  <si>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</si>
  <si>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</si>
  <si>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</si>
  <si>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</si>
  <si>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</si>
  <si>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</si>
  <si>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</si>
  <si>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</si>
  <si>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</si>
  <si>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</si>
  <si>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</si>
  <si>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</si>
  <si>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</si>
  <si>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</si>
  <si>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</si>
  <si>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</si>
  <si>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</si>
  <si>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</si>
  <si>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</si>
  <si>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</si>
  <si>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</si>
  <si>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</si>
  <si>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</si>
  <si>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</si>
  <si>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</si>
  <si>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</si>
  <si>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</si>
  <si>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</si>
  <si>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</si>
  <si>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</si>
  <si>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</si>
  <si>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</si>
  <si>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</si>
  <si>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</si>
  <si>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</si>
  <si>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</si>
  <si>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</si>
  <si>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</si>
  <si>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</si>
  <si>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</si>
  <si>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</si>
  <si>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</si>
  <si>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</si>
  <si>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</si>
  <si>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</si>
  <si>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</si>
  <si>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</si>
  <si>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</si>
  <si>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</si>
  <si>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</si>
  <si>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</si>
  <si>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</si>
  <si>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</si>
  <si>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</si>
  <si>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</si>
  <si>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</si>
  <si>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</si>
  <si>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</si>
  <si>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</si>
  <si>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</si>
  <si>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</si>
  <si>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</si>
  <si>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</si>
  <si>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</si>
  <si>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</si>
  <si>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</si>
  <si>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</si>
  <si>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</si>
  <si>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</si>
  <si>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</si>
  <si>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</si>
  <si>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</si>
  <si>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</si>
  <si>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</si>
  <si>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</si>
  <si>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</si>
  <si>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</si>
  <si>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</si>
  <si>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</si>
  <si>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</si>
  <si>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</si>
  <si>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</si>
  <si>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</si>
  <si>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</si>
  <si>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</si>
  <si>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</si>
  <si>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</si>
  <si>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</si>
  <si>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</si>
  <si>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</si>
  <si>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</si>
  <si>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</si>
  <si>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</si>
  <si>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</si>
  <si>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</si>
  <si>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</si>
  <si>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</si>
  <si>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</si>
  <si>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</si>
  <si>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</si>
  <si>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</si>
  <si>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</si>
  <si>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</si>
  <si>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</si>
  <si>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</si>
  <si>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</si>
  <si>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</si>
  <si>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</si>
  <si>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</si>
  <si>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</si>
  <si>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</si>
  <si>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</si>
  <si>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</si>
  <si>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</si>
  <si>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</si>
  <si>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</si>
  <si>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</si>
  <si>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</si>
  <si>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</si>
  <si>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</si>
  <si>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</si>
  <si>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</si>
  <si>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</si>
  <si>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</si>
  <si>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</si>
  <si>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</si>
  <si>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</si>
  <si>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</si>
  <si>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</si>
  <si>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</si>
  <si>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</si>
  <si>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</si>
  <si>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</si>
  <si>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</si>
  <si>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</si>
  <si>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</si>
  <si>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</si>
  <si>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</si>
  <si>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</si>
  <si>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</si>
  <si>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</si>
  <si>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</si>
  <si>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</si>
  <si>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</si>
  <si>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</si>
  <si>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</si>
  <si>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</si>
  <si>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</si>
  <si>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</si>
  <si>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</si>
  <si>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</si>
  <si>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</si>
  <si>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</si>
  <si>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</si>
  <si>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</si>
  <si>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</si>
  <si>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</si>
  <si>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</si>
  <si>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</si>
  <si>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</si>
  <si>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</si>
  <si>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</si>
  <si>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</si>
  <si>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</si>
  <si>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</si>
  <si>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</si>
  <si>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</si>
  <si>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</si>
  <si>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</si>
  <si>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</si>
  <si>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</si>
  <si>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</si>
  <si>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</si>
  <si>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</si>
  <si>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</si>
  <si>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</si>
  <si>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</si>
  <si>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</si>
  <si>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</si>
  <si>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</si>
  <si>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</si>
  <si>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</si>
  <si>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</si>
  <si>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</si>
  <si>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</si>
  <si>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</si>
  <si>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</si>
  <si>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</si>
  <si>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</si>
  <si>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</si>
  <si>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</si>
  <si>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</si>
  <si>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</si>
  <si>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</si>
  <si>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</si>
  <si>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</si>
  <si>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</si>
  <si>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</si>
  <si>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</si>
  <si>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</si>
  <si>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</si>
  <si>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</si>
  <si>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</si>
  <si>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</si>
  <si>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</si>
  <si>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</si>
  <si>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</si>
  <si>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</si>
  <si>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</si>
  <si>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</si>
  <si>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</si>
  <si>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</si>
  <si>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</si>
  <si>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</si>
  <si>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</si>
  <si>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</si>
  <si>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</si>
  <si>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</si>
  <si>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</si>
  <si>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</si>
  <si>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</si>
  <si>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</si>
  <si>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</si>
  <si>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</si>
  <si>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</si>
  <si>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</si>
  <si>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</si>
  <si>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</si>
  <si>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</si>
  <si>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</si>
  <si>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</si>
  <si>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</si>
  <si>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</si>
  <si>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</si>
  <si>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</si>
  <si>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</si>
  <si>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</si>
  <si>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</si>
  <si>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</si>
  <si>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</si>
  <si>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</si>
  <si>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</si>
  <si>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</si>
  <si>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</si>
  <si>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</si>
  <si>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</si>
  <si>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</si>
  <si>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</si>
  <si>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</si>
  <si>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</si>
  <si>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</si>
  <si>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</si>
  <si>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</si>
  <si>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</si>
  <si>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</si>
  <si>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</si>
  <si>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</si>
  <si>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</si>
  <si>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</si>
  <si>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</si>
  <si>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</si>
  <si>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</si>
  <si>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</si>
  <si>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</si>
  <si>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</si>
  <si>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</si>
  <si>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</si>
  <si>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</si>
  <si>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</si>
  <si>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</si>
  <si>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</si>
  <si>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</si>
  <si>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</si>
  <si>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</si>
  <si>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</si>
  <si>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</si>
  <si>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</si>
  <si>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</si>
  <si>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</si>
  <si>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</si>
  <si>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</si>
  <si>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</si>
  <si>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</si>
  <si>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</si>
  <si>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</si>
  <si>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</si>
  <si>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</si>
  <si>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</si>
  <si>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</si>
  <si>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</si>
  <si>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</si>
  <si>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</si>
  <si>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</si>
  <si>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</si>
  <si>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</si>
  <si>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</si>
  <si>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</si>
  <si>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</si>
  <si>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</si>
  <si>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</si>
  <si>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</si>
  <si>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</si>
  <si>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</si>
  <si>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</si>
  <si>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</si>
  <si>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</si>
  <si>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</si>
  <si>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</si>
  <si>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</si>
  <si>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</si>
  <si>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</si>
  <si>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</si>
  <si>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</si>
  <si>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</si>
  <si>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</si>
  <si>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</si>
  <si>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</si>
  <si>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</si>
  <si>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</si>
  <si>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</si>
  <si>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</si>
  <si>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</si>
  <si>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</si>
  <si>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</si>
  <si>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</si>
  <si>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</si>
  <si>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</si>
  <si>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</si>
  <si>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</si>
  <si>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</si>
  <si>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</si>
  <si>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</si>
  <si>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</si>
  <si>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</si>
  <si>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</si>
  <si>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</si>
  <si>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</si>
  <si>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</si>
  <si>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</si>
  <si>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</si>
  <si>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</si>
  <si>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</si>
  <si>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</si>
  <si>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</si>
  <si>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</si>
  <si>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</si>
  <si>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</si>
  <si>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</si>
  <si>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</si>
  <si>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</si>
  <si>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</si>
  <si>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</si>
  <si>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</si>
  <si>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</si>
  <si>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</si>
  <si>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</si>
  <si>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</si>
  <si>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</si>
  <si>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</si>
  <si>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</si>
  <si>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</si>
  <si>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</si>
  <si>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</si>
  <si>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</si>
  <si>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</si>
  <si>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</si>
  <si>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</si>
  <si>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</si>
  <si>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</si>
  <si>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</si>
  <si>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</si>
  <si>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</si>
  <si>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</si>
  <si>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</si>
  <si>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</si>
  <si>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</si>
  <si>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</si>
  <si>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</si>
  <si>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</si>
  <si>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</si>
  <si>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</si>
  <si>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</si>
  <si>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</si>
  <si>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</si>
  <si>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</si>
  <si>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</si>
  <si>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</si>
  <si>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</si>
  <si>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</si>
  <si>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</si>
  <si>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</si>
  <si>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</si>
  <si>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</si>
  <si>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</si>
  <si>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</si>
  <si>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</si>
  <si>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</si>
  <si>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</si>
  <si>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</si>
  <si>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</si>
  <si>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</si>
  <si>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</si>
  <si>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</si>
  <si>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</si>
  <si>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</si>
  <si>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</si>
  <si>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</si>
  <si>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</si>
  <si>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</si>
  <si>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</si>
  <si>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</si>
  <si>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</si>
  <si>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</si>
  <si>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</si>
  <si>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</si>
  <si>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</si>
  <si>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</si>
  <si>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</si>
  <si>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</si>
  <si>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</si>
  <si>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</si>
  <si>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</si>
  <si>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</si>
  <si>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</si>
  <si>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</si>
  <si>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</si>
  <si>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</si>
  <si>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</si>
  <si>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</si>
  <si>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</si>
  <si>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</si>
  <si>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</si>
  <si>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</si>
  <si>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</si>
  <si>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</si>
  <si>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</si>
  <si>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</si>
  <si>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</si>
  <si>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</si>
  <si>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</si>
  <si>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</si>
  <si>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</si>
  <si>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</si>
  <si>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</si>
  <si>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</si>
  <si>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</si>
  <si>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</si>
  <si>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</si>
  <si>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</si>
  <si>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</si>
  <si>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</si>
  <si>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</si>
  <si>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</si>
  <si>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</si>
  <si>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</si>
  <si>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</si>
  <si>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</si>
  <si>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</si>
  <si>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</si>
  <si>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</si>
  <si>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</si>
  <si>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</si>
  <si>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</si>
  <si>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</si>
  <si>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</si>
  <si>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</si>
  <si>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</si>
  <si>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</si>
  <si>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</si>
  <si>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</si>
  <si>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</si>
  <si>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</si>
  <si>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</si>
  <si>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</si>
  <si>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</si>
  <si>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</si>
  <si>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</si>
  <si>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</si>
  <si>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</si>
  <si>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</si>
  <si>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</si>
  <si>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</si>
  <si>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</si>
  <si>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</si>
  <si>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</si>
  <si>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</si>
  <si>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</si>
  <si>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</si>
  <si>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</si>
  <si>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</si>
  <si>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</si>
  <si>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</si>
  <si>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</si>
  <si>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</si>
  <si>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</si>
  <si>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</si>
  <si>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</si>
  <si>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</si>
  <si>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</si>
  <si>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</si>
  <si>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</si>
  <si>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</si>
  <si>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</si>
  <si>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</si>
  <si>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</si>
  <si>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</si>
  <si>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</si>
  <si>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</si>
  <si>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</si>
  <si>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</si>
  <si>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</si>
  <si>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</si>
  <si>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</si>
  <si>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</si>
  <si>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</si>
  <si>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</si>
  <si>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</si>
  <si>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</si>
  <si>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</si>
  <si>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</si>
  <si>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</si>
  <si>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</si>
  <si>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</si>
  <si>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</si>
  <si>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</si>
  <si>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</si>
  <si>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</si>
  <si>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</si>
  <si>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</si>
  <si>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</si>
  <si>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</si>
  <si>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</si>
  <si>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</si>
  <si>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</si>
  <si>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</si>
  <si>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</si>
  <si>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</si>
  <si>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</si>
  <si>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</si>
  <si>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</si>
  <si>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</si>
  <si>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</si>
  <si>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</si>
  <si>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</si>
  <si>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</si>
  <si>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</si>
  <si>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</si>
  <si>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</si>
  <si>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</si>
  <si>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</si>
  <si>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</si>
  <si>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</si>
  <si>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</si>
  <si>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</si>
  <si>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</si>
  <si>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</si>
  <si>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</si>
  <si>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</si>
  <si>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</si>
  <si>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</si>
  <si>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</si>
  <si>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</si>
  <si>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</si>
  <si>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</si>
  <si>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</si>
  <si>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</si>
  <si>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</si>
  <si>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</si>
  <si>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</si>
  <si>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</si>
  <si>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</si>
  <si>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</si>
  <si>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</si>
  <si>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</si>
  <si>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</si>
  <si>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</si>
  <si>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</si>
  <si>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</si>
  <si>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</si>
  <si>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</si>
  <si>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</si>
  <si>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</si>
  <si>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</si>
  <si>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</si>
  <si>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</si>
  <si>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</si>
  <si>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</si>
  <si>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</si>
  <si>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</si>
  <si>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</si>
  <si>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</si>
  <si>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</si>
  <si>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</si>
  <si>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</si>
  <si>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</si>
  <si>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</si>
  <si>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</si>
  <si>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</si>
  <si>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</si>
  <si>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</si>
  <si>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</si>
  <si>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</si>
  <si>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</si>
  <si>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</si>
  <si>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</si>
  <si>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</si>
  <si>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</si>
  <si>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</si>
  <si>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</si>
  <si>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</si>
  <si>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</si>
  <si>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</si>
  <si>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</si>
  <si>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</si>
  <si>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</si>
  <si>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</si>
  <si>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</si>
  <si>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</si>
  <si>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</si>
  <si>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</si>
  <si>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</si>
  <si>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</si>
  <si>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</si>
  <si>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</si>
  <si>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</si>
  <si>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</si>
  <si>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</si>
  <si>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</si>
  <si>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</si>
  <si>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</si>
  <si>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</si>
  <si>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</si>
  <si>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</si>
  <si>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</si>
  <si>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</si>
  <si>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</si>
  <si>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</si>
  <si>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</si>
  <si>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</si>
  <si>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</si>
  <si>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</si>
  <si>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</si>
  <si>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</si>
  <si>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</si>
  <si>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</si>
  <si>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</si>
  <si>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</si>
  <si>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</si>
  <si>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</si>
  <si>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</si>
  <si>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</si>
  <si>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</si>
  <si>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</si>
  <si>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</si>
  <si>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</si>
  <si>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</si>
  <si>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</si>
  <si>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</si>
  <si>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</si>
  <si>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</si>
  <si>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</si>
  <si>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</si>
  <si>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</si>
  <si>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</si>
  <si>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</si>
  <si>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</si>
  <si>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</si>
  <si>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</si>
  <si>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</si>
  <si>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</si>
  <si>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</si>
  <si>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</si>
  <si>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</si>
  <si>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</si>
  <si>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</si>
  <si>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</si>
  <si>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</si>
  <si>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</si>
  <si>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</si>
  <si>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</si>
  <si>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</si>
  <si>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</si>
  <si>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</si>
  <si>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</si>
  <si>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</si>
  <si>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</si>
  <si>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</si>
  <si>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</si>
  <si>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</si>
  <si>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</si>
  <si>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</si>
  <si>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</si>
  <si>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</si>
  <si>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</si>
  <si>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</si>
  <si>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</si>
  <si>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</si>
  <si>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</si>
  <si>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</si>
  <si>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</si>
  <si>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</si>
  <si>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</si>
  <si>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</si>
  <si>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</si>
  <si>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</si>
  <si>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</si>
  <si>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</si>
  <si>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</si>
  <si>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</si>
  <si>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</si>
  <si>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</si>
  <si>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</si>
  <si>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</si>
  <si>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</si>
  <si>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</si>
  <si>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</si>
  <si>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</si>
  <si>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</si>
  <si>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</si>
  <si>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</si>
  <si>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</si>
  <si>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</si>
  <si>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</si>
  <si>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</si>
  <si>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</si>
  <si>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</si>
  <si>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</si>
  <si>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</si>
  <si>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</si>
  <si>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</si>
  <si>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</si>
  <si>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</si>
  <si>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</si>
  <si>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</si>
  <si>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</si>
  <si>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</si>
  <si>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</si>
  <si>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</si>
  <si>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</si>
  <si>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</si>
  <si>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</si>
  <si>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</si>
  <si>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</si>
  <si>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</si>
  <si>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</si>
  <si>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</si>
  <si>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</si>
  <si>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</si>
  <si>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</si>
  <si>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</si>
  <si>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</si>
  <si>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</si>
  <si>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</si>
  <si>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</si>
  <si>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</si>
  <si>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</si>
  <si>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</si>
  <si>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</si>
  <si>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</si>
  <si>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</si>
  <si>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</si>
  <si>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</si>
  <si>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</si>
  <si>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</si>
  <si>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</si>
  <si>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</si>
  <si>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</si>
  <si>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</si>
  <si>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</si>
  <si>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</si>
  <si>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</si>
  <si>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</si>
  <si>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</si>
  <si>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</si>
  <si>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</si>
  <si>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</si>
  <si>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</si>
  <si>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</si>
  <si>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</si>
  <si>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</si>
  <si>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</si>
  <si>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</si>
  <si>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</si>
  <si>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</si>
  <si>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</si>
  <si>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</si>
  <si>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</si>
  <si>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</si>
  <si>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</si>
  <si>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</si>
  <si>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</si>
  <si>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</si>
  <si>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</si>
  <si>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</si>
  <si>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</si>
  <si>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</si>
  <si>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</si>
  <si>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</si>
  <si>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</si>
  <si>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</si>
  <si>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</si>
  <si>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</si>
  <si>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</si>
  <si>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</si>
  <si>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</si>
  <si>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</si>
  <si>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</si>
  <si>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</si>
  <si>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</si>
  <si>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</si>
  <si>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</si>
  <si>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</si>
  <si>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</si>
  <si>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</si>
  <si>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</si>
  <si>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</si>
  <si>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</si>
  <si>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</si>
  <si>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</si>
  <si>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</si>
  <si>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</si>
  <si>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</si>
  <si>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</si>
  <si>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</si>
  <si>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</si>
  <si>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</si>
  <si>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</si>
  <si>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</si>
  <si>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</si>
  <si>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</si>
  <si>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</si>
  <si>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Grantham</t>
  </si>
  <si>
    <t>7210027</t>
  </si>
  <si>
    <t>VEOLIA - Grantham</t>
  </si>
  <si>
    <t>matthew.bloom@veolia.com</t>
  </si>
  <si>
    <t>Water was imported from the Mechanicsburg system. There is not a meter between systems so water was estimated on Grantham's daily consumption.</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</si>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</sst>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87.39677962028361</c:v>
                </c:pt>
                <c:pt idx="1">
                  <c:v>2.0024160337996988</c:v>
                </c:pt>
                <c:pt idx="2">
                  <c:v>160.90280857087902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4.8596262917567898</c:v>
                </c:pt>
                <c:pt idx="1">
                  <c:v>0.26113598867139654</c:v>
                </c:pt>
                <c:pt idx="2">
                  <c:v>27.52123630349638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27.228763459276319</c:v>
                </c:pt>
                <c:pt idx="1">
                  <c:v>0.92482240795754933</c:v>
                </c:pt>
                <c:pt idx="2">
                  <c:v>87.449215127459794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14.580336763157895</c:v>
                </c:pt>
                <c:pt idx="1">
                  <c:v>0.38772920688421864</c:v>
                </c:pt>
                <c:pt idx="2">
                  <c:v>33.498084890485217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12.648426696118426</c:v>
                </c:pt>
                <c:pt idx="1">
                  <c:v>0.56875750335916142</c:v>
                </c:pt>
                <c:pt idx="2">
                  <c:v>57.877503720417593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0.28199999999999997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0.20699999999999999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0.64300000000000002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0.16104525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17.171854750000005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$15,639/Yr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118.3977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1701.54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5285.4600000000009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1323.7919550000001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7209.6032167875028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3.8754408517315522</c:v>
                </c:pt>
                <c:pt idx="1">
                  <c:v>9.0856271993300333E-2</c:v>
                </c:pt>
                <c:pt idx="2">
                  <c:v>7.3907368754376899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82.537153328526813</c:v>
                </c:pt>
                <c:pt idx="1">
                  <c:v>1.8469276802355887</c:v>
                </c:pt>
                <c:pt idx="2">
                  <c:v>146.48187902068616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4536.7577046538363</c:v>
                </c:pt>
                <c:pt idx="1">
                  <c:v>97.186039594358903</c:v>
                </c:pt>
                <c:pt idx="2" formatCode="_(* #,##0_);_(* \(#,##0\);_(* &quot;-&quot;??_);_(@_)">
                  <c:v>7514.3112050466671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10.emf"/><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VOSEA"/><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93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93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93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93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935"/>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936"/>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937"/>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938"/>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939"/>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940"/>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941"/>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942"/>
                  </a:ext>
                </a:extLst>
              </xdr:cNvPicPr>
            </xdr:nvPicPr>
            <xdr:blipFill rotWithShape="1">
              <a:blip xmlns:r="http://schemas.openxmlformats.org/officeDocument/2006/relationships" r:embed="rId5"/>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943"/>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944"/>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945"/>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946"/>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947"/>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948"/>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949"/>
                  </a:ext>
                </a:extLst>
              </xdr:cNvPicPr>
            </xdr:nvPicPr>
            <xdr:blipFill rotWithShape="1">
              <a:blip xmlns:r="http://schemas.openxmlformats.org/officeDocument/2006/relationships" r:embed="rId1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1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E11" sqref="BE1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1278</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1272</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1279</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1273</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1274</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v>44957</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2022</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2022</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44562</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44926</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1277</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1275</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1275</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B1" zoomScale="80" zoomScaleNormal="80" workbookViewId="0">
      <pane ySplit="9" topLeftCell="A10" activePane="bottomLeft" state="frozen"/>
      <selection pane="bottomLeft" activeCell="AS37" sqref="AS37"/>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Grantham</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2022</v>
      </c>
      <c r="E5" s="1053"/>
      <c r="F5" s="1053"/>
      <c r="G5" s="1054"/>
      <c r="H5" s="1046" t="str">
        <f>IF(ISBLANK('Start Page'!AB20),"",TEXT('Start Page'!AB20,"mmm dd yyyy")&amp;" - "&amp;TEXT('Start Page'!AB21,"mmm dd yyyy"))</f>
        <v>Jan 01 2022 - Dec 31 2022</v>
      </c>
      <c r="I5" s="1047"/>
      <c r="J5" s="1048"/>
      <c r="K5" s="1050">
        <f>IF(ISBLANK('Start Page'!AB19),"",'Start Page'!AB19)</f>
        <v>2022</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82.66</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34.905831111325604</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82.66</v>
      </c>
    </row>
    <row r="16" spans="1:33">
      <c r="A16" s="91"/>
      <c r="B16" s="562" t="s">
        <v>910</v>
      </c>
      <c r="C16" s="529" t="s">
        <v>40</v>
      </c>
      <c r="D16" s="841" t="s">
        <v>883</v>
      </c>
      <c r="E16" s="577" t="s">
        <v>884</v>
      </c>
      <c r="F16" s="492">
        <f>'Interactive Data Grading'!D74</f>
        <v>1</v>
      </c>
      <c r="G16" s="94"/>
      <c r="H16" s="532">
        <v>0.223</v>
      </c>
      <c r="I16" s="269"/>
      <c r="J16" s="270" t="str">
        <f>IF('Start Page'!$AB$22="million gallons (US)","MG/Yr",IF('Start Page'!$AB$22="Megalitres (thousand cubic metres)","ML/Yr",IF('Start Page'!$AB$22="acre-feet","Acre-ft/Yr","")))</f>
        <v>MG/Yr</v>
      </c>
      <c r="K16" s="844" t="s">
        <v>883</v>
      </c>
      <c r="L16" s="607" t="s">
        <v>884</v>
      </c>
      <c r="M16" s="492" t="str">
        <f>'Interactive Data Grading'!D96</f>
        <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9.4168888674396448E-2</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0.223</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82.882999999999996</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82.882999999999996</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64.418099999999995</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64.418099999999995</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0.28199999999999997</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0.28199999999999997</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64.700099999999992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18.182900000000004</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0.16104525</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0.64300000000000002</v>
      </c>
      <c r="I41" s="280"/>
      <c r="J41" s="270" t="str">
        <f>IF('Start Page'!$AB$22="million gallons (US)","MG/Yr",IF('Start Page'!$AB$22="Megalitres (thousand cubic metres)","ML/Yr",IF('Start Page'!$AB$22="acre-feet","Acre-ft/Yr","")))</f>
        <v>MG/Yr</v>
      </c>
      <c r="K41" s="270"/>
      <c r="L41" s="270"/>
      <c r="M41" s="270"/>
      <c r="N41" s="270"/>
      <c r="O41" s="530"/>
      <c r="P41" s="582" t="s">
        <v>790</v>
      </c>
      <c r="Q41" s="1013">
        <v>0.64300000000000002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0.20699999999999999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0.20699999999999999</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1.01104525</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0.64300000000000002</v>
      </c>
      <c r="Y50" s="135">
        <f>IFERROR(IF(W41=1,((H25)/(1-(O41*X41)))-(H25),Q41*H25/(H23+H25)),0)</f>
        <v>0</v>
      </c>
      <c r="Z50" s="923">
        <f>SUM(X50:Y50)</f>
        <v>0.64300000000000002</v>
      </c>
      <c r="AA50" s="1011"/>
      <c r="AB50" s="1011"/>
      <c r="AC50" s="1011"/>
    </row>
    <row r="51" spans="1:29">
      <c r="A51" s="91"/>
      <c r="B51" s="562"/>
      <c r="C51" s="1017" t="s">
        <v>664</v>
      </c>
      <c r="D51" s="1017"/>
      <c r="E51" s="1017"/>
      <c r="F51" s="1017"/>
      <c r="G51" s="869"/>
      <c r="H51" s="868">
        <f>IFERROR(H35-H46,"")</f>
        <v>17.171854750000005</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18.182900000000004</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18.464900000000004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10.37</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570</v>
      </c>
      <c r="I62" s="291"/>
      <c r="J62" s="292"/>
      <c r="K62" s="101"/>
      <c r="L62" s="101"/>
      <c r="M62" s="292" t="s">
        <v>904</v>
      </c>
      <c r="N62" s="101"/>
      <c r="U62" s="256"/>
      <c r="V62" s="91"/>
    </row>
    <row r="63" spans="1:29">
      <c r="A63" s="91"/>
      <c r="B63" s="562"/>
      <c r="C63" s="529" t="s">
        <v>167</v>
      </c>
      <c r="D63" s="53"/>
      <c r="E63" s="512"/>
      <c r="F63" s="273"/>
      <c r="G63" s="53"/>
      <c r="H63" s="500">
        <f>IF(ISERROR(H62/H61),"",H62/H61)</f>
        <v>54.966248794599814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60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18126065</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12" activePane="bottomLeft" state="frozen"/>
      <selection activeCell="B15" sqref="B15:F17"/>
      <selection pane="bottomLeft" activeCell="D115" sqref="D115"/>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Grantham</v>
      </c>
      <c r="C1" s="611"/>
      <c r="D1" s="612"/>
      <c r="E1" s="892" t="s">
        <v>1159</v>
      </c>
    </row>
    <row r="2" spans="1:20" ht="30.6" customHeight="1">
      <c r="A2" s="468"/>
      <c r="B2" s="891">
        <f>IF(ISBLANK('Start Page'!AB18),"",'Start Page'!AB18)</f>
        <v>2022</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0</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0</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267</v>
      </c>
      <c r="E63" s="753" t="str">
        <f>IF(OR(D74=10,NOT(ISNUMBER(D74))),"",IF(I63=I74,"Limiting",IF(VLOOKUP(D63,$P$7:$Q$15,2,FALSE)=0,"Limiting","")))</f>
        <v>Limiting</v>
      </c>
      <c r="F63" s="327"/>
      <c r="G63" s="810">
        <f>IF(LEN(D63)&gt;0,1,0)</f>
        <v>1</v>
      </c>
      <c r="H63" s="818">
        <f>VLOOKUP('Interactive Data Grading'!D63,WI!$C$6:$M$16,11,FALSE)</f>
        <v>1</v>
      </c>
      <c r="I63" s="818">
        <f>H63</f>
        <v>1</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f>IFERROR(IF(H63&lt;7,1,IF(LEN(D65)&gt;0,1,0)),"")</f>
        <v>1</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f>IFERROR(IF(H63&lt;7,1,IF(OR(D65=WI!D23,D65=WI!D27),1,IF(LEN(D66)&gt;0,1,0))),"")</f>
        <v>1</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f>IFERROR(IF(H63&lt;7,1,IF(OR(D65=WI!D23,D65=WI!D27),1,IF(LEN(D67)&gt;0,1,0))),"")</f>
        <v>1</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f>IFERROR(IF(H63&lt;7,1,IF(LEN(D68)&gt;0,1,0)),"")</f>
        <v>1</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f>IFERROR(IF(H63&lt;7,1,IF(AND(OR(D65=WI!D23,D65=WI!D27),D68=WI!G23),1,IF(LEN(D71)&gt;0,1,0))),"")</f>
        <v>1</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f>IFERROR(IF(H63&lt;7,1,IF(LEN(D72)&gt;0,1,0)),"")</f>
        <v>1</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f>IFERROR(IF(H63&lt;7,1,IF(LEN(D73)&gt;0,1,0)),"")</f>
        <v>1</v>
      </c>
      <c r="H73" s="818" t="e">
        <f>VLOOKUP('Interactive Data Grading'!D73,WI!$L$6:$M$16,2,FALSE)</f>
        <v>#N/A</v>
      </c>
      <c r="I73" s="818" t="e">
        <f>H73</f>
        <v>#N/A</v>
      </c>
    </row>
    <row r="74" spans="1:18" ht="27.6" customHeight="1">
      <c r="A74" s="215"/>
      <c r="B74" s="215"/>
      <c r="C74" s="328" t="s">
        <v>315</v>
      </c>
      <c r="D74" s="756">
        <f>IF(D62="","",IF(D62="No","n/a",IF(G74=0,"",IF(R8=0,H63,I74))))</f>
        <v>1</v>
      </c>
      <c r="E74" s="753"/>
      <c r="F74" s="327"/>
      <c r="G74" s="810">
        <f>MIN(G63:G73)</f>
        <v>1</v>
      </c>
      <c r="H74" s="821" t="e">
        <f>MIN(H63:H73)</f>
        <v>#N/A</v>
      </c>
      <c r="I74" s="821">
        <f t="array" ref="I74">MIN(IF(ISNUMBER(I63:I73),I63:I73))</f>
        <v>1</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t="s">
        <v>267</v>
      </c>
      <c r="E116" s="753" t="str">
        <f>IF(OR(D127=10,NOT(ISNUMBER(D127))),"",IF(I116=I127,"Limiting",IF(VLOOKUP(D116,$P$7:$Q$15,2,FALSE)=0,"Limiting","")))</f>
        <v/>
      </c>
      <c r="F116" s="327"/>
      <c r="G116" s="810">
        <f>IF(LEN(D116)&gt;0,1,0)</f>
        <v>1</v>
      </c>
      <c r="H116" s="818">
        <f>VLOOKUP('Interactive Data Grading'!D116,WE!$C$6:$M$16,11,FALSE)</f>
        <v>1</v>
      </c>
      <c r="I116" s="818">
        <f>H116</f>
        <v>1</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f>IFERROR(IF(H116&lt;7,1,IF(LEN(D118)&gt;0,1,0)),"")</f>
        <v>1</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f>IFERROR(IF(H116&lt;7,1,IF(OR(D118=WE!D23,D118=WE!D27),1,IF(LEN(D119)&gt;0,1,0))),"")</f>
        <v>1</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f>IFERROR(IF(H116&lt;7,1,IF(OR(D118=WE!D23,D118=WE!D27),1,IF(LEN(D120)&gt;0,1,0))),"")</f>
        <v>1</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f>IFERROR(IF(H116&lt;7,1,IF(LEN(D121)&gt;0,1,0)),"")</f>
        <v>1</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f>IFERROR(IF(H116&lt;7,1,IF(D121=WE!G23,1,IF(LEN(D122)&gt;0,1,0))),"")</f>
        <v>1</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f>IFERROR(IF(H116&lt;7,1,IF(OR(D121=WE!G23,D122=WE!H23),1,IF(LEN(D123)&gt;0,1,0))),"")</f>
        <v>1</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f>IFERROR(IF(H116&lt;7,1,IF(AND(OR(D118=WE!D23,D118=WE!D27),D121=WE!G23),1,IF(LEN(D124)&gt;0,1,0))),"")</f>
        <v>1</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f>IFERROR(IF(H116&lt;7,1,IF(LEN(D125)&gt;0,1,0)),"")</f>
        <v>1</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f>IFERROR(IF(H116&lt;7,1,IF(LEN(D126)&gt;0,1,0)),"")</f>
        <v>1</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1</v>
      </c>
      <c r="H127" s="821" t="e">
        <f>MIN(H116:H126)</f>
        <v>#N/A</v>
      </c>
      <c r="I127" s="821">
        <f t="array" ref="I127">MIN(IF(ISNUMBER(I116:I126),I116:I126))</f>
        <v>1</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Grantham</v>
      </c>
      <c r="Q3" s="676"/>
      <c r="R3" s="676"/>
      <c r="S3" s="676"/>
      <c r="T3" s="676"/>
      <c r="U3" s="676"/>
      <c r="V3" s="676"/>
      <c r="W3" s="676"/>
      <c r="X3" s="676"/>
      <c r="Y3" s="676"/>
      <c r="Z3" s="676"/>
      <c r="AA3" s="676"/>
      <c r="AB3" s="676"/>
      <c r="AC3" s="673"/>
      <c r="AD3" s="674"/>
      <c r="AE3" s="675"/>
      <c r="AF3" s="672" t="s">
        <v>716</v>
      </c>
      <c r="AG3" s="1087">
        <f>IF(ISBLANK('Start Page'!AB18),"",'Start Page'!AB18)</f>
        <v>2022</v>
      </c>
      <c r="AH3" s="1087"/>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27.228763459276319</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27.228763459276319</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27.228763459276319</v>
      </c>
      <c r="AB18" s="1082"/>
      <c r="AC18" s="1082"/>
      <c r="AD18" s="871" t="str">
        <f>BD13</f>
        <v>$/conn/year</v>
      </c>
      <c r="AE18" s="872"/>
      <c r="AF18" s="873"/>
      <c r="AG18" s="873"/>
      <c r="AH18" s="874"/>
      <c r="AI18" s="874"/>
      <c r="AJ18" s="872"/>
      <c r="AK18" s="1082">
        <f>BS22</f>
        <v>14.580336763157895</v>
      </c>
      <c r="AL18" s="1082"/>
      <c r="AM18" s="1082"/>
      <c r="AN18" s="871" t="str">
        <f>BD13</f>
        <v>$/conn/year</v>
      </c>
      <c r="AO18" s="872"/>
      <c r="AP18" s="872"/>
      <c r="AQ18" s="872"/>
      <c r="AR18" s="872"/>
      <c r="AS18" s="872"/>
      <c r="AT18" s="872"/>
      <c r="AU18" s="1082">
        <f>BS29</f>
        <v>12.648426696118426</v>
      </c>
      <c r="AV18" s="1082"/>
      <c r="AW18" s="1082"/>
      <c r="AX18" s="871" t="str">
        <f>BD13</f>
        <v>$/conn/year</v>
      </c>
      <c r="AY18" s="701"/>
      <c r="AZ18" s="247"/>
      <c r="BA18" s="247"/>
      <c r="BB18" s="342"/>
      <c r="BC18" s="109"/>
      <c r="BD18" s="58" t="s">
        <v>708</v>
      </c>
      <c r="BE18" s="234">
        <f>(((5.41*Worksheet!H61)+(0.15*Worksheet!H62)+(7.5*(Worksheet!H62*Worksheet!W67/5280)))*Worksheet!H68)/1000000*365</f>
        <v>4.4309422868181816</v>
      </c>
      <c r="BN18" s="659"/>
      <c r="BO18" s="716" t="s">
        <v>1041</v>
      </c>
      <c r="BP18" s="718">
        <f>BQ18-BQ17</f>
        <v>8.9525318444022357</v>
      </c>
      <c r="BQ18" s="900">
        <f t="shared" si="0"/>
        <v>18.283980813778896</v>
      </c>
      <c r="BR18" s="716" t="s">
        <v>781</v>
      </c>
      <c r="BS18" s="720">
        <f>SUM(BP16:BP20)-SUM(BS16,BS17)</f>
        <v>87.449215127459794</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13.598044741806376</v>
      </c>
      <c r="BF19" s="233">
        <f>BE19*325851.427242/Worksheet!H62/365</f>
        <v>21.297487559808609</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37.479878999999997</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14.580336763157895</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14.580336763157895</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33.498084890485217</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87.39677962028361</v>
      </c>
      <c r="AB29" s="1083"/>
      <c r="AC29" s="1083"/>
      <c r="AD29" s="870" t="str">
        <f>BD10</f>
        <v>gal/conn/day</v>
      </c>
      <c r="AE29" s="870"/>
      <c r="AF29" s="875"/>
      <c r="AG29" s="875"/>
      <c r="AH29" s="700"/>
      <c r="AI29" s="700"/>
      <c r="AJ29" s="700"/>
      <c r="AK29" s="1083">
        <f>BS43</f>
        <v>4.8596262917567898</v>
      </c>
      <c r="AL29" s="1083"/>
      <c r="AM29" s="1083"/>
      <c r="AN29" s="871" t="str">
        <f>BD10</f>
        <v>gal/conn/day</v>
      </c>
      <c r="AO29" s="700"/>
      <c r="AP29" s="700"/>
      <c r="AQ29" s="700"/>
      <c r="AR29" s="700"/>
      <c r="AS29" s="700"/>
      <c r="AT29" s="700"/>
      <c r="AU29" s="1078">
        <f>BS55</f>
        <v>82.537153328526813</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12.648426696118426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12.648426696118426</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60</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57.877503720417593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87.39677962028361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87.39677962028361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160.90280857087902</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3.8754408517315522</v>
      </c>
      <c r="AI41" s="1077"/>
      <c r="AJ41" s="1077"/>
      <c r="AK41" s="870" t="s">
        <v>1050</v>
      </c>
      <c r="AL41" s="799"/>
      <c r="AM41" s="800"/>
      <c r="AN41" s="796"/>
      <c r="AO41" s="796"/>
      <c r="AP41" s="796"/>
      <c r="AQ41" s="796"/>
      <c r="AR41" s="796"/>
      <c r="AS41" s="1076">
        <f>BS69</f>
        <v>4536.7577046538363</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4.4309422868181816</v>
      </c>
      <c r="AL43" s="1075"/>
      <c r="AM43" s="1075"/>
      <c r="AN43" s="1075"/>
      <c r="AO43" s="916" t="str">
        <f>BD7</f>
        <v>MG/Yr</v>
      </c>
      <c r="AP43" s="700"/>
      <c r="AQ43" s="700"/>
      <c r="AR43" s="700"/>
      <c r="AS43" s="1075">
        <f>IF(BG19=1,BF19,IFERROR(AK43*1000000/Worksheet!H62/365,""))</f>
        <v>21.297487559808609</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4.8596262917567898</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4.8596262917567898</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27.52123630349638</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1.01104525</v>
      </c>
      <c r="J49" s="1070"/>
      <c r="K49" s="1070"/>
      <c r="L49" s="1070"/>
      <c r="M49" s="683"/>
      <c r="N49" s="1071">
        <f>IF(OR(ISBLANK('Start Page'!$AB$22),ISBLANK(Worksheet!J76)),"",(SUM(Worksheet!H43+Worksheet!H39+Worksheet!X50)*Worksheet!H76)*INDEX(Sheet1!B2:D4,MATCH('Start Page'!AB22,Sheet1!A2:A4,0),MATCH(Worksheet!J76,Sheet1!B1:D1,0))+Worksheet!Y50*Worksheet!H77)</f>
        <v>8310.7919550000006</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17.171854750000005</v>
      </c>
      <c r="J50" s="1070"/>
      <c r="K50" s="1070"/>
      <c r="L50" s="1070"/>
      <c r="M50" s="683"/>
      <c r="N50" s="1071">
        <f>IFERROR(IF(Worksheet!H41="Select under/over","",IF(ISBLANK('Start Page'!AB22),"",Worksheet!H51*(IF(BD29=FALSE,Worksheet!H77,IF(BD29=TRUE,Worksheet!H76*INDEX(Sheet1!B2:D4,MATCH('Start Page'!AB22,Sheet1!A2:A4,0),MATCH(Worksheet!J76,Sheet1!B1:D1,0)),""))))),"")</f>
        <v>7209.6032167875028</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0.28199999999999997</v>
      </c>
      <c r="J51" s="1070"/>
      <c r="K51" s="1070"/>
      <c r="L51" s="1070"/>
      <c r="M51" s="683"/>
      <c r="N51" s="1071">
        <f>IFERROR(IF(SUM(Sheet1!D90:D91)=0,"",SUM(Sheet1!D90:D91)),"")</f>
        <v>118.3977</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18.464900000000004</v>
      </c>
      <c r="J52" s="1070"/>
      <c r="K52" s="1070"/>
      <c r="L52" s="1070"/>
      <c r="M52" s="683"/>
      <c r="N52" s="1071">
        <f>IF(SUM(N49:N51)=0,"",SUM(N49:N51))</f>
        <v>15638.792871787502</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82.537153328526813</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82.537153328526813</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146.48187902068616</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3.8754408517315522</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3.8754408517315522</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7.3907368754376899</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4536.7577046538363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4536.7577046538363</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7514.3112050466671</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7.6658085264275115</v>
      </c>
      <c r="BQ83" s="733">
        <f>BP83+BQ78</f>
        <v>60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topLeftCell="B1" zoomScale="80" zoomScaleNormal="80" zoomScaleSheetLayoutView="115" workbookViewId="0">
      <pane ySplit="9" topLeftCell="A10" activePane="bottomLeft" state="frozen"/>
      <selection activeCell="F138" sqref="F138"/>
      <selection pane="bottomLeft" activeCell="G46" sqref="G46:G4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Grantham</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7" t="s">
        <v>1280</v>
      </c>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7"/>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7"/>
      <c r="H28" s="1101"/>
    </row>
    <row r="29" spans="2:8" ht="28.9" customHeight="1">
      <c r="B29" s="845" t="s">
        <v>1156</v>
      </c>
      <c r="C29" s="518"/>
      <c r="D29" s="845" t="s">
        <v>1157</v>
      </c>
      <c r="F29" s="1105"/>
      <c r="G29" s="1108"/>
      <c r="H29" s="1102"/>
    </row>
    <row r="30" spans="2:8" ht="28.9" customHeight="1">
      <c r="B30" s="538"/>
      <c r="C30" s="518"/>
      <c r="D30" s="538"/>
      <c r="F30" s="1106"/>
      <c r="G30" s="1109"/>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t="s">
        <v>1281</v>
      </c>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18 MG/Yr</v>
      </c>
    </row>
    <row r="79" spans="1:6" ht="16.5">
      <c r="B79" s="52"/>
      <c r="C79" s="52"/>
      <c r="D79" s="52"/>
      <c r="E79" s="9" t="str">
        <f>IFERROR("Total Cost of NRW = $"&amp;TEXT(SUM(D90,D91,D94,D95,D96,D98),"#,###")&amp;"/Yr","")</f>
        <v>Total Cost of NRW = $15,639/Yr</v>
      </c>
      <c r="F79" s="52"/>
    </row>
    <row r="80" spans="1:6">
      <c r="A80"/>
      <c r="B80"/>
      <c r="C80" s="53" t="str">
        <f>"Volume ("&amp;Worksheet!J15&amp;")"</f>
        <v>Volume (MG/Yr)</v>
      </c>
      <c r="D80" s="53" t="s">
        <v>149</v>
      </c>
      <c r="E80" s="94" t="s">
        <v>1087</v>
      </c>
      <c r="F80"/>
    </row>
    <row r="81" spans="1:6">
      <c r="A81" s="46" t="s">
        <v>129</v>
      </c>
      <c r="B81" s="46"/>
      <c r="C81" s="122">
        <f>IF(Dashboard!BO$2&gt;0,"",Worksheet!H15)</f>
        <v>82.66</v>
      </c>
      <c r="D81" s="123">
        <f>IF(Dashboard!BO$2&gt;0,"",C81*(Worksheet!$H$77))</f>
        <v>34704.800999999999</v>
      </c>
      <c r="E81" s="605">
        <f>D81</f>
        <v>34704.800999999999</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0.223</v>
      </c>
      <c r="D83" s="123">
        <f>IF(Dashboard!BO$2&gt;0,"",C83*(Worksheet!$H$77))</f>
        <v>93.626550000000009</v>
      </c>
      <c r="E83" s="605">
        <f t="shared" si="0"/>
        <v>93.626550000000009</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82.882999999999996</v>
      </c>
      <c r="D87" s="123">
        <f>IF(Dashboard!BO$2&gt;0,"",C87*(Worksheet!$H$77))</f>
        <v>34798.42755</v>
      </c>
      <c r="E87" s="605">
        <f t="shared" si="0"/>
        <v>34798.42755</v>
      </c>
      <c r="F87"/>
    </row>
    <row r="88" spans="1:6">
      <c r="A88" t="s">
        <v>55</v>
      </c>
      <c r="B88"/>
      <c r="C88" s="122">
        <f>IF(Dashboard!BO$2&gt;0,"",Worksheet!H23)</f>
        <v>64.418099999999995</v>
      </c>
      <c r="D88" s="123">
        <f>IF(Dashboard!BO$2&gt;0,"",C88*(Worksheet!$H$76*1000))</f>
        <v>529516.78200000001</v>
      </c>
      <c r="E88" s="605">
        <f t="shared" si="0"/>
        <v>529516.78200000001</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0.28199999999999997</v>
      </c>
      <c r="D91" s="127">
        <f>IF(Dashboard!BO$2&gt;0,"",IF(ISBLANK('Start Page'!AB22),"",IF(AND(ISBLANK(Worksheet!H77),Worksheet!Z77&lt;&gt;1),"",Worksheet!H26*(IF(Dashboard!BD29=FALSE,Worksheet!H77,IF(Dashboard!BD29=TRUE,Worksheet!H76*INDEX(Sheet1!B2:D4,MATCH('Start Page'!AB22,Sheet1!A2:A4,0),MATCH(Worksheet!J76,Sheet1!B1:D1,0)),""))))))</f>
        <v>118.3977</v>
      </c>
      <c r="E91" s="606">
        <f t="shared" si="0"/>
        <v>118.3977</v>
      </c>
      <c r="F91"/>
    </row>
    <row r="92" spans="1:6">
      <c r="A92" s="158" t="s">
        <v>2</v>
      </c>
      <c r="B92" s="125" t="s">
        <v>241</v>
      </c>
      <c r="C92" s="122">
        <f>IF(Dashboard!BO$2&gt;0,"",Worksheet!H30)</f>
        <v>64.700099999999992</v>
      </c>
      <c r="D92" s="123">
        <f>IF(Dashboard!BO$2&gt;0,"",C92*(Worksheet!$H$76*1000))</f>
        <v>531834.82199999993</v>
      </c>
      <c r="E92" s="605">
        <f t="shared" si="0"/>
        <v>531834.82199999993</v>
      </c>
      <c r="F92"/>
    </row>
    <row r="93" spans="1:6">
      <c r="A93" t="s">
        <v>51</v>
      </c>
      <c r="B93"/>
      <c r="C93" s="122">
        <f>IF(Dashboard!BO$2&gt;0,"",Worksheet!H35)</f>
        <v>18.182900000000004</v>
      </c>
      <c r="D93" s="123"/>
      <c r="E93" s="605">
        <f t="shared" si="0"/>
        <v>0</v>
      </c>
      <c r="F93"/>
    </row>
    <row r="94" spans="1:6">
      <c r="A94" s="223" t="s">
        <v>680</v>
      </c>
      <c r="B94" s="46"/>
      <c r="C94" s="126">
        <f>IF(Dashboard!BO$2&gt;0,"",Worksheet!H43)</f>
        <v>0.20699999999999999</v>
      </c>
      <c r="D94" s="127">
        <f>IF(Dashboard!BO$2&gt;0,"",IF(ISBLANK('Start Page'!AB22),"",IF(AND(ISBLANK(Worksheet!H77),Worksheet!Z77&lt;&gt;1),"",C94*Worksheet!H76*INDEX(Sheet1!B2:D4,MATCH('Start Page'!AB22,Sheet1!A2:A4,0),MATCH(Worksheet!J76,Sheet1!B1:D1,0)))))</f>
        <v>1701.54</v>
      </c>
      <c r="E94" s="606">
        <f t="shared" si="0"/>
        <v>1701.54</v>
      </c>
      <c r="F94" s="128"/>
    </row>
    <row r="95" spans="1:6">
      <c r="A95" s="223" t="s">
        <v>681</v>
      </c>
      <c r="B95" s="46"/>
      <c r="C95" s="126">
        <f>IF(Dashboard!BO$2&gt;0,"",Worksheet!H41)</f>
        <v>0.64300000000000002</v>
      </c>
      <c r="D95" s="127">
        <f>IF(Dashboard!BO$2&gt;0,"",IF(ISBLANK('Start Page'!AB22),"",IF(AND(ISBLANK(Worksheet!H77),Worksheet!Z77&lt;&gt;1),"",C95*Worksheet!H76*INDEX(Sheet1!B2:D4,MATCH('Start Page'!AB22,Sheet1!A2:A4,0),MATCH(Worksheet!J76,Sheet1!B1:D1,0)))))</f>
        <v>5285.4600000000009</v>
      </c>
      <c r="E95" s="606">
        <f t="shared" si="0"/>
        <v>5285.4600000000009</v>
      </c>
      <c r="F95" s="128"/>
    </row>
    <row r="96" spans="1:6">
      <c r="A96" s="223" t="s">
        <v>682</v>
      </c>
      <c r="B96" s="46"/>
      <c r="C96" s="126">
        <f>IF(Dashboard!BO$2&gt;0,"",Worksheet!H39)</f>
        <v>0.16104525</v>
      </c>
      <c r="D96" s="127">
        <f>IF(Dashboard!BO$2&gt;0,"",IF(ISBLANK('Start Page'!AB22),"",IF(AND(ISBLANK(Worksheet!H77),Worksheet!Z77&lt;&gt;1),"",C96*Worksheet!H76*INDEX(Sheet1!B2:D4,MATCH('Start Page'!AB22,Sheet1!A2:A4,0),MATCH(Worksheet!J76,Sheet1!B1:D1,0)))))</f>
        <v>1323.7919550000001</v>
      </c>
      <c r="E96" s="606">
        <f t="shared" si="0"/>
        <v>1323.7919550000001</v>
      </c>
      <c r="F96" s="128"/>
    </row>
    <row r="97" spans="1:7">
      <c r="A97" t="s">
        <v>42</v>
      </c>
      <c r="B97"/>
      <c r="C97" s="122">
        <f>IF(Dashboard!BO$2&gt;0,"",Worksheet!H46)</f>
        <v>1.01104525</v>
      </c>
      <c r="D97" s="123">
        <f>IF(Dashboard!BO$2&gt;0,"",SUM(D94:D96))</f>
        <v>8310.7919550000006</v>
      </c>
      <c r="E97" s="605">
        <f t="shared" si="0"/>
        <v>8310.7919550000006</v>
      </c>
      <c r="F97"/>
    </row>
    <row r="98" spans="1:7">
      <c r="A98" s="54" t="str">
        <f>"Real Losses valued at "&amp;A76&amp;""</f>
        <v xml:space="preserve">Real Losses valued at </v>
      </c>
      <c r="B98" s="46"/>
      <c r="C98" s="126">
        <f>IF(Dashboard!BO$2&gt;0,"",Worksheet!H51)</f>
        <v>17.171854750000005</v>
      </c>
      <c r="D98" s="127">
        <f>IF(Dashboard!BO$2&gt;0,"",Dashboard!N50)</f>
        <v>7209.6032167875028</v>
      </c>
      <c r="E98" s="606">
        <f t="shared" si="0"/>
        <v>7209.6032167875028</v>
      </c>
      <c r="F98" s="605"/>
    </row>
    <row r="99" spans="1:7">
      <c r="A99" t="s">
        <v>74</v>
      </c>
      <c r="B99"/>
      <c r="C99" s="122">
        <f>IF(Dashboard!BO$2&gt;0,"",Worksheet!H57)</f>
        <v>18.464900000000004</v>
      </c>
      <c r="D99" s="124">
        <f>IF(Dashboard!BO$2&gt;0,"",D97+D98+D90+D91)</f>
        <v>15638.792871787502</v>
      </c>
      <c r="E99" s="605">
        <f t="shared" si="0"/>
        <v>15638.792871787502</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Grantham</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64.418099999999995</v>
      </c>
      <c r="H12" s="362"/>
      <c r="I12" s="5"/>
      <c r="K12" s="898"/>
    </row>
    <row r="13" spans="2:16" ht="22.5" customHeight="1">
      <c r="B13" s="1113"/>
      <c r="C13" s="363"/>
      <c r="D13" s="360"/>
      <c r="E13" s="1122"/>
      <c r="F13" s="365">
        <f>Worksheet!H23+Worksheet!H24</f>
        <v>64.418099999999995</v>
      </c>
      <c r="G13" s="366" t="s">
        <v>1092</v>
      </c>
      <c r="H13" s="367">
        <f>SUM(G12+G14)</f>
        <v>64.418099999999995</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64.700099999999992</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82.66</v>
      </c>
      <c r="C17" s="378"/>
      <c r="D17" s="379"/>
      <c r="E17" s="250"/>
      <c r="F17" s="380">
        <f>Worksheet!H25+Worksheet!H26</f>
        <v>0.28199999999999997</v>
      </c>
      <c r="G17" s="364" t="s">
        <v>1094</v>
      </c>
      <c r="H17" s="362"/>
      <c r="I17" s="5"/>
      <c r="K17" s="46"/>
      <c r="L17" s="121"/>
      <c r="M17" s="121"/>
      <c r="N17" s="121"/>
      <c r="O17" s="121"/>
      <c r="P17" s="121"/>
    </row>
    <row r="18" spans="2:16" ht="15.75" customHeight="1">
      <c r="B18" s="375"/>
      <c r="C18" s="1134" t="s">
        <v>765</v>
      </c>
      <c r="D18" s="360"/>
      <c r="E18" s="381"/>
      <c r="F18" s="370"/>
      <c r="G18" s="382">
        <f>Worksheet!H26</f>
        <v>0.28199999999999997</v>
      </c>
      <c r="H18" s="362"/>
      <c r="I18" s="5"/>
      <c r="K18" s="46"/>
    </row>
    <row r="19" spans="2:16" ht="22.5" customHeight="1">
      <c r="B19" s="375"/>
      <c r="C19" s="1134"/>
      <c r="D19" s="383" t="s">
        <v>118</v>
      </c>
      <c r="E19" s="356"/>
      <c r="F19" s="384"/>
      <c r="G19" s="600" t="s">
        <v>697</v>
      </c>
      <c r="H19" s="385">
        <f>Worksheet!H25+Worksheet!H26+Worksheet!H46+Worksheet!H51</f>
        <v>18.464900000000004</v>
      </c>
      <c r="I19" s="5"/>
      <c r="K19" s="46"/>
      <c r="L19" s="121"/>
      <c r="M19" s="121"/>
      <c r="N19" s="121"/>
      <c r="O19" s="121"/>
      <c r="P19" s="121"/>
    </row>
    <row r="20" spans="2:16" ht="15.75" customHeight="1">
      <c r="B20" s="375"/>
      <c r="C20" s="386">
        <f>B17+B27</f>
        <v>82.882999999999996</v>
      </c>
      <c r="D20" s="360"/>
      <c r="E20" s="250"/>
      <c r="F20" s="387" t="s">
        <v>52</v>
      </c>
      <c r="G20" s="376">
        <f>Worksheet!H39</f>
        <v>0.16104525</v>
      </c>
      <c r="H20" s="362"/>
      <c r="I20" s="5"/>
      <c r="K20" s="46"/>
    </row>
    <row r="21" spans="2:16" ht="14.25" customHeight="1">
      <c r="B21" s="388"/>
      <c r="C21" s="389"/>
      <c r="D21" s="386">
        <f>Worksheet!H19</f>
        <v>82.882999999999996</v>
      </c>
      <c r="E21" s="390"/>
      <c r="F21" s="380">
        <f>Worksheet!H46</f>
        <v>1.01104525</v>
      </c>
      <c r="G21" s="364" t="s">
        <v>696</v>
      </c>
      <c r="H21" s="362"/>
      <c r="I21" s="5"/>
      <c r="K21" s="46"/>
      <c r="L21" s="121"/>
      <c r="M21" s="121"/>
      <c r="N21" s="121"/>
      <c r="O21" s="121"/>
      <c r="P21" s="121"/>
    </row>
    <row r="22" spans="2:16" ht="15.75" customHeight="1">
      <c r="B22" s="375"/>
      <c r="C22" s="359"/>
      <c r="D22" s="360"/>
      <c r="E22" s="250"/>
      <c r="F22" s="390"/>
      <c r="G22" s="391">
        <f>Worksheet!H41</f>
        <v>0.64300000000000002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0.20699999999999999</v>
      </c>
      <c r="H24" s="362"/>
      <c r="I24" s="5"/>
      <c r="K24" s="46"/>
    </row>
    <row r="25" spans="2:16" ht="26.25" customHeight="1">
      <c r="B25" s="1112" t="s">
        <v>1089</v>
      </c>
      <c r="C25" s="363"/>
      <c r="D25" s="360"/>
      <c r="E25" s="393">
        <f>Worksheet!H53</f>
        <v>18.182900000000004</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0.223</v>
      </c>
      <c r="C27" s="378"/>
      <c r="D27" s="360"/>
      <c r="E27" s="250"/>
      <c r="F27" s="380">
        <f>Worksheet!H51</f>
        <v>17.171854750000005</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Grantham</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2022</v>
      </c>
      <c r="H5" s="1154" t="str">
        <f>IF(ISBLANK('Start Page'!AB20),"",TEXT('Start Page'!AB20,"mmm dd yyyy")&amp;" - "&amp;TEXT('Start Page'!AB21,"mmm dd yyyy"))</f>
        <v>Jan 01 2022 - Dec 31 2022</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34.905831111325604</v>
      </c>
      <c r="AF98" s="40">
        <f t="shared" ref="AF98:AF103" si="0">AE98</f>
        <v>34.905831111325604</v>
      </c>
      <c r="AG98" s="40">
        <f>IF(AE98&lt;&gt;0,AF98/10,0)</f>
        <v>3.4905831111325605</v>
      </c>
      <c r="AH98" s="40">
        <f>IFERROR(AD98*AG98,0)</f>
        <v>24.434081777927922</v>
      </c>
      <c r="AI98" s="40">
        <f t="shared" ref="AI98:AI117" si="1">IF(AG98=0,0,AF98-AH98)</f>
        <v>10.471749333397682</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1</v>
      </c>
      <c r="AE100" s="64">
        <f>Worksheet!Y16</f>
        <v>9.4168888674396448E-2</v>
      </c>
      <c r="AF100" s="40">
        <f t="shared" si="0"/>
        <v>9.4168888674396448E-2</v>
      </c>
      <c r="AG100" s="40">
        <f t="shared" si="3"/>
        <v>9.4168888674396444E-3</v>
      </c>
      <c r="AH100" s="40">
        <f t="shared" si="4"/>
        <v>9.4168888674396444E-3</v>
      </c>
      <c r="AI100" s="40">
        <f t="shared" si="1"/>
        <v>8.4751999806956801E-2</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t="str">
        <f>IF(Worksheet!M16="n/a",0,Worksheet!M16)</f>
        <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61.235951496984036</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f5a1bbb-24dc-472d-b5b2-ad007ec20f6c"/>
    <ds:schemaRef ds:uri="http://purl.org/dc/elements/1.1/"/>
    <ds:schemaRef ds:uri="http://schemas.microsoft.com/office/2006/metadata/properties"/>
    <ds:schemaRef ds:uri="6b11e1cc-f8f4-4753-8eb9-82c6086f7ab0"/>
    <ds:schemaRef ds:uri="http://www.w3.org/XML/1998/namespace"/>
    <ds:schemaRef ds:uri="http://purl.org/dc/dcmitype/"/>
  </ds:schemaRefs>
</ds:datastoreItem>
</file>

<file path=customXml/itemProps2.xml><?xml version="1.0" encoding="utf-8"?>
<ds:datastoreItem xmlns:ds="http://schemas.openxmlformats.org/officeDocument/2006/customXml" ds:itemID="{FE8A4662-0968-47AC-96C2-DBEED874AC7B}"/>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