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S:\UFW_NRW\2022\AWWA Water Audit\AWWA Water Audit for PUC\"/>
    </mc:Choice>
  </mc:AlternateContent>
  <xr:revisionPtr revIDLastSave="0" documentId="13_ncr:1_{656A0D3E-7183-4A93-89DE-849DA8ECC540}" xr6:coauthVersionLast="46" xr6:coauthVersionMax="46"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56" i="53" s="1"/>
  <c r="BP73" i="53"/>
  <c r="BP25" i="53"/>
  <c r="AB33" i="53"/>
  <c r="BP34" i="53"/>
  <c r="BP18" i="53"/>
  <c r="BP32" i="53"/>
  <c r="BP26" i="53"/>
  <c r="BP27" i="53"/>
  <c r="BP19" i="53"/>
  <c r="BP33" i="53"/>
  <c r="BP20" i="53"/>
  <c r="BP48" i="53"/>
  <c r="BP46" i="53"/>
  <c r="BP40" i="53"/>
  <c r="BP47" i="53"/>
  <c r="BP39" i="53"/>
  <c r="BP41" i="53"/>
  <c r="D44" i="56"/>
  <c r="BP70" i="53" l="1"/>
  <c r="BS57"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<sst xmlns="http://schemas.openxmlformats.org/spreadsheetml/2006/main" count="2548" uniqueCount="1283">
  <si>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</si>
  <si>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</si>
  <si>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</si>
  <si>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</si>
  <si>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</si>
  <si>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</si>
  <si>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</si>
  <si>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</si>
  <si>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</si>
  <si>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</si>
  <si>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</si>
  <si>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</si>
  <si>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</si>
  <si>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</si>
  <si>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</si>
  <si>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</si>
  <si>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</si>
  <si>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</si>
  <si>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</si>
  <si>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</si>
  <si>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</si>
  <si>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</si>
  <si>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</si>
  <si>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</si>
  <si>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</si>
  <si>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</si>
  <si>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</si>
  <si>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</si>
  <si>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</si>
  <si>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</si>
  <si>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</si>
  <si>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</si>
  <si>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</si>
  <si>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</si>
  <si>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</si>
  <si>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</si>
  <si>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</si>
  <si>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</si>
  <si>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</si>
  <si>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</si>
  <si>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</si>
  <si>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</si>
  <si>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</si>
  <si>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</si>
  <si>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</si>
  <si>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</si>
  <si>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</si>
  <si>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</si>
  <si>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</si>
  <si>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</si>
  <si>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</si>
  <si>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</si>
  <si>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</si>
  <si>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</si>
  <si>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</si>
  <si>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</si>
  <si>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</si>
  <si>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</si>
  <si>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</si>
  <si>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</si>
  <si>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</si>
  <si>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</si>
  <si>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</si>
  <si>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</si>
  <si>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</si>
  <si>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</si>
  <si>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</si>
  <si>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</si>
  <si>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</si>
  <si>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</si>
  <si>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</si>
  <si>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</si>
  <si>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</si>
  <si>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</si>
  <si>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</si>
  <si>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</si>
  <si>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</si>
  <si>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</si>
  <si>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</si>
  <si>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</si>
  <si>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</si>
  <si>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</si>
  <si>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</si>
  <si>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</si>
  <si>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</si>
  <si>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</si>
  <si>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</si>
  <si>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</si>
  <si>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</si>
  <si>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</si>
  <si>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</si>
  <si>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</si>
  <si>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</si>
  <si>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</si>
  <si>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</si>
  <si>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</si>
  <si>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</si>
  <si>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</si>
  <si>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</si>
  <si>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</si>
  <si>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</si>
  <si>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</si>
  <si>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</si>
  <si>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</si>
  <si>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</si>
  <si>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</si>
  <si>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</si>
  <si>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</si>
  <si>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</si>
  <si>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</si>
  <si>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</si>
  <si>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</si>
  <si>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</si>
  <si>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</si>
  <si>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</si>
  <si>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</si>
  <si>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</si>
  <si>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</si>
  <si>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</si>
  <si>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</si>
  <si>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</si>
  <si>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</si>
  <si>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</si>
  <si>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</si>
  <si>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</si>
  <si>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</si>
  <si>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</si>
  <si>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</si>
  <si>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</si>
  <si>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</si>
  <si>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</si>
  <si>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</si>
  <si>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</si>
  <si>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</si>
  <si>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</si>
  <si>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</si>
  <si>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</si>
  <si>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</si>
  <si>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</si>
  <si>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</si>
  <si>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</si>
  <si>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</si>
  <si>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</si>
  <si>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</si>
  <si>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</si>
  <si>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</si>
  <si>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</si>
  <si>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</si>
  <si>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</si>
  <si>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</si>
  <si>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</si>
  <si>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</si>
  <si>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</si>
  <si>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</si>
  <si>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</si>
  <si>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</si>
  <si>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</si>
  <si>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</si>
  <si>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</si>
  <si>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</si>
  <si>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</si>
  <si>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</si>
  <si>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</si>
  <si>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</si>
  <si>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</si>
  <si>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</si>
  <si>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</si>
  <si>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</si>
  <si>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</si>
  <si>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</si>
  <si>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</si>
  <si>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</si>
  <si>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</si>
  <si>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</si>
  <si>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</si>
  <si>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</si>
  <si>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</si>
  <si>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</si>
  <si>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</si>
  <si>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</si>
  <si>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</si>
  <si>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</si>
  <si>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</si>
  <si>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</si>
  <si>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</si>
  <si>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</si>
  <si>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</si>
  <si>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</si>
  <si>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</si>
  <si>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</si>
  <si>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</si>
  <si>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</si>
  <si>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</si>
  <si>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</si>
  <si>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</si>
  <si>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</si>
  <si>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</si>
  <si>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</si>
  <si>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</si>
  <si>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</si>
  <si>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</si>
  <si>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</si>
  <si>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</si>
  <si>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</si>
  <si>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</si>
  <si>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</si>
  <si>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</si>
  <si>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</si>
  <si>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</si>
  <si>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</si>
  <si>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</si>
  <si>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</si>
  <si>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</si>
  <si>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</si>
  <si>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</si>
  <si>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</si>
  <si>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</si>
  <si>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</si>
  <si>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</si>
  <si>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</si>
  <si>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</si>
  <si>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</si>
  <si>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</si>
  <si>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</si>
  <si>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</si>
  <si>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</si>
  <si>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</si>
  <si>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</si>
  <si>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</si>
  <si>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</si>
  <si>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</si>
  <si>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</si>
  <si>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</si>
  <si>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</si>
  <si>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</si>
  <si>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</si>
  <si>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</si>
  <si>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</si>
  <si>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</si>
  <si>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</si>
  <si>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</si>
  <si>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</si>
  <si>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</si>
  <si>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</si>
  <si>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</si>
  <si>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</si>
  <si>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</si>
  <si>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</si>
  <si>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</si>
  <si>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</si>
  <si>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</si>
  <si>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</si>
  <si>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</si>
  <si>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</si>
  <si>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</si>
  <si>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</si>
  <si>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</si>
  <si>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</si>
  <si>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</si>
  <si>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</si>
  <si>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</si>
  <si>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</si>
  <si>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</si>
  <si>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</si>
  <si>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</si>
  <si>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</si>
  <si>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</si>
  <si>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</si>
  <si>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</si>
  <si>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</si>
  <si>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</si>
  <si>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</si>
  <si>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</si>
  <si>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</si>
  <si>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</si>
  <si>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</si>
  <si>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</si>
  <si>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</si>
  <si>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</si>
  <si>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</si>
  <si>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</si>
  <si>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</si>
  <si>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</si>
  <si>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</si>
  <si>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</si>
  <si>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</si>
  <si>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</si>
  <si>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</si>
  <si>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</si>
  <si>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</si>
  <si>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</si>
  <si>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</si>
  <si>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</si>
  <si>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</si>
  <si>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</si>
  <si>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</si>
  <si>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</si>
  <si>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</si>
  <si>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</si>
  <si>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</si>
  <si>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</si>
  <si>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</si>
  <si>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</si>
  <si>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</si>
  <si>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</si>
  <si>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</si>
  <si>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</si>
  <si>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</si>
  <si>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</si>
  <si>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</si>
  <si>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</si>
  <si>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</si>
  <si>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</si>
  <si>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</si>
  <si>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</si>
  <si>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</si>
  <si>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</si>
  <si>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</si>
  <si>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</si>
  <si>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</si>
  <si>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</si>
  <si>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</si>
  <si>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</si>
  <si>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</si>
  <si>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</si>
  <si>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</si>
  <si>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</si>
  <si>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</si>
  <si>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</si>
  <si>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</si>
  <si>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</si>
  <si>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</si>
  <si>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</si>
  <si>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</si>
  <si>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</si>
  <si>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</si>
  <si>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</si>
  <si>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</si>
  <si>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</si>
  <si>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</si>
  <si>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</si>
  <si>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</si>
  <si>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</si>
  <si>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</si>
  <si>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</si>
  <si>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</si>
  <si>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</si>
  <si>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</si>
  <si>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</si>
  <si>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</si>
  <si>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</si>
  <si>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</si>
  <si>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</si>
  <si>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</si>
  <si>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</si>
  <si>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</si>
  <si>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</si>
  <si>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</si>
  <si>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</si>
  <si>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</si>
  <si>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</si>
  <si>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</si>
  <si>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</si>
  <si>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</si>
  <si>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</si>
  <si>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</si>
  <si>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</si>
  <si>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</si>
  <si>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</si>
  <si>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</si>
  <si>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</si>
  <si>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</si>
  <si>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</si>
  <si>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</si>
  <si>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</si>
  <si>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</si>
  <si>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</si>
  <si>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</si>
  <si>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</si>
  <si>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</si>
  <si>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</si>
  <si>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</si>
  <si>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</si>
  <si>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</si>
  <si>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</si>
  <si>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</si>
  <si>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</si>
  <si>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</si>
  <si>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</si>
  <si>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</si>
  <si>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</si>
  <si>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</si>
  <si>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</si>
  <si>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</si>
  <si>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</si>
  <si>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</si>
  <si>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</si>
  <si>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</si>
  <si>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</si>
  <si>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</si>
  <si>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</si>
  <si>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</si>
  <si>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</si>
  <si>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</si>
  <si>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</si>
  <si>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</si>
  <si>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</si>
  <si>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</si>
  <si>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</si>
  <si>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</si>
  <si>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</si>
  <si>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</si>
  <si>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</si>
  <si>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</si>
  <si>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</si>
  <si>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</si>
  <si>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</si>
  <si>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</si>
  <si>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</si>
  <si>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</si>
  <si>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</si>
  <si>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</si>
  <si>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</si>
  <si>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</si>
  <si>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</si>
  <si>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</si>
  <si>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</si>
  <si>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</si>
  <si>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</si>
  <si>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</si>
  <si>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</si>
  <si>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</si>
  <si>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</si>
  <si>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</si>
  <si>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</si>
  <si>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</si>
  <si>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</si>
  <si>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</si>
  <si>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</si>
  <si>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</si>
  <si>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</si>
  <si>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</si>
  <si>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</si>
  <si>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</si>
  <si>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</si>
  <si>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</si>
  <si>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</si>
  <si>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</si>
  <si>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</si>
  <si>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</si>
  <si>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</si>
  <si>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</si>
  <si>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</si>
  <si>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</si>
  <si>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</si>
  <si>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</si>
  <si>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</si>
  <si>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</si>
  <si>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</si>
  <si>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</si>
  <si>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</si>
  <si>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</si>
  <si>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</si>
  <si>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</si>
  <si>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</si>
  <si>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</si>
  <si>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</si>
  <si>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</si>
  <si>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</si>
  <si>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</si>
  <si>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</si>
  <si>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</si>
  <si>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</si>
  <si>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</si>
  <si>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</si>
  <si>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</si>
  <si>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</si>
  <si>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</si>
  <si>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</si>
  <si>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</si>
  <si>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</si>
  <si>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</si>
  <si>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</si>
  <si>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</si>
  <si>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</si>
  <si>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</si>
  <si>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</si>
  <si>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</si>
  <si>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</si>
  <si>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</si>
  <si>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</si>
  <si>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</si>
  <si>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</si>
  <si>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</si>
  <si>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</si>
  <si>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</si>
  <si>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</si>
  <si>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</si>
  <si>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</si>
  <si>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</si>
  <si>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</si>
  <si>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</si>
  <si>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</si>
  <si>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</si>
  <si>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</si>
  <si>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</si>
  <si>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</si>
  <si>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</si>
  <si>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</si>
  <si>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</si>
  <si>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</si>
  <si>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</si>
  <si>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</si>
  <si>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</si>
  <si>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</si>
  <si>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</si>
  <si>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</si>
  <si>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</si>
  <si>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</si>
  <si>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</si>
  <si>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</si>
  <si>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</si>
  <si>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</si>
  <si>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</si>
  <si>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</si>
  <si>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</si>
  <si>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</si>
  <si>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</si>
  <si>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</si>
  <si>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</si>
  <si>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</si>
  <si>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</si>
  <si>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</si>
  <si>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</si>
  <si>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</si>
  <si>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</si>
  <si>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</si>
  <si>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</si>
  <si>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</si>
  <si>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</si>
  <si>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</si>
  <si>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</si>
  <si>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</si>
  <si>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</si>
  <si>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</si>
  <si>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</si>
  <si>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</si>
  <si>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</si>
  <si>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</si>
  <si>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</si>
  <si>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</si>
  <si>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</si>
  <si>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</si>
  <si>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</si>
  <si>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</si>
  <si>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</si>
  <si>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</si>
  <si>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</si>
  <si>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</si>
  <si>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</si>
  <si>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</si>
  <si>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</si>
  <si>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</si>
  <si>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</si>
  <si>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</si>
  <si>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</si>
  <si>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</si>
  <si>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</si>
  <si>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</si>
  <si>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</si>
  <si>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</si>
  <si>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</si>
  <si>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</si>
  <si>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</si>
  <si>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</si>
  <si>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</si>
  <si>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</si>
  <si>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</si>
  <si>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</si>
  <si>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</si>
  <si>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</si>
  <si>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</si>
  <si>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</si>
  <si>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</si>
  <si>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</si>
  <si>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</si>
  <si>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</si>
  <si>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</si>
  <si>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</si>
  <si>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</si>
  <si>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</si>
  <si>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</si>
  <si>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</si>
  <si>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</si>
  <si>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</si>
  <si>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</si>
  <si>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</si>
  <si>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</si>
  <si>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</si>
  <si>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</si>
  <si>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</si>
  <si>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</si>
  <si>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</si>
  <si>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</si>
  <si>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</si>
  <si>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</si>
  <si>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</si>
  <si>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</si>
  <si>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</si>
  <si>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</si>
  <si>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</si>
  <si>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</si>
  <si>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</si>
  <si>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</si>
  <si>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</si>
  <si>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</si>
  <si>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</si>
  <si>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</si>
  <si>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</si>
  <si>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</si>
  <si>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</si>
  <si>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</si>
  <si>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</si>
  <si>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</si>
  <si>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</si>
  <si>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</si>
  <si>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</si>
  <si>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</si>
  <si>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</si>
  <si>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</si>
  <si>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</si>
  <si>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</si>
  <si>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</si>
  <si>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</si>
  <si>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</si>
  <si>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</si>
  <si>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</si>
  <si>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</si>
  <si>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</si>
  <si>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</si>
  <si>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</si>
  <si>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</si>
  <si>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</si>
  <si>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</si>
  <si>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</si>
  <si>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</si>
  <si>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</si>
  <si>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</si>
  <si>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</si>
  <si>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</si>
  <si>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</si>
  <si>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</si>
  <si>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</si>
  <si>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</si>
  <si>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</si>
  <si>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</si>
  <si>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</si>
  <si>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</si>
  <si>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</si>
  <si>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</si>
  <si>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</si>
  <si>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</si>
  <si>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</si>
  <si>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</si>
  <si>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</si>
  <si>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</si>
  <si>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</si>
  <si>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</si>
  <si>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</si>
  <si>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</si>
  <si>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</si>
  <si>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</si>
  <si>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</si>
  <si>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</si>
  <si>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</si>
  <si>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</si>
  <si>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</si>
  <si>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</si>
  <si>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</si>
  <si>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</si>
  <si>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</si>
  <si>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</si>
  <si>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</si>
  <si>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</si>
  <si>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</si>
  <si>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</si>
  <si>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</si>
  <si>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</si>
  <si>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</si>
  <si>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</si>
  <si>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</si>
  <si>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</si>
  <si>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</si>
  <si>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</si>
  <si>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</si>
  <si>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</si>
  <si>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</si>
  <si>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</si>
  <si>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</si>
  <si>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</si>
  <si>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</si>
  <si>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</si>
  <si>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</si>
  <si>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</si>
  <si>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</si>
  <si>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</si>
  <si>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</si>
  <si>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</si>
  <si>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</si>
  <si>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</si>
  <si>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</si>
  <si>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</si>
  <si>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</si>
  <si>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</si>
  <si>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</si>
  <si>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</si>
  <si>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</si>
  <si>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</si>
  <si>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</si>
  <si>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</si>
  <si>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</si>
  <si>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</si>
  <si>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</si>
  <si>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</si>
  <si>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</si>
  <si>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</si>
  <si>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</si>
  <si>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</si>
  <si>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</si>
  <si>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</si>
  <si>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</si>
  <si>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</si>
  <si>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</si>
  <si>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</si>
  <si>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</si>
  <si>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</si>
  <si>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</si>
  <si>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</si>
  <si>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</si>
  <si>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</si>
  <si>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</si>
  <si>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</si>
  <si>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</si>
  <si>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</si>
  <si>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</si>
  <si>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</si>
  <si>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</si>
  <si>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</si>
  <si>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</si>
  <si>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</si>
  <si>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</si>
  <si>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</si>
  <si>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</si>
  <si>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</si>
  <si>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</si>
  <si>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</si>
  <si>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</si>
  <si>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</si>
  <si>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</si>
  <si>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</si>
  <si>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</si>
  <si>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</si>
  <si>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</si>
  <si>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</si>
  <si>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</si>
  <si>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</si>
  <si>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</si>
  <si>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</si>
  <si>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</si>
  <si>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</si>
  <si>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</si>
  <si>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</si>
  <si>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</si>
  <si>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</si>
  <si>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</si>
  <si>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</si>
  <si>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</si>
  <si>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</si>
  <si>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</si>
  <si>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</si>
  <si>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</si>
  <si>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</si>
  <si>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</si>
  <si>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</si>
  <si>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</si>
  <si>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</si>
  <si>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</si>
  <si>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</si>
  <si>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</si>
  <si>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</si>
  <si>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</si>
  <si>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</si>
  <si>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</si>
  <si>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</si>
  <si>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</si>
  <si>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</si>
  <si>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</si>
  <si>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</si>
  <si>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</si>
  <si>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</si>
  <si>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</si>
  <si>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</si>
  <si>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</si>
  <si>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</si>
  <si>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</si>
  <si>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</si>
  <si>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</si>
  <si>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</si>
  <si>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</si>
  <si>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</si>
  <si>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</si>
  <si>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</si>
  <si>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</si>
  <si>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</si>
  <si>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</si>
  <si>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</si>
  <si>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</si>
  <si>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</si>
  <si>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</si>
  <si>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</si>
  <si>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</si>
  <si>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</si>
  <si>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</si>
  <si>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</si>
  <si>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</si>
  <si>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</si>
  <si>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</si>
  <si>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</si>
  <si>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</si>
  <si>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</si>
  <si>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</si>
  <si>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</si>
  <si>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</si>
  <si>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</si>
  <si>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</si>
  <si>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</si>
  <si>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</si>
  <si>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</si>
  <si>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</si>
  <si>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</si>
  <si>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</si>
  <si>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</si>
  <si>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</si>
  <si>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</si>
  <si>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</si>
  <si>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</si>
  <si>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</si>
  <si>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</si>
  <si>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</si>
  <si>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</si>
  <si>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</si>
  <si>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</si>
  <si>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</si>
  <si>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</si>
  <si>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</si>
  <si>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</si>
  <si>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</si>
  <si>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</si>
  <si>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</si>
  <si>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</si>
  <si>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</si>
  <si>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</si>
  <si>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</si>
  <si>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</si>
  <si>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</si>
  <si>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</si>
  <si>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</si>
  <si>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</si>
  <si>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</si>
  <si>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</si>
  <si>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</si>
  <si>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</si>
  <si>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</si>
  <si>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</si>
  <si>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</si>
  <si>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</si>
  <si>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</si>
  <si>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</si>
  <si>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</si>
  <si>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</si>
  <si>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</si>
  <si>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</si>
  <si>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</si>
  <si>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</si>
  <si>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</si>
  <si>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</si>
  <si>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</si>
  <si>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</si>
  <si>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</si>
  <si>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</si>
  <si>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</si>
  <si>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</si>
  <si>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</si>
  <si>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</si>
  <si>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</si>
  <si>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</si>
  <si>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</si>
  <si>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</si>
  <si>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</si>
  <si>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</si>
  <si>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</si>
  <si>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</si>
  <si>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</si>
  <si>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</si>
  <si>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</si>
  <si>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</si>
  <si>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</si>
  <si>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</si>
  <si>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</si>
  <si>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</si>
  <si>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</si>
  <si>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</si>
  <si>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</si>
  <si>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</si>
  <si>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</si>
  <si>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</si>
  <si>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</si>
  <si>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</si>
  <si>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</si>
  <si>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</si>
  <si>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</si>
  <si>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</si>
  <si>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</si>
  <si>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</si>
  <si>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</si>
  <si>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</si>
  <si>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</si>
  <si>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</si>
  <si>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</si>
  <si>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</si>
  <si>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</si>
  <si>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</si>
  <si>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</si>
  <si>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</si>
  <si>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</si>
  <si>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</si>
  <si>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</si>
  <si>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</si>
  <si>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</si>
  <si>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</si>
  <si>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</si>
  <si>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</si>
  <si>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</si>
  <si>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</si>
  <si>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</si>
  <si>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</si>
  <si>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</si>
  <si>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</si>
  <si>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</si>
  <si>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</si>
  <si>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</si>
  <si>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</si>
  <si>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</si>
  <si>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</si>
  <si>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</si>
  <si>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</si>
  <si>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</si>
  <si>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</si>
  <si>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</si>
  <si>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</si>
  <si>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</si>
  <si>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</si>
  <si>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</si>
  <si>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</si>
  <si>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</si>
  <si>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</si>
  <si>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</si>
  <si>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</si>
  <si>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</si>
  <si>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</si>
  <si>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</si>
  <si>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</si>
  <si>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</si>
  <si>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</si>
  <si>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</si>
  <si>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</si>
  <si>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</si>
  <si>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</si>
  <si>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</si>
  <si>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</si>
  <si>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</si>
  <si>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</si>
  <si>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</si>
  <si>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</si>
  <si>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</si>
  <si>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</si>
  <si>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</si>
  <si>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</si>
  <si>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</si>
  <si>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</si>
  <si>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</si>
  <si>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</si>
  <si>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</si>
  <si>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</si>
  <si>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</si>
  <si>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</si>
  <si>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</si>
  <si>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</si>
  <si>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</si>
  <si>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</si>
  <si>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</si>
  <si>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</si>
  <si>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</si>
  <si>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</si>
  <si>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</si>
  <si>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</si>
  <si>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</si>
  <si>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</si>
  <si>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</si>
  <si>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</si>
  <si>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</si>
  <si>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</si>
  <si>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</si>
  <si>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</si>
  <si>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</si>
  <si>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</si>
  <si>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</si>
  <si>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</si>
  <si>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</si>
  <si>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</si>
  <si>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</si>
  <si>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</si>
  <si>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</si>
  <si>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</si>
  <si>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</si>
  <si>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</si>
  <si>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</si>
  <si>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</si>
  <si>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</si>
  <si>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</si>
  <si>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</si>
  <si>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</si>
  <si>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</si>
  <si>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</si>
  <si>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</si>
  <si>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</si>
  <si>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</si>
  <si>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</si>
  <si>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</si>
  <si>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</si>
  <si>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</si>
  <si>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</si>
  <si>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</si>
  <si>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</si>
  <si>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</si>
  <si>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</si>
  <si>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</si>
  <si>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</si>
  <si>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</si>
  <si>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</si>
  <si>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</si>
  <si>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</si>
  <si>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</si>
  <si>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</si>
  <si>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</si>
  <si>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</si>
  <si>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</si>
  <si>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</si>
  <si>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</si>
  <si>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</si>
  <si>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</si>
  <si>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</si>
  <si>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</si>
  <si>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</si>
  <si>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</si>
  <si>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</si>
  <si>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</si>
  <si>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</si>
  <si>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</si>
  <si>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</si>
  <si>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</si>
  <si>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</si>
  <si>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</si>
  <si>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</si>
  <si>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</si>
  <si>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</si>
  <si>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</si>
  <si>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</si>
  <si>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</si>
  <si>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</si>
  <si>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</si>
  <si>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</si>
  <si>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</si>
  <si>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</si>
  <si>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</si>
  <si>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</si>
  <si>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</si>
  <si>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</si>
  <si>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</si>
  <si>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</si>
  <si>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</si>
  <si>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</si>
  <si>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</si>
  <si>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</si>
  <si>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</si>
  <si>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</si>
  <si>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</si>
  <si>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</si>
  <si>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</si>
  <si>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</si>
  <si>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</si>
  <si>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</si>
  <si>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</si>
  <si>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</si>
  <si>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</si>
  <si>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</si>
  <si>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</si>
  <si>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</si>
  <si>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</si>
  <si>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</si>
  <si>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</si>
  <si>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</si>
  <si>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</si>
  <si>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</si>
  <si>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</si>
  <si>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</si>
  <si>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</si>
  <si>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</si>
  <si>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</si>
  <si>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</si>
  <si>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</si>
  <si>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</si>
  <si>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</si>
  <si>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</si>
  <si>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</si>
  <si>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</si>
  <si>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</si>
  <si>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</si>
  <si>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</si>
  <si>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</si>
  <si>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</si>
  <si>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</si>
  <si>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</si>
  <si>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</si>
  <si>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</si>
  <si>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</si>
  <si>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</si>
  <si>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</si>
  <si>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</si>
  <si>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</si>
  <si>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</si>
  <si>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</si>
  <si>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</si>
  <si>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</si>
  <si>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</si>
  <si>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</si>
  <si>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</si>
  <si>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</si>
  <si>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</si>
  <si>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</si>
  <si>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</si>
  <si>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</si>
  <si>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</si>
  <si>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</si>
  <si>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</si>
  <si>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</si>
  <si>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</si>
  <si>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</si>
  <si>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</si>
  <si>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</si>
  <si>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</si>
  <si>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</si>
  <si>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</si>
  <si>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</si>
  <si>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</si>
  <si>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</si>
  <si>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</si>
  <si>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</si>
  <si>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</si>
  <si>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</si>
  <si>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</si>
  <si>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</si>
  <si>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</si>
  <si>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</si>
  <si>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</si>
  <si>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</si>
  <si>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</si>
  <si>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</si>
  <si>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</si>
  <si>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</si>
  <si>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</si>
  <si>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</si>
  <si>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</si>
  <si>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</si>
  <si>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</si>
  <si>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</si>
  <si>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</si>
  <si>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</si>
  <si>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</si>
  <si>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</si>
  <si>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</si>
  <si>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</si>
  <si>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</si>
  <si>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</si>
  <si>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</si>
  <si>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</si>
  <si>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</si>
  <si>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</si>
  <si>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</si>
  <si>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</si>
  <si>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</si>
  <si>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</si>
  <si>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</si>
  <si>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</si>
  <si>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</si>
  <si>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</si>
  <si>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</si>
  <si>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</si>
  <si>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</si>
  <si>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</si>
  <si>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</si>
  <si>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</si>
  <si>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</si>
  <si>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</si>
  <si>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</si>
  <si>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</si>
  <si>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</si>
  <si>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</si>
  <si>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</si>
  <si>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</si>
  <si>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</si>
  <si>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</si>
  <si>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</si>
  <si>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</si>
  <si>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</si>
  <si>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</si>
  <si>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</si>
  <si>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</si>
  <si>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</si>
  <si>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</si>
  <si>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</si>
  <si>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</si>
  <si>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</si>
  <si>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</si>
  <si>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</si>
  <si>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</si>
  <si>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</si>
  <si>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</si>
  <si>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</si>
  <si>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</si>
  <si>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</si>
  <si>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</si>
  <si>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</si>
  <si>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</si>
  <si>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</si>
  <si>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</si>
  <si>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</si>
  <si>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</si>
  <si>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</si>
  <si>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</si>
  <si>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</si>
  <si>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</si>
  <si>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</si>
  <si>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</si>
  <si>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</si>
  <si>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</si>
  <si>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</si>
  <si>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</si>
  <si>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</si>
  <si>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</si>
  <si>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</si>
  <si>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</si>
  <si>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</si>
  <si>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</si>
  <si>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</si>
  <si>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</si>
  <si>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</si>
  <si>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</si>
  <si>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</si>
  <si>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</si>
  <si>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</si>
  <si>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</si>
  <si>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Matthew Bloom</t>
  </si>
  <si>
    <t>717-901-6332</t>
  </si>
  <si>
    <t>USA</t>
  </si>
  <si>
    <t>NA</t>
  </si>
  <si>
    <t>Harrisburg</t>
  </si>
  <si>
    <t>7220015</t>
  </si>
  <si>
    <t>Includes temporary meter sales (Contractors were billed for water used for new main construction)</t>
  </si>
  <si>
    <t>VEOLIA - Harrisburg</t>
  </si>
  <si>
    <t>matthew.bloom@veolia.com</t>
  </si>
  <si>
    <t>Changed calculation to 0.25% of delivery. Was previously calculated as 1% delivery.</t>
  </si>
  <si>
    <t>More main breaks in 2022 compared to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</si>
</sst>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76.323983875476841</c:v>
                </c:pt>
                <c:pt idx="1">
                  <c:v>2.0024160337996988</c:v>
                </c:pt>
                <c:pt idx="2">
                  <c:v>171.97560431568579</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3.1916743712067239</c:v>
                </c:pt>
                <c:pt idx="1">
                  <c:v>0.26113598867139654</c:v>
                </c:pt>
                <c:pt idx="2">
                  <c:v>29.189188224046447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20.78315966899078</c:v>
                </c:pt>
                <c:pt idx="1">
                  <c:v>0.92482240795754933</c:v>
                </c:pt>
                <c:pt idx="2">
                  <c:v>93.89481891774534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9.5759806159315328</c:v>
                </c:pt>
                <c:pt idx="1">
                  <c:v>0.38772920688421864</c:v>
                </c:pt>
                <c:pt idx="2">
                  <c:v>38.502441037711577</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11.207179053059248</c:v>
                </c:pt>
                <c:pt idx="1">
                  <c:v>0.56875750335916142</c:v>
                </c:pt>
                <c:pt idx="2">
                  <c:v>59.318751363476771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1,097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39.204000000000001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9.6590000000000007</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27.664000000000001</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6.9163994999999998</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1013.6778004999999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$805,700/Yr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16459.7994</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79396.98000000001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227398.08000000002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56852.803890000003</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425592.62453992496</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17.665808526427512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3.1390517719193585</c:v>
                </c:pt>
                <c:pt idx="1">
                  <c:v>9.0856271993300333E-2</c:v>
                </c:pt>
                <c:pt idx="2">
                  <c:v>8.127125955249884</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73.132309504270111</c:v>
                </c:pt>
                <c:pt idx="1">
                  <c:v>1.8469276802355887</c:v>
                </c:pt>
                <c:pt idx="2">
                  <c:v>155.88672284494288</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5186.1801184400692</c:v>
                </c:pt>
                <c:pt idx="1">
                  <c:v>97.186039594358903</c:v>
                </c:pt>
                <c:pt idx="2" formatCode="_(* #,##0_);_(* \(#,##0\);_(* &quot;-&quot;??_);_(@_)">
                  <c:v>6864.8887912604341</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image" Target="../media/image10.emf"/><Relationship Id="rId26" Type="http://schemas.openxmlformats.org/officeDocument/2006/relationships/image" Target="../media/image12.emf"/><Relationship Id="rId3" Type="http://schemas.openxmlformats.org/officeDocument/2006/relationships/image" Target="../media/image4.emf"/><Relationship Id="rId21" Type="http://schemas.openxmlformats.org/officeDocument/2006/relationships/hyperlink" Target="#'Interactive Data Grading'!WI"/><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VOS"/><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image" Target="../media/image11.emf"/><Relationship Id="rId29" Type="http://schemas.openxmlformats.org/officeDocument/2006/relationships/hyperlink" Target="#'Interactive Data Grading'!VP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Nc"/><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Lm"/><Relationship Id="rId28" Type="http://schemas.openxmlformats.org/officeDocument/2006/relationships/image" Target="../media/image13.emf"/><Relationship Id="rId10" Type="http://schemas.openxmlformats.org/officeDocument/2006/relationships/hyperlink" Target="#'Interactive Data Grading'!UMAC"/><Relationship Id="rId19" Type="http://schemas.openxmlformats.org/officeDocument/2006/relationships/hyperlink" Target="#'Interactive Data Grading'!VOSEA"/><Relationship Id="rId31" Type="http://schemas.openxmlformats.org/officeDocument/2006/relationships/image" Target="../media/image1.png"/><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image" Target="../media/image8.emf"/><Relationship Id="rId22" Type="http://schemas.openxmlformats.org/officeDocument/2006/relationships/hyperlink" Target="#'Interactive Data Grading'!AOP"/><Relationship Id="rId27" Type="http://schemas.openxmlformats.org/officeDocument/2006/relationships/hyperlink" Target="#'Interactive Data Grading'!CRUC"/><Relationship Id="rId30"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6.png"/><Relationship Id="rId3" Type="http://schemas.openxmlformats.org/officeDocument/2006/relationships/chart" Target="../charts/chart4.xml"/><Relationship Id="rId21" Type="http://schemas.openxmlformats.org/officeDocument/2006/relationships/image" Target="../media/image2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image" Target="../media/image17.emf"/><Relationship Id="rId9"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14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14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146"/>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147"/>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148"/>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149"/>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150"/>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151"/>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152"/>
                  </a:ext>
                </a:extLst>
              </xdr:cNvPicPr>
            </xdr:nvPicPr>
            <xdr:blipFill rotWithShape="1">
              <a:blip xmlns:r="http://schemas.openxmlformats.org/officeDocument/2006/relationships" r:embed="rId14"/>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153"/>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154"/>
                  </a:ext>
                </a:extLst>
              </xdr:cNvPicPr>
            </xdr:nvPicPr>
            <xdr:blipFill rotWithShape="1">
              <a:blip xmlns:r="http://schemas.openxmlformats.org/officeDocument/2006/relationships" r:embed="rId1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9"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155"/>
                  </a:ext>
                </a:extLst>
              </xdr:cNvPicPr>
            </xdr:nvPicPr>
            <xdr:blipFill rotWithShape="1">
              <a:blip xmlns:r="http://schemas.openxmlformats.org/officeDocument/2006/relationships" r:embed="rId2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1"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156"/>
                  </a:ext>
                </a:extLst>
              </xdr:cNvPicPr>
            </xdr:nvPicPr>
            <xdr:blipFill rotWithShape="1">
              <a:blip xmlns:r="http://schemas.openxmlformats.org/officeDocument/2006/relationships" r:embed="rId1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2"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157"/>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158"/>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159"/>
                  </a:ext>
                </a:extLst>
              </xdr:cNvPicPr>
            </xdr:nvPicPr>
            <xdr:blipFill rotWithShape="1">
              <a:blip xmlns:r="http://schemas.openxmlformats.org/officeDocument/2006/relationships" r:embed="rId1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160"/>
                  </a:ext>
                </a:extLst>
              </xdr:cNvPicPr>
            </xdr:nvPicPr>
            <xdr:blipFill rotWithShape="1">
              <a:blip xmlns:r="http://schemas.openxmlformats.org/officeDocument/2006/relationships" r:embed="rId2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7"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161"/>
                  </a:ext>
                </a:extLst>
              </xdr:cNvPicPr>
            </xdr:nvPicPr>
            <xdr:blipFill rotWithShape="1">
              <a:blip xmlns:r="http://schemas.openxmlformats.org/officeDocument/2006/relationships" r:embed="rId28"/>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9"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162"/>
                  </a:ext>
                </a:extLst>
              </xdr:cNvPicPr>
            </xdr:nvPicPr>
            <xdr:blipFill rotWithShape="1">
              <a:blip xmlns:r="http://schemas.openxmlformats.org/officeDocument/2006/relationships" r:embed="rId1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0"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2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17" sqref="AB17:AL17"/>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9" t="s">
        <v>1193</v>
      </c>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1"/>
      <c r="AJ2" s="971"/>
      <c r="AK2" s="971"/>
      <c r="AL2" s="971"/>
      <c r="AM2" s="971"/>
      <c r="AN2" s="971"/>
      <c r="AO2" s="971"/>
      <c r="AP2" s="971"/>
      <c r="AQ2" s="971"/>
      <c r="AR2" s="971"/>
      <c r="AS2" s="971"/>
      <c r="AT2" s="971"/>
      <c r="AU2" s="971"/>
      <c r="AV2" s="971"/>
      <c r="AW2" s="971"/>
      <c r="AX2" s="971"/>
      <c r="AY2" s="971"/>
      <c r="AZ2" s="971"/>
      <c r="BA2" s="971"/>
      <c r="BB2" s="972"/>
      <c r="BC2" s="92"/>
    </row>
    <row r="3" spans="1:55" s="46" customFormat="1" ht="12.95" customHeight="1">
      <c r="A3" s="91"/>
      <c r="B3" s="983" t="s">
        <v>1244</v>
      </c>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4"/>
      <c r="AX3" s="984"/>
      <c r="AY3" s="984"/>
      <c r="AZ3" s="984"/>
      <c r="BA3" s="984"/>
      <c r="BB3" s="985"/>
      <c r="BC3" s="91"/>
    </row>
    <row r="4" spans="1:55" s="46" customFormat="1" ht="12.95" customHeight="1">
      <c r="A4" s="91"/>
      <c r="B4" s="983"/>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984"/>
      <c r="BA4" s="984"/>
      <c r="BB4" s="985"/>
      <c r="BC4" s="91"/>
    </row>
    <row r="5" spans="1:55" s="46" customFormat="1" ht="12.95" customHeight="1">
      <c r="A5" s="91"/>
      <c r="B5" s="983"/>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4"/>
      <c r="AZ5" s="984"/>
      <c r="BA5" s="984"/>
      <c r="BB5" s="985"/>
      <c r="BC5" s="91"/>
    </row>
    <row r="6" spans="1:55" s="46" customFormat="1" ht="12.95" customHeight="1">
      <c r="A6" s="91"/>
      <c r="B6" s="983"/>
      <c r="C6" s="984"/>
      <c r="D6" s="984"/>
      <c r="E6" s="984"/>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5"/>
      <c r="BC6" s="91"/>
    </row>
    <row r="7" spans="1:55" s="46" customFormat="1" ht="12.95" customHeight="1">
      <c r="A7" s="91"/>
      <c r="B7" s="626"/>
      <c r="C7" s="980" t="s">
        <v>1215</v>
      </c>
      <c r="D7" s="980"/>
      <c r="E7" s="980"/>
      <c r="F7" s="980"/>
      <c r="G7" s="980"/>
      <c r="H7" s="980"/>
      <c r="I7" s="980"/>
      <c r="J7" s="980"/>
      <c r="K7" s="980"/>
      <c r="L7" s="980"/>
      <c r="M7" s="980"/>
      <c r="N7" s="980"/>
      <c r="O7" s="980"/>
      <c r="P7" s="980"/>
      <c r="Q7" s="980"/>
      <c r="R7" s="980"/>
      <c r="S7" s="980"/>
      <c r="T7" s="980"/>
      <c r="U7" s="973" t="s">
        <v>1017</v>
      </c>
      <c r="V7" s="973"/>
      <c r="W7" s="973"/>
      <c r="X7" s="973"/>
      <c r="Y7" s="973"/>
      <c r="Z7" s="973"/>
      <c r="AA7" s="973"/>
      <c r="AB7" s="973"/>
      <c r="AC7" s="973"/>
      <c r="AD7" s="973"/>
      <c r="AE7" s="973"/>
      <c r="AF7" s="973"/>
      <c r="AG7" s="973"/>
      <c r="AH7" s="973"/>
      <c r="AI7" s="973"/>
      <c r="AJ7" s="973"/>
      <c r="AK7" s="973"/>
      <c r="AL7" s="973"/>
      <c r="AM7" s="973"/>
      <c r="AN7" s="158"/>
      <c r="AO7" s="973" t="s">
        <v>931</v>
      </c>
      <c r="AP7" s="973"/>
      <c r="AQ7" s="973"/>
      <c r="AR7" s="973"/>
      <c r="AS7" s="973"/>
      <c r="AT7" s="973"/>
      <c r="AU7" s="973"/>
      <c r="AV7" s="973"/>
      <c r="AW7" s="981" t="s">
        <v>1016</v>
      </c>
      <c r="AX7" s="981"/>
      <c r="AY7" s="981"/>
      <c r="AZ7" s="981"/>
      <c r="BA7" s="981"/>
      <c r="BB7" s="982"/>
      <c r="BC7" s="91"/>
    </row>
    <row r="8" spans="1:55" s="46" customFormat="1" ht="17.100000000000001" customHeight="1">
      <c r="A8" s="91"/>
      <c r="B8" s="626"/>
      <c r="C8" s="980"/>
      <c r="D8" s="980"/>
      <c r="E8" s="980"/>
      <c r="F8" s="980"/>
      <c r="G8" s="980"/>
      <c r="H8" s="980"/>
      <c r="I8" s="980"/>
      <c r="J8" s="980"/>
      <c r="K8" s="980"/>
      <c r="L8" s="980"/>
      <c r="M8" s="980"/>
      <c r="N8" s="980"/>
      <c r="O8" s="980"/>
      <c r="P8" s="980"/>
      <c r="Q8" s="980"/>
      <c r="R8" s="980"/>
      <c r="S8" s="980"/>
      <c r="T8" s="980"/>
      <c r="U8" s="973"/>
      <c r="V8" s="973"/>
      <c r="W8" s="973"/>
      <c r="X8" s="973"/>
      <c r="Y8" s="973"/>
      <c r="Z8" s="973"/>
      <c r="AA8" s="973"/>
      <c r="AB8" s="973"/>
      <c r="AC8" s="973"/>
      <c r="AD8" s="973"/>
      <c r="AE8" s="973"/>
      <c r="AF8" s="973"/>
      <c r="AG8" s="973"/>
      <c r="AH8" s="973"/>
      <c r="AI8" s="973"/>
      <c r="AJ8" s="973"/>
      <c r="AK8" s="973"/>
      <c r="AL8" s="973"/>
      <c r="AM8" s="973"/>
      <c r="AN8" s="158"/>
      <c r="AO8" s="973"/>
      <c r="AP8" s="973"/>
      <c r="AQ8" s="973"/>
      <c r="AR8" s="973"/>
      <c r="AS8" s="973"/>
      <c r="AT8" s="973"/>
      <c r="AU8" s="973"/>
      <c r="AV8" s="973"/>
      <c r="AW8" s="981"/>
      <c r="AX8" s="981"/>
      <c r="AY8" s="981"/>
      <c r="AZ8" s="981"/>
      <c r="BA8" s="981"/>
      <c r="BB8" s="982"/>
      <c r="BC8" s="91"/>
    </row>
    <row r="9" spans="1:55" s="46" customFormat="1" ht="12.95" customHeight="1">
      <c r="A9" s="91"/>
      <c r="B9" s="986" t="s">
        <v>938</v>
      </c>
      <c r="C9" s="987"/>
      <c r="D9" s="987"/>
      <c r="E9" s="987"/>
      <c r="F9" s="987"/>
      <c r="G9" s="968" t="s">
        <v>939</v>
      </c>
      <c r="H9" s="968"/>
      <c r="I9" s="968"/>
      <c r="J9" s="968"/>
      <c r="K9" s="968"/>
      <c r="L9" s="968"/>
      <c r="M9" s="968"/>
      <c r="N9" s="968"/>
      <c r="O9" s="968"/>
      <c r="P9" s="968"/>
      <c r="Q9" s="968"/>
      <c r="R9" s="968"/>
      <c r="S9" s="968"/>
      <c r="T9" s="968"/>
      <c r="U9" s="587"/>
      <c r="V9" s="587"/>
      <c r="W9" s="587"/>
      <c r="X9" s="587"/>
      <c r="Y9" s="587"/>
      <c r="Z9" s="587"/>
      <c r="AA9" s="216" t="s">
        <v>773</v>
      </c>
      <c r="AB9" s="974" t="s">
        <v>1279</v>
      </c>
      <c r="AC9" s="975"/>
      <c r="AD9" s="975"/>
      <c r="AE9" s="975"/>
      <c r="AF9" s="975"/>
      <c r="AG9" s="975"/>
      <c r="AH9" s="975"/>
      <c r="AI9" s="975"/>
      <c r="AJ9" s="975"/>
      <c r="AK9" s="975"/>
      <c r="AL9" s="976"/>
      <c r="AM9" s="158"/>
      <c r="AN9" s="158"/>
      <c r="AO9"/>
      <c r="AP9" s="588" t="s">
        <v>909</v>
      </c>
      <c r="AQ9" s="265" t="s">
        <v>274</v>
      </c>
      <c r="AR9" s="553"/>
      <c r="AS9" s="158"/>
      <c r="AT9" s="158"/>
      <c r="AU9" s="158"/>
      <c r="AV9"/>
      <c r="AW9"/>
      <c r="AX9"/>
      <c r="AY9"/>
      <c r="AZ9"/>
      <c r="BA9"/>
      <c r="BB9" s="586"/>
      <c r="BC9" s="91"/>
    </row>
    <row r="10" spans="1:55" s="46" customFormat="1" ht="12.95" customHeight="1">
      <c r="A10" s="91"/>
      <c r="B10" s="986"/>
      <c r="C10" s="987"/>
      <c r="D10" s="987"/>
      <c r="E10" s="987"/>
      <c r="F10" s="987"/>
      <c r="G10" s="968"/>
      <c r="H10" s="968"/>
      <c r="I10" s="968"/>
      <c r="J10" s="968"/>
      <c r="K10" s="968"/>
      <c r="L10" s="968"/>
      <c r="M10" s="968"/>
      <c r="N10" s="968"/>
      <c r="O10" s="968"/>
      <c r="P10" s="968"/>
      <c r="Q10" s="968"/>
      <c r="R10" s="968"/>
      <c r="S10" s="968"/>
      <c r="T10" s="968"/>
      <c r="U10" s="587"/>
      <c r="V10" s="587"/>
      <c r="W10" s="587"/>
      <c r="X10" s="587"/>
      <c r="Y10" s="587"/>
      <c r="Z10" s="587"/>
      <c r="AA10" s="216" t="s">
        <v>145</v>
      </c>
      <c r="AB10" s="974" t="s">
        <v>1272</v>
      </c>
      <c r="AC10" s="975"/>
      <c r="AD10" s="975"/>
      <c r="AE10" s="975"/>
      <c r="AF10" s="975"/>
      <c r="AG10" s="975"/>
      <c r="AH10" s="975"/>
      <c r="AI10" s="975"/>
      <c r="AJ10" s="975"/>
      <c r="AK10" s="975"/>
      <c r="AL10" s="976"/>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86"/>
      <c r="C11" s="987"/>
      <c r="D11" s="987"/>
      <c r="E11" s="987"/>
      <c r="F11" s="987"/>
      <c r="G11" s="968"/>
      <c r="H11" s="968"/>
      <c r="I11" s="968"/>
      <c r="J11" s="968"/>
      <c r="K11" s="968"/>
      <c r="L11" s="968"/>
      <c r="M11" s="968"/>
      <c r="N11" s="968"/>
      <c r="O11" s="968"/>
      <c r="P11" s="968"/>
      <c r="Q11" s="968"/>
      <c r="R11" s="968"/>
      <c r="S11" s="968"/>
      <c r="T11" s="968"/>
      <c r="U11" s="587"/>
      <c r="V11" s="587"/>
      <c r="W11" s="587"/>
      <c r="X11" s="587"/>
      <c r="Y11" s="587"/>
      <c r="Z11" s="587"/>
      <c r="AA11" s="216" t="s">
        <v>1000</v>
      </c>
      <c r="AB11" s="977" t="s">
        <v>1280</v>
      </c>
      <c r="AC11" s="978"/>
      <c r="AD11" s="978"/>
      <c r="AE11" s="978"/>
      <c r="AF11" s="978"/>
      <c r="AG11" s="978"/>
      <c r="AH11" s="978"/>
      <c r="AI11" s="978"/>
      <c r="AJ11" s="978"/>
      <c r="AK11" s="978"/>
      <c r="AL11" s="979"/>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86" t="s">
        <v>669</v>
      </c>
      <c r="C12" s="987"/>
      <c r="D12" s="987"/>
      <c r="E12" s="987"/>
      <c r="F12" s="987"/>
      <c r="G12" s="968" t="s">
        <v>941</v>
      </c>
      <c r="H12" s="968"/>
      <c r="I12" s="968"/>
      <c r="J12" s="968"/>
      <c r="K12" s="968"/>
      <c r="L12" s="968"/>
      <c r="M12" s="968"/>
      <c r="N12" s="968"/>
      <c r="O12" s="968"/>
      <c r="P12" s="968"/>
      <c r="Q12" s="968"/>
      <c r="R12" s="968"/>
      <c r="S12" s="968"/>
      <c r="T12" s="968"/>
      <c r="U12" s="587"/>
      <c r="V12" s="587"/>
      <c r="W12" s="587"/>
      <c r="X12" s="587"/>
      <c r="Y12" s="587"/>
      <c r="Z12" s="587"/>
      <c r="AA12" s="216" t="s">
        <v>258</v>
      </c>
      <c r="AB12" s="990" t="s">
        <v>1273</v>
      </c>
      <c r="AC12" s="988"/>
      <c r="AD12" s="988"/>
      <c r="AE12" s="988"/>
      <c r="AF12" s="988"/>
      <c r="AG12" s="988"/>
      <c r="AH12" s="991"/>
      <c r="AI12" s="988"/>
      <c r="AJ12" s="988"/>
      <c r="AK12" s="988"/>
      <c r="AL12" s="989"/>
      <c r="AM12" s="158"/>
      <c r="AN12" s="158"/>
      <c r="AO12"/>
      <c r="AP12" s="588" t="s">
        <v>924</v>
      </c>
      <c r="AQ12" s="265" t="s">
        <v>934</v>
      </c>
      <c r="AR12" s="158"/>
      <c r="AS12" s="158"/>
      <c r="AT12"/>
      <c r="AU12"/>
      <c r="AV12"/>
      <c r="AW12"/>
      <c r="AX12"/>
      <c r="AY12"/>
      <c r="AZ12"/>
      <c r="BA12"/>
      <c r="BB12" s="586"/>
      <c r="BC12" s="91"/>
    </row>
    <row r="13" spans="1:55" s="46" customFormat="1" ht="12.95" customHeight="1">
      <c r="A13" s="91"/>
      <c r="B13" s="986"/>
      <c r="C13" s="987"/>
      <c r="D13" s="987"/>
      <c r="E13" s="987"/>
      <c r="F13" s="987"/>
      <c r="G13" s="968"/>
      <c r="H13" s="968"/>
      <c r="I13" s="968"/>
      <c r="J13" s="968"/>
      <c r="K13" s="968"/>
      <c r="L13" s="968"/>
      <c r="M13" s="968"/>
      <c r="N13" s="968"/>
      <c r="O13" s="968"/>
      <c r="P13" s="968"/>
      <c r="Q13" s="968"/>
      <c r="R13" s="968"/>
      <c r="S13" s="968"/>
      <c r="T13" s="968"/>
      <c r="U13" s="587"/>
      <c r="V13" s="587"/>
      <c r="W13" s="587"/>
      <c r="X13" s="587"/>
      <c r="Y13" s="587"/>
      <c r="Z13" s="587"/>
      <c r="AA13" s="216" t="s">
        <v>146</v>
      </c>
      <c r="AB13" s="974" t="s">
        <v>1276</v>
      </c>
      <c r="AC13" s="975"/>
      <c r="AD13" s="975"/>
      <c r="AE13" s="975"/>
      <c r="AF13" s="975"/>
      <c r="AG13" s="975"/>
      <c r="AH13" s="975"/>
      <c r="AI13" s="975"/>
      <c r="AJ13" s="975"/>
      <c r="AK13" s="975"/>
      <c r="AL13" s="976"/>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86"/>
      <c r="C14" s="987"/>
      <c r="D14" s="987"/>
      <c r="E14" s="987"/>
      <c r="F14" s="987"/>
      <c r="G14" s="968"/>
      <c r="H14" s="968"/>
      <c r="I14" s="968"/>
      <c r="J14" s="968"/>
      <c r="K14" s="968"/>
      <c r="L14" s="968"/>
      <c r="M14" s="968"/>
      <c r="N14" s="968"/>
      <c r="O14" s="968"/>
      <c r="P14" s="968"/>
      <c r="Q14" s="968"/>
      <c r="R14" s="968"/>
      <c r="S14" s="968"/>
      <c r="T14" s="968"/>
      <c r="U14" s="587"/>
      <c r="V14" s="587"/>
      <c r="W14" s="587"/>
      <c r="X14" s="587"/>
      <c r="Y14" s="587"/>
      <c r="Z14" s="587"/>
      <c r="AA14" s="216" t="s">
        <v>143</v>
      </c>
      <c r="AB14" s="1002" t="s">
        <v>207</v>
      </c>
      <c r="AC14" s="1003"/>
      <c r="AD14" s="1003"/>
      <c r="AE14" s="1003"/>
      <c r="AF14" s="1003"/>
      <c r="AG14" s="1003"/>
      <c r="AH14" s="1003"/>
      <c r="AI14" s="1003"/>
      <c r="AJ14" s="1003"/>
      <c r="AK14" s="1003"/>
      <c r="AL14" s="1004"/>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66" t="s">
        <v>675</v>
      </c>
      <c r="C15" s="967"/>
      <c r="D15" s="967"/>
      <c r="E15" s="967"/>
      <c r="F15" s="967"/>
      <c r="G15" s="968" t="s">
        <v>942</v>
      </c>
      <c r="H15" s="968"/>
      <c r="I15" s="968"/>
      <c r="J15" s="968"/>
      <c r="K15" s="968"/>
      <c r="L15" s="968"/>
      <c r="M15" s="968"/>
      <c r="N15" s="968"/>
      <c r="O15" s="968"/>
      <c r="P15" s="968"/>
      <c r="Q15" s="968"/>
      <c r="R15" s="968"/>
      <c r="S15" s="968"/>
      <c r="T15" s="968"/>
      <c r="U15" s="587"/>
      <c r="V15" s="587"/>
      <c r="W15" s="587"/>
      <c r="X15" s="587"/>
      <c r="Y15" s="587"/>
      <c r="Z15" s="587"/>
      <c r="AA15" s="599" t="s">
        <v>955</v>
      </c>
      <c r="AB15" s="992"/>
      <c r="AC15" s="992"/>
      <c r="AD15" s="992"/>
      <c r="AE15" s="992"/>
      <c r="AF15" s="992"/>
      <c r="AG15" s="992"/>
      <c r="AH15" s="992"/>
      <c r="AI15" s="992"/>
      <c r="AJ15" s="992"/>
      <c r="AK15" s="992"/>
      <c r="AL15" s="992"/>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66"/>
      <c r="C16" s="967"/>
      <c r="D16" s="967"/>
      <c r="E16" s="967"/>
      <c r="F16" s="967"/>
      <c r="G16" s="968"/>
      <c r="H16" s="968"/>
      <c r="I16" s="968"/>
      <c r="J16" s="968"/>
      <c r="K16" s="968"/>
      <c r="L16" s="968"/>
      <c r="M16" s="968"/>
      <c r="N16" s="968"/>
      <c r="O16" s="968"/>
      <c r="P16" s="968"/>
      <c r="Q16" s="968"/>
      <c r="R16" s="968"/>
      <c r="S16" s="968"/>
      <c r="T16" s="968"/>
      <c r="U16" s="587"/>
      <c r="V16" s="587"/>
      <c r="W16" s="587"/>
      <c r="X16" s="587"/>
      <c r="Y16" s="587"/>
      <c r="Z16" s="587"/>
      <c r="AA16" s="216" t="s">
        <v>144</v>
      </c>
      <c r="AB16" s="993" t="s">
        <v>1274</v>
      </c>
      <c r="AC16" s="994"/>
      <c r="AD16" s="994"/>
      <c r="AE16" s="994"/>
      <c r="AF16" s="994"/>
      <c r="AG16" s="994"/>
      <c r="AH16" s="994"/>
      <c r="AI16" s="994"/>
      <c r="AJ16" s="994"/>
      <c r="AK16" s="994"/>
      <c r="AL16" s="995"/>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66"/>
      <c r="C17" s="967"/>
      <c r="D17" s="967"/>
      <c r="E17" s="967"/>
      <c r="F17" s="967"/>
      <c r="G17" s="968"/>
      <c r="H17" s="968"/>
      <c r="I17" s="968"/>
      <c r="J17" s="968"/>
      <c r="K17" s="968"/>
      <c r="L17" s="968"/>
      <c r="M17" s="968"/>
      <c r="N17" s="968"/>
      <c r="O17" s="968"/>
      <c r="P17" s="968"/>
      <c r="Q17" s="968"/>
      <c r="R17" s="968"/>
      <c r="S17" s="968"/>
      <c r="T17" s="968"/>
      <c r="U17" s="587"/>
      <c r="V17" s="587"/>
      <c r="W17" s="587"/>
      <c r="X17" s="587"/>
      <c r="Y17" s="587"/>
      <c r="Z17" s="587"/>
      <c r="AA17" s="216" t="s">
        <v>236</v>
      </c>
      <c r="AB17" s="999">
        <v>44957</v>
      </c>
      <c r="AC17" s="1000"/>
      <c r="AD17" s="1000"/>
      <c r="AE17" s="1000"/>
      <c r="AF17" s="1000"/>
      <c r="AG17" s="1000"/>
      <c r="AH17" s="1000"/>
      <c r="AI17" s="1000"/>
      <c r="AJ17" s="1000"/>
      <c r="AK17" s="1000"/>
      <c r="AL17" s="1001"/>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66" t="s">
        <v>1085</v>
      </c>
      <c r="C18" s="967"/>
      <c r="D18" s="967"/>
      <c r="E18" s="967"/>
      <c r="F18" s="967"/>
      <c r="G18" s="968" t="s">
        <v>1088</v>
      </c>
      <c r="H18" s="968"/>
      <c r="I18" s="968"/>
      <c r="J18" s="968"/>
      <c r="K18" s="968"/>
      <c r="L18" s="968"/>
      <c r="M18" s="968"/>
      <c r="N18" s="968"/>
      <c r="O18" s="968"/>
      <c r="P18" s="968"/>
      <c r="Q18" s="968"/>
      <c r="R18" s="968"/>
      <c r="S18" s="968"/>
      <c r="T18" s="968"/>
      <c r="U18" s="587"/>
      <c r="V18" s="587"/>
      <c r="W18" s="587"/>
      <c r="X18" s="587"/>
      <c r="Y18" s="587"/>
      <c r="Z18" s="587"/>
      <c r="AA18" s="216" t="s">
        <v>715</v>
      </c>
      <c r="AB18" s="974">
        <v>2022</v>
      </c>
      <c r="AC18" s="975"/>
      <c r="AD18" s="975"/>
      <c r="AE18" s="975"/>
      <c r="AF18" s="975"/>
      <c r="AG18" s="975"/>
      <c r="AH18" s="975"/>
      <c r="AI18" s="975"/>
      <c r="AJ18" s="975"/>
      <c r="AK18" s="975"/>
      <c r="AL18" s="976"/>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66"/>
      <c r="C19" s="967"/>
      <c r="D19" s="967"/>
      <c r="E19" s="967"/>
      <c r="F19" s="967"/>
      <c r="G19" s="968"/>
      <c r="H19" s="968"/>
      <c r="I19" s="968"/>
      <c r="J19" s="968"/>
      <c r="K19" s="968"/>
      <c r="L19" s="968"/>
      <c r="M19" s="968"/>
      <c r="N19" s="968"/>
      <c r="O19" s="968"/>
      <c r="P19" s="968"/>
      <c r="Q19" s="968"/>
      <c r="R19" s="968"/>
      <c r="S19" s="968"/>
      <c r="T19" s="968"/>
      <c r="U19" s="587"/>
      <c r="V19" s="587"/>
      <c r="W19" s="587"/>
      <c r="X19" s="587"/>
      <c r="Y19" s="587"/>
      <c r="Z19" s="587"/>
      <c r="AA19" s="216" t="s">
        <v>929</v>
      </c>
      <c r="AB19" s="974">
        <v>2022</v>
      </c>
      <c r="AC19" s="975"/>
      <c r="AD19" s="975"/>
      <c r="AE19" s="975"/>
      <c r="AF19" s="976"/>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66"/>
      <c r="C20" s="967"/>
      <c r="D20" s="967"/>
      <c r="E20" s="967"/>
      <c r="F20" s="967"/>
      <c r="G20" s="968"/>
      <c r="H20" s="968"/>
      <c r="I20" s="968"/>
      <c r="J20" s="968"/>
      <c r="K20" s="968"/>
      <c r="L20" s="968"/>
      <c r="M20" s="968"/>
      <c r="N20" s="968"/>
      <c r="O20" s="968"/>
      <c r="P20" s="968"/>
      <c r="Q20" s="968"/>
      <c r="R20" s="968"/>
      <c r="S20" s="968"/>
      <c r="T20" s="968"/>
      <c r="U20" s="587"/>
      <c r="V20" s="587"/>
      <c r="W20" s="587"/>
      <c r="X20" s="587"/>
      <c r="Y20" s="587"/>
      <c r="Z20" s="587"/>
      <c r="AA20" s="216" t="s">
        <v>1014</v>
      </c>
      <c r="AB20" s="999">
        <v>44562</v>
      </c>
      <c r="AC20" s="1000"/>
      <c r="AD20" s="1000"/>
      <c r="AE20" s="1000"/>
      <c r="AF20" s="1000"/>
      <c r="AG20" s="1000"/>
      <c r="AH20" s="1000"/>
      <c r="AI20" s="1000"/>
      <c r="AJ20" s="1000"/>
      <c r="AK20" s="1000"/>
      <c r="AL20" s="1001"/>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66" t="s">
        <v>944</v>
      </c>
      <c r="C21" s="967"/>
      <c r="D21" s="967"/>
      <c r="E21" s="967"/>
      <c r="F21" s="967"/>
      <c r="G21" s="968" t="s">
        <v>976</v>
      </c>
      <c r="H21" s="968"/>
      <c r="I21" s="968"/>
      <c r="J21" s="968"/>
      <c r="K21" s="968"/>
      <c r="L21" s="968"/>
      <c r="M21" s="968"/>
      <c r="N21" s="968"/>
      <c r="O21" s="968"/>
      <c r="P21" s="968"/>
      <c r="Q21" s="968"/>
      <c r="R21" s="968"/>
      <c r="S21" s="968"/>
      <c r="T21" s="968"/>
      <c r="U21" s="587"/>
      <c r="V21" s="587"/>
      <c r="W21" s="587"/>
      <c r="X21" s="587"/>
      <c r="Y21" s="587"/>
      <c r="Z21" s="587"/>
      <c r="AA21" s="216" t="s">
        <v>1015</v>
      </c>
      <c r="AB21" s="1005">
        <v>44926</v>
      </c>
      <c r="AC21" s="1006"/>
      <c r="AD21" s="1006"/>
      <c r="AE21" s="1006"/>
      <c r="AF21" s="1006"/>
      <c r="AG21" s="1006"/>
      <c r="AH21" s="1006"/>
      <c r="AI21" s="1006"/>
      <c r="AJ21" s="1006"/>
      <c r="AK21" s="1006"/>
      <c r="AL21" s="1007"/>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66"/>
      <c r="C22" s="967"/>
      <c r="D22" s="967"/>
      <c r="E22" s="967"/>
      <c r="F22" s="967"/>
      <c r="G22" s="968"/>
      <c r="H22" s="968"/>
      <c r="I22" s="968"/>
      <c r="J22" s="968"/>
      <c r="K22" s="968"/>
      <c r="L22" s="968"/>
      <c r="M22" s="968"/>
      <c r="N22" s="968"/>
      <c r="O22" s="968"/>
      <c r="P22" s="968"/>
      <c r="Q22" s="968"/>
      <c r="R22" s="968"/>
      <c r="S22" s="968"/>
      <c r="T22" s="968"/>
      <c r="U22" s="587"/>
      <c r="V22" s="587"/>
      <c r="W22" s="587"/>
      <c r="X22" s="587"/>
      <c r="Y22" s="587"/>
      <c r="Z22" s="587"/>
      <c r="AA22" s="216" t="s">
        <v>240</v>
      </c>
      <c r="AB22" s="996" t="s">
        <v>25</v>
      </c>
      <c r="AC22" s="997"/>
      <c r="AD22" s="997"/>
      <c r="AE22" s="997"/>
      <c r="AF22" s="997"/>
      <c r="AG22" s="997"/>
      <c r="AH22" s="997"/>
      <c r="AI22" s="997"/>
      <c r="AJ22" s="997"/>
      <c r="AK22" s="997"/>
      <c r="AL22" s="998"/>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66"/>
      <c r="C23" s="967"/>
      <c r="D23" s="967"/>
      <c r="E23" s="967"/>
      <c r="F23" s="967"/>
      <c r="G23" s="968"/>
      <c r="H23" s="968"/>
      <c r="I23" s="968"/>
      <c r="J23" s="968"/>
      <c r="K23" s="968"/>
      <c r="L23" s="968"/>
      <c r="M23" s="968"/>
      <c r="N23" s="968"/>
      <c r="O23" s="968"/>
      <c r="P23" s="968"/>
      <c r="Q23" s="968"/>
      <c r="R23" s="968"/>
      <c r="S23" s="968"/>
      <c r="T23" s="968"/>
      <c r="U23" s="587"/>
      <c r="AA23" s="216" t="s">
        <v>1012</v>
      </c>
      <c r="AB23" s="934" t="s">
        <v>1006</v>
      </c>
      <c r="AC23" s="935"/>
      <c r="AD23" s="935"/>
      <c r="AE23" s="935"/>
      <c r="AF23" s="936"/>
      <c r="AG23" s="937"/>
      <c r="AH23" s="937"/>
      <c r="AI23" s="937"/>
      <c r="AJ23" s="937"/>
      <c r="AK23" s="937"/>
      <c r="AL23" s="937"/>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66" t="s">
        <v>946</v>
      </c>
      <c r="C24" s="967"/>
      <c r="D24" s="967"/>
      <c r="E24" s="967"/>
      <c r="F24" s="967"/>
      <c r="G24" s="968" t="s">
        <v>947</v>
      </c>
      <c r="H24" s="968"/>
      <c r="I24" s="968"/>
      <c r="J24" s="968"/>
      <c r="K24" s="968"/>
      <c r="L24" s="968"/>
      <c r="M24" s="968"/>
      <c r="N24" s="968"/>
      <c r="O24" s="968"/>
      <c r="P24" s="968"/>
      <c r="Q24" s="968"/>
      <c r="R24" s="968"/>
      <c r="S24" s="968"/>
      <c r="T24" s="968"/>
      <c r="U24" s="587"/>
      <c r="AA24" s="216" t="s">
        <v>1004</v>
      </c>
      <c r="AB24" s="938" t="s">
        <v>1008</v>
      </c>
      <c r="AC24" s="939"/>
      <c r="AD24" s="939"/>
      <c r="AE24" s="939"/>
      <c r="AF24" s="940"/>
      <c r="AG24" s="941"/>
      <c r="AH24" s="942"/>
      <c r="AI24" s="942"/>
      <c r="AJ24" s="942"/>
      <c r="AK24" s="942"/>
      <c r="AL24" s="942"/>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66"/>
      <c r="C25" s="967"/>
      <c r="D25" s="967"/>
      <c r="E25" s="967"/>
      <c r="F25" s="967"/>
      <c r="G25" s="968"/>
      <c r="H25" s="968"/>
      <c r="I25" s="968"/>
      <c r="J25" s="968"/>
      <c r="K25" s="968"/>
      <c r="L25" s="968"/>
      <c r="M25" s="968"/>
      <c r="N25" s="968"/>
      <c r="O25" s="968"/>
      <c r="P25" s="968"/>
      <c r="Q25" s="968"/>
      <c r="R25" s="968"/>
      <c r="S25" s="968"/>
      <c r="T25" s="968"/>
      <c r="U25" s="587"/>
      <c r="V25" s="587"/>
      <c r="W25" s="587"/>
      <c r="X25" s="587"/>
      <c r="Y25" s="587"/>
      <c r="Z25" s="587"/>
      <c r="AA25" s="216" t="s">
        <v>1001</v>
      </c>
      <c r="AB25" s="938" t="s">
        <v>1277</v>
      </c>
      <c r="AC25" s="939"/>
      <c r="AD25" s="939"/>
      <c r="AE25" s="939"/>
      <c r="AF25" s="939"/>
      <c r="AG25" s="939"/>
      <c r="AH25" s="939"/>
      <c r="AI25" s="939"/>
      <c r="AJ25" s="939"/>
      <c r="AK25" s="939"/>
      <c r="AL25" s="948"/>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66"/>
      <c r="C26" s="967"/>
      <c r="D26" s="967"/>
      <c r="E26" s="967"/>
      <c r="F26" s="967"/>
      <c r="G26" s="968"/>
      <c r="H26" s="968"/>
      <c r="I26" s="968"/>
      <c r="J26" s="968"/>
      <c r="K26" s="968"/>
      <c r="L26" s="968"/>
      <c r="M26" s="968"/>
      <c r="N26" s="968"/>
      <c r="O26" s="968"/>
      <c r="P26" s="968"/>
      <c r="Q26" s="968"/>
      <c r="R26" s="968"/>
      <c r="S26" s="968"/>
      <c r="T26" s="968"/>
      <c r="U26" s="587"/>
      <c r="V26" s="587"/>
      <c r="W26" s="587"/>
      <c r="X26" s="587"/>
      <c r="Y26" s="587"/>
      <c r="Z26" s="587"/>
      <c r="AA26" s="592" t="s">
        <v>998</v>
      </c>
      <c r="AB26" s="938" t="s">
        <v>1275</v>
      </c>
      <c r="AC26" s="939"/>
      <c r="AD26" s="939"/>
      <c r="AE26" s="939"/>
      <c r="AF26" s="939"/>
      <c r="AG26" s="939"/>
      <c r="AH26" s="939"/>
      <c r="AI26" s="939"/>
      <c r="AJ26" s="939"/>
      <c r="AK26" s="939"/>
      <c r="AL26" s="948"/>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66" t="s">
        <v>785</v>
      </c>
      <c r="C27" s="967"/>
      <c r="D27" s="967"/>
      <c r="E27" s="967"/>
      <c r="F27" s="967"/>
      <c r="G27" s="968" t="s">
        <v>994</v>
      </c>
      <c r="H27" s="968"/>
      <c r="I27" s="968"/>
      <c r="J27" s="968"/>
      <c r="K27" s="968"/>
      <c r="L27" s="968"/>
      <c r="M27" s="968"/>
      <c r="N27" s="968"/>
      <c r="O27" s="968"/>
      <c r="P27" s="968"/>
      <c r="Q27" s="968"/>
      <c r="R27" s="968"/>
      <c r="S27" s="968"/>
      <c r="T27" s="968"/>
      <c r="U27" s="587"/>
      <c r="AA27" s="592" t="s">
        <v>999</v>
      </c>
      <c r="AB27" s="938" t="s">
        <v>1275</v>
      </c>
      <c r="AC27" s="939"/>
      <c r="AD27" s="939"/>
      <c r="AE27" s="939"/>
      <c r="AF27" s="939"/>
      <c r="AG27" s="939"/>
      <c r="AH27" s="939"/>
      <c r="AI27" s="939"/>
      <c r="AJ27" s="939"/>
      <c r="AK27" s="939"/>
      <c r="AL27" s="948"/>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66"/>
      <c r="C28" s="967"/>
      <c r="D28" s="967"/>
      <c r="E28" s="967"/>
      <c r="F28" s="967"/>
      <c r="G28" s="968"/>
      <c r="H28" s="968"/>
      <c r="I28" s="968"/>
      <c r="J28" s="968"/>
      <c r="K28" s="968"/>
      <c r="L28" s="968"/>
      <c r="M28" s="968"/>
      <c r="N28" s="968"/>
      <c r="O28" s="968"/>
      <c r="P28" s="968"/>
      <c r="Q28" s="968"/>
      <c r="R28" s="968"/>
      <c r="S28" s="968"/>
      <c r="T28" s="968"/>
      <c r="U28" s="623"/>
      <c r="V28" s="587"/>
      <c r="W28" s="587"/>
      <c r="X28" s="587"/>
      <c r="Y28" s="587"/>
      <c r="Z28" s="587"/>
      <c r="AB28" s="585"/>
      <c r="AC28" s="585"/>
      <c r="AD28" s="585"/>
      <c r="AE28" s="585"/>
      <c r="AF28" s="585"/>
      <c r="AG28" s="585"/>
      <c r="AH28" s="216" t="s">
        <v>1002</v>
      </c>
      <c r="AI28" s="950"/>
      <c r="AJ28" s="951"/>
      <c r="AK28" s="951"/>
      <c r="AL28" s="952"/>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66"/>
      <c r="C29" s="967"/>
      <c r="D29" s="967"/>
      <c r="E29" s="967"/>
      <c r="F29" s="967"/>
      <c r="G29" s="968"/>
      <c r="H29" s="968"/>
      <c r="I29" s="968"/>
      <c r="J29" s="968"/>
      <c r="K29" s="968"/>
      <c r="L29" s="968"/>
      <c r="M29" s="968"/>
      <c r="N29" s="968"/>
      <c r="O29" s="968"/>
      <c r="P29" s="968"/>
      <c r="Q29" s="968"/>
      <c r="R29" s="968"/>
      <c r="S29" s="968"/>
      <c r="T29" s="96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66" t="s">
        <v>948</v>
      </c>
      <c r="C30" s="967"/>
      <c r="D30" s="967"/>
      <c r="E30" s="967"/>
      <c r="F30" s="967"/>
      <c r="G30" s="968" t="s">
        <v>949</v>
      </c>
      <c r="H30" s="968"/>
      <c r="I30" s="968"/>
      <c r="J30" s="968"/>
      <c r="K30" s="968"/>
      <c r="L30" s="968"/>
      <c r="M30" s="968"/>
      <c r="N30" s="968"/>
      <c r="O30" s="968"/>
      <c r="P30" s="968"/>
      <c r="Q30" s="968"/>
      <c r="R30" s="968"/>
      <c r="S30" s="968"/>
      <c r="T30" s="968"/>
      <c r="U30" s="623"/>
      <c r="BB30" s="584"/>
      <c r="BC30" s="91"/>
    </row>
    <row r="31" spans="1:55" s="46" customFormat="1" ht="12.95" customHeight="1">
      <c r="A31" s="91"/>
      <c r="B31" s="966"/>
      <c r="C31" s="967"/>
      <c r="D31" s="967"/>
      <c r="E31" s="967"/>
      <c r="F31" s="967"/>
      <c r="G31" s="968"/>
      <c r="H31" s="968"/>
      <c r="I31" s="968"/>
      <c r="J31" s="968"/>
      <c r="K31" s="968"/>
      <c r="L31" s="968"/>
      <c r="M31" s="968"/>
      <c r="N31" s="968"/>
      <c r="O31" s="968"/>
      <c r="P31" s="968"/>
      <c r="Q31" s="968"/>
      <c r="R31" s="968"/>
      <c r="S31" s="968"/>
      <c r="T31" s="968"/>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66"/>
      <c r="C32" s="967"/>
      <c r="D32" s="967"/>
      <c r="E32" s="967"/>
      <c r="F32" s="967"/>
      <c r="G32" s="968"/>
      <c r="H32" s="968"/>
      <c r="I32" s="968"/>
      <c r="J32" s="968"/>
      <c r="K32" s="968"/>
      <c r="L32" s="968"/>
      <c r="M32" s="968"/>
      <c r="N32" s="968"/>
      <c r="O32" s="968"/>
      <c r="P32" s="968"/>
      <c r="Q32" s="968"/>
      <c r="R32" s="968"/>
      <c r="S32" s="968"/>
      <c r="T32" s="96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66" t="s">
        <v>950</v>
      </c>
      <c r="C33" s="967"/>
      <c r="D33" s="967"/>
      <c r="E33" s="967"/>
      <c r="F33" s="967"/>
      <c r="G33" s="968" t="s">
        <v>977</v>
      </c>
      <c r="H33" s="968"/>
      <c r="I33" s="968"/>
      <c r="J33" s="968"/>
      <c r="K33" s="968"/>
      <c r="L33" s="968"/>
      <c r="M33" s="968"/>
      <c r="N33" s="968"/>
      <c r="O33" s="968"/>
      <c r="P33" s="968"/>
      <c r="Q33" s="968"/>
      <c r="R33" s="968"/>
      <c r="S33" s="968"/>
      <c r="T33" s="96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66"/>
      <c r="C34" s="967"/>
      <c r="D34" s="967"/>
      <c r="E34" s="967"/>
      <c r="F34" s="967"/>
      <c r="G34" s="968"/>
      <c r="H34" s="968"/>
      <c r="I34" s="968"/>
      <c r="J34" s="968"/>
      <c r="K34" s="968"/>
      <c r="L34" s="968"/>
      <c r="M34" s="968"/>
      <c r="N34" s="968"/>
      <c r="O34" s="968"/>
      <c r="P34" s="968"/>
      <c r="Q34" s="968"/>
      <c r="R34" s="968"/>
      <c r="S34" s="968"/>
      <c r="T34" s="968"/>
      <c r="U34" s="631"/>
      <c r="V34" s="623"/>
      <c r="X34" s="650"/>
      <c r="Y34" s="650"/>
      <c r="AA34" s="908" t="s">
        <v>932</v>
      </c>
      <c r="AB34" s="954" t="s">
        <v>669</v>
      </c>
      <c r="AC34" s="954"/>
      <c r="AD34" s="954"/>
      <c r="AE34" s="954"/>
      <c r="AF34" s="610"/>
      <c r="AG34" s="610"/>
      <c r="AH34" s="610"/>
      <c r="AI34" s="610"/>
      <c r="AJ34" s="620"/>
      <c r="AK34" s="620"/>
      <c r="AM34" s="650"/>
      <c r="AN34" s="650"/>
      <c r="AO34" s="650"/>
      <c r="AR34" s="908" t="s">
        <v>932</v>
      </c>
      <c r="AS34" s="954" t="s">
        <v>675</v>
      </c>
      <c r="AT34" s="954"/>
      <c r="AU34" s="954"/>
      <c r="AV34" s="954"/>
      <c r="AW34" s="954"/>
      <c r="AX34" s="954"/>
      <c r="AY34" s="954"/>
      <c r="AZ34" s="954"/>
      <c r="BA34" s="621"/>
      <c r="BB34" s="584"/>
      <c r="BC34" s="91"/>
    </row>
    <row r="35" spans="1:55" s="46" customFormat="1" ht="12.95" customHeight="1">
      <c r="A35" s="91"/>
      <c r="B35" s="966"/>
      <c r="C35" s="967"/>
      <c r="D35" s="967"/>
      <c r="E35" s="967"/>
      <c r="F35" s="967"/>
      <c r="G35" s="968"/>
      <c r="H35" s="968"/>
      <c r="I35" s="968"/>
      <c r="J35" s="968"/>
      <c r="K35" s="968"/>
      <c r="L35" s="968"/>
      <c r="M35" s="968"/>
      <c r="N35" s="968"/>
      <c r="O35" s="968"/>
      <c r="P35" s="968"/>
      <c r="Q35" s="968"/>
      <c r="R35" s="968"/>
      <c r="S35" s="968"/>
      <c r="T35" s="96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66" t="s">
        <v>951</v>
      </c>
      <c r="C36" s="967"/>
      <c r="D36" s="967"/>
      <c r="E36" s="967"/>
      <c r="F36" s="967"/>
      <c r="G36" s="968" t="s">
        <v>952</v>
      </c>
      <c r="H36" s="968"/>
      <c r="I36" s="968"/>
      <c r="J36" s="968"/>
      <c r="K36" s="968"/>
      <c r="L36" s="968"/>
      <c r="M36" s="968"/>
      <c r="N36" s="968"/>
      <c r="O36" s="968"/>
      <c r="P36" s="968"/>
      <c r="Q36" s="968"/>
      <c r="R36" s="968"/>
      <c r="S36" s="968"/>
      <c r="T36" s="968"/>
      <c r="U36" s="631"/>
      <c r="V36" s="955" t="s">
        <v>993</v>
      </c>
      <c r="W36" s="955"/>
      <c r="X36" s="955"/>
      <c r="Y36" s="955"/>
      <c r="Z36" s="955"/>
      <c r="AA36" s="955"/>
      <c r="AB36" s="955"/>
      <c r="AC36" s="955"/>
      <c r="AD36" s="955"/>
      <c r="AE36" s="955"/>
      <c r="AF36" s="955"/>
      <c r="AG36" s="646"/>
      <c r="AH36" s="949" t="s">
        <v>1247</v>
      </c>
      <c r="AI36" s="949"/>
      <c r="AJ36" s="949"/>
      <c r="AK36" s="949"/>
      <c r="AL36" s="949"/>
      <c r="AM36" s="949"/>
      <c r="AN36" s="949"/>
      <c r="AO36" s="949"/>
      <c r="AP36" s="949"/>
      <c r="AQ36" s="949"/>
      <c r="AR36" s="949"/>
      <c r="AS36" s="949"/>
      <c r="AT36" s="949"/>
      <c r="AU36" s="949"/>
      <c r="AV36" s="949"/>
      <c r="AW36" s="949"/>
      <c r="AX36" s="949"/>
      <c r="AY36" s="949"/>
      <c r="AZ36" s="949"/>
      <c r="BA36" s="949"/>
      <c r="BB36" s="584"/>
      <c r="BC36" s="91"/>
    </row>
    <row r="37" spans="1:55" s="46" customFormat="1" ht="12.95" customHeight="1">
      <c r="A37" s="91"/>
      <c r="B37" s="966"/>
      <c r="C37" s="967"/>
      <c r="D37" s="967"/>
      <c r="E37" s="967"/>
      <c r="F37" s="967"/>
      <c r="G37" s="968"/>
      <c r="H37" s="968"/>
      <c r="I37" s="968"/>
      <c r="J37" s="968"/>
      <c r="K37" s="968"/>
      <c r="L37" s="968"/>
      <c r="M37" s="968"/>
      <c r="N37" s="968"/>
      <c r="O37" s="968"/>
      <c r="P37" s="968"/>
      <c r="Q37" s="968"/>
      <c r="R37" s="968"/>
      <c r="S37" s="968"/>
      <c r="T37" s="968"/>
      <c r="U37" s="631"/>
      <c r="V37" s="955" t="s">
        <v>975</v>
      </c>
      <c r="W37" s="955"/>
      <c r="X37" s="955"/>
      <c r="Y37" s="955"/>
      <c r="Z37" s="955"/>
      <c r="AA37" s="955"/>
      <c r="AB37" s="955"/>
      <c r="AC37" s="955"/>
      <c r="AD37" s="955"/>
      <c r="AE37" s="955"/>
      <c r="AF37" s="955"/>
      <c r="AG37" s="646"/>
      <c r="AH37" s="949"/>
      <c r="AI37" s="949"/>
      <c r="AJ37" s="949"/>
      <c r="AK37" s="949"/>
      <c r="AL37" s="949"/>
      <c r="AM37" s="949"/>
      <c r="AN37" s="949"/>
      <c r="AO37" s="949"/>
      <c r="AP37" s="949"/>
      <c r="AQ37" s="949"/>
      <c r="AR37" s="949"/>
      <c r="AS37" s="949"/>
      <c r="AT37" s="949"/>
      <c r="AU37" s="949"/>
      <c r="AV37" s="949"/>
      <c r="AW37" s="949"/>
      <c r="AX37" s="949"/>
      <c r="AY37" s="949"/>
      <c r="AZ37" s="949"/>
      <c r="BA37" s="949"/>
      <c r="BB37" s="584"/>
      <c r="BC37" s="91"/>
    </row>
    <row r="38" spans="1:55" s="46" customFormat="1" ht="12.95" customHeight="1">
      <c r="A38" s="91"/>
      <c r="B38" s="966"/>
      <c r="C38" s="967"/>
      <c r="D38" s="967"/>
      <c r="E38" s="967"/>
      <c r="F38" s="967"/>
      <c r="G38" s="968"/>
      <c r="H38" s="968"/>
      <c r="I38" s="968"/>
      <c r="J38" s="968"/>
      <c r="K38" s="968"/>
      <c r="L38" s="968"/>
      <c r="M38" s="968"/>
      <c r="N38" s="968"/>
      <c r="O38" s="968"/>
      <c r="P38" s="968"/>
      <c r="Q38" s="968"/>
      <c r="R38" s="968"/>
      <c r="S38" s="968"/>
      <c r="T38" s="968"/>
      <c r="U38" s="631"/>
      <c r="V38" s="630"/>
      <c r="W38" s="630"/>
      <c r="X38" s="953" t="s">
        <v>1018</v>
      </c>
      <c r="Y38" s="953"/>
      <c r="Z38" s="953"/>
      <c r="AA38" s="953"/>
      <c r="AB38" s="953"/>
      <c r="AC38" s="953"/>
      <c r="AD38" s="95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66" t="s">
        <v>953</v>
      </c>
      <c r="C39" s="967"/>
      <c r="D39" s="967"/>
      <c r="E39" s="967"/>
      <c r="F39" s="967"/>
      <c r="G39" s="968" t="s">
        <v>954</v>
      </c>
      <c r="H39" s="968"/>
      <c r="I39" s="968"/>
      <c r="J39" s="968"/>
      <c r="K39" s="968"/>
      <c r="L39" s="968"/>
      <c r="M39" s="968"/>
      <c r="N39" s="968"/>
      <c r="O39" s="968"/>
      <c r="P39" s="968"/>
      <c r="Q39" s="968"/>
      <c r="R39" s="968"/>
      <c r="S39" s="968"/>
      <c r="T39" s="968"/>
      <c r="U39" s="631"/>
      <c r="V39" s="630"/>
      <c r="W39" s="957">
        <v>0.01</v>
      </c>
      <c r="X39" s="957"/>
      <c r="Y39" s="957"/>
      <c r="Z39" s="943" t="s">
        <v>789</v>
      </c>
      <c r="AA39" s="944"/>
      <c r="AB39" s="945"/>
      <c r="AC39" s="628" t="s">
        <v>880</v>
      </c>
      <c r="AD39" s="630"/>
      <c r="AE39" s="630"/>
      <c r="AF39" s="630"/>
      <c r="AG39" s="630"/>
      <c r="AH39" s="630"/>
      <c r="AI39" s="630"/>
      <c r="AJ39" s="630"/>
      <c r="AK39" s="630"/>
      <c r="AL39" s="629"/>
      <c r="AM39" s="620"/>
      <c r="AN39" s="632"/>
      <c r="AO39" s="956"/>
      <c r="AP39" s="956"/>
      <c r="AQ39" s="956"/>
      <c r="AR39" s="956"/>
      <c r="AS39" s="956"/>
      <c r="AT39" s="956"/>
      <c r="AU39" s="956"/>
      <c r="AV39" s="956"/>
      <c r="AW39" s="956"/>
      <c r="AX39" s="630"/>
      <c r="AY39" s="630"/>
      <c r="AZ39" s="634"/>
      <c r="BA39" s="621"/>
      <c r="BB39" s="584"/>
      <c r="BC39" s="91"/>
    </row>
    <row r="40" spans="1:55" s="46" customFormat="1" ht="12.95" customHeight="1">
      <c r="A40" s="91"/>
      <c r="B40" s="966"/>
      <c r="C40" s="967"/>
      <c r="D40" s="967"/>
      <c r="E40" s="967"/>
      <c r="F40" s="967"/>
      <c r="G40" s="968"/>
      <c r="H40" s="968"/>
      <c r="I40" s="968"/>
      <c r="J40" s="968"/>
      <c r="K40" s="968"/>
      <c r="L40" s="968"/>
      <c r="M40" s="968"/>
      <c r="N40" s="968"/>
      <c r="O40" s="968"/>
      <c r="P40" s="968"/>
      <c r="Q40" s="968"/>
      <c r="R40" s="968"/>
      <c r="S40" s="968"/>
      <c r="T40" s="968"/>
      <c r="U40" s="631"/>
      <c r="V40" s="630"/>
      <c r="W40" s="630"/>
      <c r="X40" s="630"/>
      <c r="Y40" s="630"/>
      <c r="Z40" s="943" t="s">
        <v>790</v>
      </c>
      <c r="AA40" s="944"/>
      <c r="AB40" s="945"/>
      <c r="AC40" s="946" t="s">
        <v>943</v>
      </c>
      <c r="AD40" s="947"/>
      <c r="AE40" s="947"/>
      <c r="AF40" s="630"/>
      <c r="AG40" s="630"/>
      <c r="AH40" s="630"/>
      <c r="AI40" s="630"/>
      <c r="AJ40" s="630"/>
      <c r="AK40" s="630"/>
      <c r="AL40" s="629"/>
      <c r="AM40" s="620"/>
      <c r="AN40" s="636"/>
      <c r="AO40" s="956"/>
      <c r="AP40" s="956"/>
      <c r="AQ40" s="956"/>
      <c r="AR40" s="956"/>
      <c r="AS40" s="956"/>
      <c r="AT40" s="956"/>
      <c r="AU40" s="956"/>
      <c r="AV40" s="956"/>
      <c r="AW40" s="956"/>
      <c r="AX40" s="630"/>
      <c r="AY40" s="630"/>
      <c r="AZ40" s="634"/>
      <c r="BA40" s="621"/>
      <c r="BB40" s="584"/>
      <c r="BC40" s="91"/>
    </row>
    <row r="41" spans="1:55" s="46" customFormat="1" ht="12.95" customHeight="1">
      <c r="A41" s="91"/>
      <c r="B41" s="966"/>
      <c r="C41" s="967"/>
      <c r="D41" s="967"/>
      <c r="E41" s="967"/>
      <c r="F41" s="967"/>
      <c r="G41" s="968"/>
      <c r="H41" s="968"/>
      <c r="I41" s="968"/>
      <c r="J41" s="968"/>
      <c r="K41" s="968"/>
      <c r="L41" s="968"/>
      <c r="M41" s="968"/>
      <c r="N41" s="968"/>
      <c r="O41" s="968"/>
      <c r="P41" s="968"/>
      <c r="Q41" s="968"/>
      <c r="R41" s="968"/>
      <c r="S41" s="968"/>
      <c r="T41" s="96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55" t="s">
        <v>992</v>
      </c>
      <c r="W42" s="955"/>
      <c r="X42" s="955"/>
      <c r="Y42" s="955"/>
      <c r="Z42" s="955"/>
      <c r="AA42" s="955"/>
      <c r="AB42" s="955"/>
      <c r="AC42" s="955"/>
      <c r="AD42" s="955"/>
      <c r="AE42" s="955"/>
      <c r="AF42" s="955"/>
      <c r="AG42" s="630"/>
      <c r="AH42" s="956" t="s">
        <v>1246</v>
      </c>
      <c r="AI42" s="956"/>
      <c r="AJ42" s="956"/>
      <c r="AK42" s="956"/>
      <c r="AL42" s="956"/>
      <c r="AM42" s="956"/>
      <c r="AN42" s="956"/>
      <c r="AO42" s="956"/>
      <c r="AP42" s="956"/>
      <c r="AQ42" s="956"/>
      <c r="AR42" s="956"/>
      <c r="AS42" s="956"/>
      <c r="AT42" s="956"/>
      <c r="AU42" s="956"/>
      <c r="AV42" s="956"/>
      <c r="AW42" s="956"/>
      <c r="BB42" s="584"/>
      <c r="BC42" s="91"/>
    </row>
    <row r="43" spans="1:55" s="46" customFormat="1" ht="12.95" customHeight="1">
      <c r="A43" s="91"/>
      <c r="B43" s="593"/>
      <c r="U43" s="631"/>
      <c r="V43" s="955" t="s">
        <v>945</v>
      </c>
      <c r="W43" s="955"/>
      <c r="X43" s="955"/>
      <c r="Y43" s="955"/>
      <c r="Z43" s="955"/>
      <c r="AA43" s="955"/>
      <c r="AB43" s="955"/>
      <c r="AC43" s="955"/>
      <c r="AD43" s="955"/>
      <c r="AE43" s="955"/>
      <c r="AF43" s="955"/>
      <c r="AG43" s="646"/>
      <c r="AH43" s="956"/>
      <c r="AI43" s="956"/>
      <c r="AJ43" s="956"/>
      <c r="AK43" s="956"/>
      <c r="AL43" s="956"/>
      <c r="AM43" s="956"/>
      <c r="AN43" s="956"/>
      <c r="AO43" s="956"/>
      <c r="AP43" s="956"/>
      <c r="AQ43" s="956"/>
      <c r="AR43" s="956"/>
      <c r="AS43" s="956"/>
      <c r="AT43" s="956"/>
      <c r="AU43" s="956"/>
      <c r="AV43" s="956"/>
      <c r="AW43" s="956"/>
      <c r="AX43" s="963"/>
      <c r="AY43" s="964"/>
      <c r="AZ43" s="965"/>
      <c r="BA43" s="621"/>
      <c r="BB43" s="584"/>
      <c r="BC43" s="91"/>
    </row>
    <row r="44" spans="1:55" s="46" customFormat="1" ht="12.95" customHeight="1">
      <c r="A44" s="91"/>
      <c r="B44" s="593"/>
      <c r="C44" s="201" t="s">
        <v>1080</v>
      </c>
      <c r="D44" s="624"/>
      <c r="E44" s="624"/>
      <c r="U44" s="631"/>
      <c r="V44" s="630"/>
      <c r="W44" s="630"/>
      <c r="X44" s="953" t="s">
        <v>1018</v>
      </c>
      <c r="Y44" s="953"/>
      <c r="Z44" s="953"/>
      <c r="AA44" s="953"/>
      <c r="AB44" s="953"/>
      <c r="AC44" s="953"/>
      <c r="AD44" s="953"/>
      <c r="AE44" s="630"/>
      <c r="AF44" s="630"/>
      <c r="AG44" s="646"/>
      <c r="AH44" s="956"/>
      <c r="AI44" s="956"/>
      <c r="AJ44" s="956"/>
      <c r="AK44" s="956"/>
      <c r="AL44" s="956"/>
      <c r="AM44" s="956"/>
      <c r="AN44" s="956"/>
      <c r="AO44" s="956"/>
      <c r="AP44" s="956"/>
      <c r="AQ44" s="956"/>
      <c r="AR44" s="956"/>
      <c r="AS44" s="956"/>
      <c r="AT44" s="956"/>
      <c r="AU44" s="956"/>
      <c r="AV44" s="956"/>
      <c r="AW44" s="956"/>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60">
        <v>2.5000000000000001E-3</v>
      </c>
      <c r="X45" s="961"/>
      <c r="Y45" s="962"/>
      <c r="Z45" s="944" t="s">
        <v>788</v>
      </c>
      <c r="AA45" s="944"/>
      <c r="AB45" s="945"/>
      <c r="AC45" s="628" t="s">
        <v>880</v>
      </c>
      <c r="AD45" s="630"/>
      <c r="AE45" s="630"/>
      <c r="AF45" s="630"/>
      <c r="AG45" s="646"/>
      <c r="AH45" s="646"/>
      <c r="AI45" s="959" t="s">
        <v>1245</v>
      </c>
      <c r="AJ45" s="959"/>
      <c r="AK45" s="959"/>
      <c r="AL45" s="959"/>
      <c r="AM45" s="959"/>
      <c r="AN45" s="959"/>
      <c r="AO45" s="959"/>
      <c r="AP45" s="959"/>
      <c r="AQ45" s="959"/>
      <c r="AR45" s="959"/>
      <c r="AS45" s="959"/>
      <c r="AT45" s="959"/>
      <c r="AU45" s="959"/>
      <c r="AV45" s="959"/>
      <c r="AW45" s="959"/>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43" t="s">
        <v>837</v>
      </c>
      <c r="AA46" s="944"/>
      <c r="AB46" s="945"/>
      <c r="AC46" s="946" t="s">
        <v>1019</v>
      </c>
      <c r="AD46" s="947"/>
      <c r="AE46" s="947"/>
      <c r="AF46" s="630"/>
      <c r="AG46" s="630"/>
      <c r="AH46" s="630"/>
      <c r="AI46" s="959"/>
      <c r="AJ46" s="959"/>
      <c r="AK46" s="959"/>
      <c r="AL46" s="959"/>
      <c r="AM46" s="959"/>
      <c r="AN46" s="959"/>
      <c r="AO46" s="959"/>
      <c r="AP46" s="959"/>
      <c r="AQ46" s="959"/>
      <c r="AR46" s="959"/>
      <c r="AS46" s="959"/>
      <c r="AT46" s="959"/>
      <c r="AU46" s="959"/>
      <c r="AV46" s="959"/>
      <c r="AW46" s="959"/>
      <c r="AX46" s="958">
        <v>7</v>
      </c>
      <c r="AY46" s="958"/>
      <c r="AZ46" s="958"/>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59"/>
      <c r="AJ47" s="959"/>
      <c r="AK47" s="959"/>
      <c r="AL47" s="959"/>
      <c r="AM47" s="959"/>
      <c r="AN47" s="959"/>
      <c r="AO47" s="959"/>
      <c r="AP47" s="959"/>
      <c r="AQ47" s="959"/>
      <c r="AR47" s="959"/>
      <c r="AS47" s="959"/>
      <c r="AT47" s="959"/>
      <c r="AU47" s="959"/>
      <c r="AV47" s="959"/>
      <c r="AW47" s="959"/>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56" t="s">
        <v>1256</v>
      </c>
      <c r="AE48" s="956"/>
      <c r="AF48" s="956"/>
      <c r="AG48" s="956"/>
      <c r="AH48" s="956"/>
      <c r="AI48" s="956"/>
      <c r="AJ48" s="956"/>
      <c r="AK48" s="956"/>
      <c r="AL48" s="956"/>
      <c r="AM48" s="956"/>
      <c r="AN48" s="956"/>
      <c r="AO48" s="956"/>
      <c r="AP48" s="956"/>
      <c r="AQ48" s="956"/>
      <c r="AR48" s="956"/>
      <c r="AS48" s="956"/>
      <c r="AT48" s="956"/>
      <c r="AU48" s="956"/>
      <c r="AV48" s="956"/>
      <c r="AW48" s="956"/>
      <c r="AX48" s="955" t="s">
        <v>936</v>
      </c>
      <c r="AY48" s="955"/>
      <c r="AZ48" s="955"/>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56"/>
      <c r="AE49" s="956"/>
      <c r="AF49" s="956"/>
      <c r="AG49" s="956"/>
      <c r="AH49" s="956"/>
      <c r="AI49" s="956"/>
      <c r="AJ49" s="956"/>
      <c r="AK49" s="956"/>
      <c r="AL49" s="956"/>
      <c r="AM49" s="956"/>
      <c r="AN49" s="956"/>
      <c r="AO49" s="956"/>
      <c r="AP49" s="956"/>
      <c r="AQ49" s="956"/>
      <c r="AR49" s="956"/>
      <c r="AS49" s="956"/>
      <c r="AT49" s="956"/>
      <c r="AU49" s="956"/>
      <c r="AV49" s="956"/>
      <c r="AW49" s="956"/>
      <c r="AX49" s="955"/>
      <c r="AY49" s="955"/>
      <c r="AZ49" s="955"/>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56"/>
      <c r="AE50" s="956"/>
      <c r="AF50" s="956"/>
      <c r="AG50" s="956"/>
      <c r="AH50" s="956"/>
      <c r="AI50" s="956"/>
      <c r="AJ50" s="956"/>
      <c r="AK50" s="956"/>
      <c r="AL50" s="956"/>
      <c r="AM50" s="956"/>
      <c r="AN50" s="956"/>
      <c r="AO50" s="956"/>
      <c r="AP50" s="956"/>
      <c r="AQ50" s="956"/>
      <c r="AR50" s="956"/>
      <c r="AS50" s="956"/>
      <c r="AT50" s="956"/>
      <c r="AU50" s="956"/>
      <c r="AV50" s="956"/>
      <c r="AW50" s="956"/>
      <c r="AX50" s="955"/>
      <c r="AY50" s="955"/>
      <c r="AZ50" s="955"/>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56"/>
      <c r="AE51" s="956"/>
      <c r="AF51" s="956"/>
      <c r="AG51" s="956"/>
      <c r="AH51" s="956"/>
      <c r="AI51" s="956"/>
      <c r="AJ51" s="956"/>
      <c r="AK51" s="956"/>
      <c r="AL51" s="956"/>
      <c r="AM51" s="956"/>
      <c r="AN51" s="956"/>
      <c r="AO51" s="956"/>
      <c r="AP51" s="956"/>
      <c r="AQ51" s="956"/>
      <c r="AR51" s="956"/>
      <c r="AS51" s="956"/>
      <c r="AT51" s="956"/>
      <c r="AU51" s="956"/>
      <c r="AV51" s="956"/>
      <c r="AW51" s="956"/>
      <c r="AX51" s="955"/>
      <c r="AY51" s="955"/>
      <c r="AZ51" s="955"/>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56"/>
      <c r="AE52" s="956"/>
      <c r="AF52" s="956"/>
      <c r="AG52" s="956"/>
      <c r="AH52" s="956"/>
      <c r="AI52" s="956"/>
      <c r="AJ52" s="956"/>
      <c r="AK52" s="956"/>
      <c r="AL52" s="956"/>
      <c r="AM52" s="956"/>
      <c r="AN52" s="956"/>
      <c r="AO52" s="956"/>
      <c r="AP52" s="956"/>
      <c r="AQ52" s="956"/>
      <c r="AR52" s="956"/>
      <c r="AS52" s="956"/>
      <c r="AT52" s="956"/>
      <c r="AU52" s="956"/>
      <c r="AV52" s="956"/>
      <c r="AW52" s="956"/>
      <c r="AX52" s="955"/>
      <c r="AY52" s="955"/>
      <c r="AZ52" s="955"/>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10" activePane="bottomLeft" state="frozen"/>
      <selection pane="bottomLeft" activeCell="AT25" sqref="AT25"/>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35" t="s">
        <v>1194</v>
      </c>
      <c r="C2" s="1036"/>
      <c r="D2" s="1036"/>
      <c r="E2" s="1036"/>
      <c r="F2" s="1036"/>
      <c r="G2" s="1036"/>
      <c r="H2" s="1036"/>
      <c r="I2" s="1036"/>
      <c r="J2" s="1036"/>
      <c r="K2" s="1036"/>
      <c r="L2" s="1036"/>
      <c r="M2" s="1036"/>
      <c r="N2" s="1036"/>
      <c r="O2" s="1036"/>
      <c r="P2" s="1036"/>
      <c r="Q2" s="1036"/>
      <c r="R2" s="1036"/>
      <c r="S2" s="1036"/>
      <c r="T2" s="1036"/>
      <c r="U2" s="1037"/>
      <c r="V2" s="91"/>
    </row>
    <row r="3" spans="1:33" ht="8.25" customHeight="1">
      <c r="A3" s="91"/>
      <c r="B3" s="561"/>
      <c r="C3" s="254"/>
      <c r="D3" s="53"/>
      <c r="E3" s="512"/>
      <c r="F3" s="255"/>
      <c r="G3" s="53"/>
      <c r="U3" s="256"/>
      <c r="V3" s="91"/>
    </row>
    <row r="4" spans="1:33">
      <c r="A4" s="91"/>
      <c r="B4" s="561"/>
      <c r="C4" s="257" t="s">
        <v>66</v>
      </c>
      <c r="D4" s="1039" t="str">
        <f>IF(ISBLANK('Start Page'!AB9),"&lt;&lt; Please enter system details on the Start Page &gt;&gt;",'Start Page'!AB9&amp;IF(ISBLANK('Start Page'!AM28),"","  ("&amp;'Start Page'!AM28&amp;")"))</f>
        <v>VEOLIA - Harrisburg</v>
      </c>
      <c r="E4" s="1040"/>
      <c r="F4" s="1040"/>
      <c r="G4" s="1040"/>
      <c r="H4" s="1041"/>
      <c r="I4" s="1041"/>
      <c r="J4" s="1041"/>
      <c r="K4" s="1041"/>
      <c r="L4" s="1041"/>
      <c r="M4" s="1041"/>
      <c r="N4" s="1041"/>
      <c r="O4" s="1041"/>
      <c r="P4" s="1042"/>
      <c r="U4" s="256"/>
      <c r="V4" s="91"/>
    </row>
    <row r="5" spans="1:33">
      <c r="A5" s="91"/>
      <c r="B5" s="561"/>
      <c r="C5" s="257" t="s">
        <v>716</v>
      </c>
      <c r="D5" s="1052">
        <f>IF(ISBLANK('Start Page'!AB18),"",'Start Page'!AB18)</f>
        <v>2022</v>
      </c>
      <c r="E5" s="1053"/>
      <c r="F5" s="1053"/>
      <c r="G5" s="1054"/>
      <c r="H5" s="1046" t="str">
        <f>IF(ISBLANK('Start Page'!AB20),"",TEXT('Start Page'!AB20,"mmm dd yyyy")&amp;" - "&amp;TEXT('Start Page'!AB21,"mmm dd yyyy"))</f>
        <v>Jan 01 2022 - Dec 31 2022</v>
      </c>
      <c r="I5" s="1047"/>
      <c r="J5" s="1048"/>
      <c r="K5" s="1050">
        <f>IF(ISBLANK('Start Page'!AB19),"",'Start Page'!AB19)</f>
        <v>2022</v>
      </c>
      <c r="L5" s="1047"/>
      <c r="M5" s="1047"/>
      <c r="N5" s="1047"/>
      <c r="O5" s="1047"/>
      <c r="P5" s="105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08" t="s">
        <v>1213</v>
      </c>
      <c r="R8" s="100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5"/>
      <c r="V9" s="91"/>
    </row>
    <row r="10" spans="1:33" ht="3" hidden="1" customHeight="1">
      <c r="A10" s="91"/>
      <c r="B10" s="260"/>
      <c r="D10" s="53"/>
      <c r="E10" s="512"/>
      <c r="F10" s="255"/>
      <c r="G10" s="53"/>
      <c r="S10" s="490"/>
      <c r="T10" s="490"/>
      <c r="U10" s="1045"/>
      <c r="V10" s="91"/>
    </row>
    <row r="11" spans="1:33" ht="3" hidden="1" customHeight="1">
      <c r="A11" s="91"/>
      <c r="B11" s="260"/>
      <c r="D11" s="53"/>
      <c r="E11" s="512"/>
      <c r="F11" s="255"/>
      <c r="G11" s="53"/>
      <c r="S11" s="490"/>
      <c r="T11" s="490"/>
      <c r="U11" s="1045"/>
      <c r="V11" s="91"/>
    </row>
    <row r="12" spans="1:33" ht="15.6" customHeight="1" thickBot="1">
      <c r="A12" s="91"/>
      <c r="B12" s="260"/>
      <c r="C12" s="99"/>
      <c r="D12" s="99"/>
      <c r="E12" s="513"/>
      <c r="F12" s="99"/>
      <c r="G12" s="99"/>
      <c r="H12" s="99"/>
      <c r="I12" s="99"/>
      <c r="J12" s="259"/>
      <c r="K12" s="1049" t="s">
        <v>714</v>
      </c>
      <c r="L12" s="1049"/>
      <c r="M12" s="1049"/>
      <c r="N12" s="1049"/>
      <c r="O12" s="1049"/>
      <c r="P12" s="1049"/>
      <c r="Q12" s="1049"/>
      <c r="R12" s="1049"/>
      <c r="S12" s="1049"/>
      <c r="T12" s="1049"/>
      <c r="U12" s="1045"/>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45"/>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3863.634</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43"/>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34.999574240212894</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3863.634</v>
      </c>
    </row>
    <row r="16" spans="1:33">
      <c r="A16" s="91"/>
      <c r="B16" s="562" t="s">
        <v>910</v>
      </c>
      <c r="C16" s="529" t="s">
        <v>40</v>
      </c>
      <c r="D16" s="841" t="s">
        <v>883</v>
      </c>
      <c r="E16" s="577" t="s">
        <v>884</v>
      </c>
      <c r="F16" s="492">
        <f>'Interactive Data Grading'!D74</f>
        <v>3</v>
      </c>
      <c r="G16" s="94"/>
      <c r="H16" s="532">
        <v>4.7E-2</v>
      </c>
      <c r="I16" s="269"/>
      <c r="J16" s="270" t="str">
        <f>IF('Start Page'!$AB$22="million gallons (US)","MG/Yr",IF('Start Page'!$AB$22="Megalitres (thousand cubic metres)","ML/Yr",IF('Start Page'!$AB$22="acre-feet","Acre-ft/Yr","")))</f>
        <v>MG/Yr</v>
      </c>
      <c r="K16" s="844" t="s">
        <v>883</v>
      </c>
      <c r="L16" s="607" t="s">
        <v>884</v>
      </c>
      <c r="M16" s="492">
        <f>'Interactive Data Grading'!D96</f>
        <v>4</v>
      </c>
      <c r="N16" s="270"/>
      <c r="O16" s="487"/>
      <c r="P16" s="580" t="s">
        <v>789</v>
      </c>
      <c r="Q16" s="1013"/>
      <c r="R16" s="1043"/>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4.2575978710457721E-4</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4.7E-2</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43"/>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12" t="s">
        <v>791</v>
      </c>
      <c r="U18" s="558"/>
      <c r="V18" s="91"/>
      <c r="W18" s="144"/>
      <c r="X18" s="104"/>
      <c r="Y18" s="103">
        <f>H15+H16+H17+IF(H15&gt;0,ABS(X15),0)+IF(H16&gt;0,ABS(X16),0)+IF(H17&gt;0,(ABS(X17)),)</f>
        <v>3863.681</v>
      </c>
      <c r="Z18" s="148"/>
      <c r="AF18" s="264">
        <f>SUM(AF15:AF17)</f>
        <v>0</v>
      </c>
      <c r="AG18" s="46" t="s">
        <v>1201</v>
      </c>
    </row>
    <row r="19" spans="1:33" ht="13.5" thickBot="1">
      <c r="A19" s="91"/>
      <c r="B19" s="561"/>
      <c r="C19" s="1016" t="s">
        <v>111</v>
      </c>
      <c r="D19" s="1016"/>
      <c r="E19" s="1016"/>
      <c r="F19" s="1016"/>
      <c r="G19" s="265"/>
      <c r="H19" s="868">
        <f>IF(AF18&gt;0,"Select under/over",IF(H15&gt;0,IF(W15=1,H15/(1+O15*AB15),H15-Q15*AB15),0)+IF(H16&gt;0,IF(W16=1,H16/(1+O16*AB16),H16-Q16*AB16),0)-IF(H17&gt;0,IF(W17=1,H17/(1+O17*AB17),H17-Q17*AB17),0))</f>
        <v>3863.681</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12"/>
      <c r="U19" s="261"/>
      <c r="V19" s="91"/>
      <c r="W19" s="149"/>
      <c r="X19" s="150"/>
      <c r="Y19" s="150">
        <f>'M36 Refs'!AE121</f>
        <v>35</v>
      </c>
      <c r="Z19" s="151" t="s">
        <v>135</v>
      </c>
    </row>
    <row r="20" spans="1:33" ht="5.25" customHeight="1">
      <c r="A20" s="91"/>
      <c r="B20" s="561"/>
      <c r="C20" s="94"/>
      <c r="D20" s="94"/>
      <c r="E20" s="515"/>
      <c r="F20" s="271"/>
      <c r="G20" s="94"/>
      <c r="O20" s="264"/>
      <c r="P20" s="264"/>
      <c r="Q20" s="264"/>
      <c r="T20" s="101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12"/>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12"/>
      <c r="U22" s="256"/>
      <c r="V22" s="91"/>
    </row>
    <row r="23" spans="1:33">
      <c r="A23" s="91"/>
      <c r="B23" s="562" t="s">
        <v>912</v>
      </c>
      <c r="C23" s="529" t="s">
        <v>483</v>
      </c>
      <c r="D23" s="841" t="s">
        <v>883</v>
      </c>
      <c r="E23" s="577" t="s">
        <v>884</v>
      </c>
      <c r="F23" s="492">
        <f>'Interactive Data Grading'!D177</f>
        <v>8</v>
      </c>
      <c r="G23" s="94"/>
      <c r="H23" s="321">
        <v>2766.5598</v>
      </c>
      <c r="I23" s="269"/>
      <c r="J23" s="270" t="str">
        <f>IF('Start Page'!$AB$22="million gallons (US)","MG/Yr",IF('Start Page'!$AB$22="Megalitres (thousand cubic metres)","ML/Yr",IF('Start Page'!$AB$22="acre-feet","Acre-ft/Yr","")))</f>
        <v>MG/Yr</v>
      </c>
      <c r="K23" s="270"/>
      <c r="L23" s="270"/>
      <c r="M23" s="270"/>
      <c r="N23" s="270"/>
      <c r="T23" s="1012"/>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2766.5598</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39.204000000000001</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39.204000000000001</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10" t="s">
        <v>110</v>
      </c>
      <c r="D30" s="1010"/>
      <c r="E30" s="1010"/>
      <c r="F30" s="1010"/>
      <c r="G30" s="265"/>
      <c r="H30" s="868">
        <f>SUM(H23:H26)</f>
        <v>2805.7638000000002</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44" t="str">
        <f>IF(AND(H30&gt;=H19,(H30&lt;&gt;0)),"               Check input values; WATER SUPPLIED should be greater than AUTHORIZED CONSUMPTION","")</f>
        <v/>
      </c>
      <c r="D32" s="1044"/>
      <c r="E32" s="1044"/>
      <c r="F32" s="1044"/>
      <c r="G32" s="1044"/>
      <c r="H32" s="1044"/>
      <c r="I32" s="1044"/>
      <c r="J32" s="1044"/>
      <c r="K32" s="1044"/>
      <c r="L32" s="1044"/>
      <c r="M32" s="1044"/>
      <c r="N32" s="1044"/>
      <c r="O32" s="104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1057.9171999999999</v>
      </c>
      <c r="J35" s="270" t="str">
        <f>IF('Start Page'!$AB$22="million gallons (US)","MG/Yr",IF('Start Page'!$AB$22="Megalitres (thousand cubic metres)","ML/Yr",IF('Start Page'!$AB$22="acre-feet","Acre-ft/Yr","")))</f>
        <v>MG/Yr</v>
      </c>
      <c r="K35" s="270"/>
      <c r="L35" s="270"/>
      <c r="M35" s="270"/>
      <c r="N35" s="270"/>
      <c r="P35" s="1038"/>
      <c r="U35" s="256"/>
      <c r="V35" s="91"/>
    </row>
    <row r="36" spans="1:29" ht="13.35" customHeight="1">
      <c r="A36" s="91"/>
      <c r="B36" s="562"/>
      <c r="C36" s="279"/>
      <c r="D36" s="265"/>
      <c r="E36" s="512"/>
      <c r="F36" s="276"/>
      <c r="G36" s="53"/>
      <c r="P36" s="103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6.9163994999999998</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27.664000000000001</v>
      </c>
      <c r="I41" s="280"/>
      <c r="J41" s="270" t="str">
        <f>IF('Start Page'!$AB$22="million gallons (US)","MG/Yr",IF('Start Page'!$AB$22="Megalitres (thousand cubic metres)","ML/Yr",IF('Start Page'!$AB$22="acre-feet","Acre-ft/Yr","")))</f>
        <v>MG/Yr</v>
      </c>
      <c r="K41" s="270"/>
      <c r="L41" s="270"/>
      <c r="M41" s="270"/>
      <c r="N41" s="270"/>
      <c r="O41" s="530"/>
      <c r="P41" s="582" t="s">
        <v>790</v>
      </c>
      <c r="Q41" s="1013">
        <v>27.664000000000001</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9.6590000000000007</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9.6590000000000007</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1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14"/>
      <c r="U45" s="256"/>
      <c r="V45" s="91"/>
    </row>
    <row r="46" spans="1:29" ht="14.1" customHeight="1">
      <c r="A46" s="91"/>
      <c r="B46" s="562"/>
      <c r="C46" s="1017" t="s">
        <v>42</v>
      </c>
      <c r="D46" s="1017"/>
      <c r="E46" s="1017"/>
      <c r="F46" s="1017"/>
      <c r="G46" s="216"/>
      <c r="H46" s="868">
        <f t="array" ref="H46">SUM(IF(ISNUMBER(H39:H43),H39:H43))</f>
        <v>44.239399499999998</v>
      </c>
      <c r="I46" s="204"/>
      <c r="J46" s="270" t="str">
        <f>IF('Start Page'!$AB$22="million gallons (US)","MG/Yr",IF('Start Page'!$AB$22="Megalitres (thousand cubic metres)","ML/Yr",IF('Start Page'!$AB$22="acre-feet","Acre-ft/Yr","")))</f>
        <v>MG/Yr</v>
      </c>
      <c r="K46" s="270"/>
      <c r="L46" s="270"/>
      <c r="M46" s="270"/>
      <c r="N46" s="270"/>
      <c r="Q46" s="281"/>
      <c r="R46" s="281"/>
      <c r="T46" s="1014"/>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14"/>
      <c r="U47" s="256"/>
      <c r="V47" s="91"/>
    </row>
    <row r="48" spans="1:29" ht="18" customHeight="1">
      <c r="A48" s="91"/>
      <c r="B48" s="562"/>
      <c r="C48" s="1015" t="str">
        <f>IF(AND(H46&gt;=H35,(H46&lt;&gt;0)),"Check input values; APPARENT LOSSES should be less than WATER LOSSES","")</f>
        <v/>
      </c>
      <c r="D48" s="1015"/>
      <c r="E48" s="1015"/>
      <c r="F48" s="1015"/>
      <c r="G48" s="1015"/>
      <c r="H48" s="1015"/>
      <c r="I48" s="1015"/>
      <c r="J48" s="1015"/>
      <c r="K48" s="1015"/>
      <c r="L48" s="1015"/>
      <c r="M48" s="1015"/>
      <c r="N48" s="1015"/>
      <c r="O48" s="1015"/>
      <c r="Q48" s="281"/>
      <c r="R48" s="281"/>
      <c r="S48" s="488"/>
      <c r="T48" s="1014"/>
      <c r="U48" s="256"/>
      <c r="V48" s="91"/>
      <c r="X48" s="130" t="s">
        <v>272</v>
      </c>
      <c r="Y48" s="131" t="s">
        <v>273</v>
      </c>
      <c r="AA48" s="1011"/>
      <c r="AB48" s="1011"/>
      <c r="AC48" s="1011"/>
    </row>
    <row r="49" spans="1:29" ht="2.25" customHeight="1">
      <c r="A49" s="91"/>
      <c r="B49" s="562"/>
      <c r="C49" s="204"/>
      <c r="D49" s="284"/>
      <c r="E49" s="519"/>
      <c r="F49" s="285"/>
      <c r="G49" s="284"/>
      <c r="I49" s="284"/>
      <c r="J49" s="272"/>
      <c r="K49" s="272"/>
      <c r="L49" s="272"/>
      <c r="M49" s="272"/>
      <c r="N49" s="272"/>
      <c r="O49" s="269"/>
      <c r="Q49" s="281"/>
      <c r="R49" s="281"/>
      <c r="S49" s="281"/>
      <c r="T49" s="1014"/>
      <c r="U49" s="256"/>
      <c r="V49" s="91"/>
      <c r="X49" s="132"/>
      <c r="Y49" s="133"/>
      <c r="AA49" s="1011"/>
      <c r="AB49" s="1011"/>
      <c r="AC49" s="1011"/>
    </row>
    <row r="50" spans="1:29" ht="15" customHeight="1" thickBot="1">
      <c r="A50" s="91"/>
      <c r="B50" s="562"/>
      <c r="C50" s="94" t="s">
        <v>671</v>
      </c>
      <c r="D50" s="284"/>
      <c r="E50" s="519"/>
      <c r="F50" s="283"/>
      <c r="G50" s="284"/>
      <c r="H50" s="101"/>
      <c r="J50" s="101"/>
      <c r="K50" s="101"/>
      <c r="L50" s="101"/>
      <c r="M50" s="286"/>
      <c r="N50" s="101"/>
      <c r="Q50" s="281"/>
      <c r="R50" s="281"/>
      <c r="S50" s="281"/>
      <c r="T50" s="1014"/>
      <c r="U50" s="256"/>
      <c r="V50" s="91"/>
      <c r="X50" s="134">
        <f>IFERROR(IF(W41=1,((H23)/(1-(O41*X41)))-(H23),Q41*H23/(H23+H25)),0)</f>
        <v>27.663999999999998</v>
      </c>
      <c r="Y50" s="135">
        <f>IFERROR(IF(W41=1,((H25)/(1-(O41*X41)))-(H25),Q41*H25/(H23+H25)),0)</f>
        <v>0</v>
      </c>
      <c r="Z50" s="923">
        <f>SUM(X50:Y50)</f>
        <v>27.663999999999998</v>
      </c>
      <c r="AA50" s="1011"/>
      <c r="AB50" s="1011"/>
      <c r="AC50" s="1011"/>
    </row>
    <row r="51" spans="1:29">
      <c r="A51" s="91"/>
      <c r="B51" s="562"/>
      <c r="C51" s="1017" t="s">
        <v>664</v>
      </c>
      <c r="D51" s="1017"/>
      <c r="E51" s="1017"/>
      <c r="F51" s="1017"/>
      <c r="G51" s="869"/>
      <c r="H51" s="868">
        <f>IFERROR(H35-H46,"")</f>
        <v>1013.6778004999999</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10" t="s">
        <v>109</v>
      </c>
      <c r="D53" s="1010"/>
      <c r="E53" s="1010"/>
      <c r="F53" s="1010"/>
      <c r="G53" s="583"/>
      <c r="H53" s="868">
        <f>IFERROR(H46+H51,"")</f>
        <v>1057.9171999999999</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10" t="s">
        <v>74</v>
      </c>
      <c r="D57" s="1010"/>
      <c r="E57" s="1010"/>
      <c r="F57" s="1010"/>
      <c r="G57" s="869"/>
      <c r="H57" s="868">
        <f>IFERROR(H35+H25+H26,"")</f>
        <v>1097.1211999999998</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535.5</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37975</v>
      </c>
      <c r="I62" s="291"/>
      <c r="J62" s="292"/>
      <c r="K62" s="101"/>
      <c r="L62" s="101"/>
      <c r="M62" s="292" t="s">
        <v>904</v>
      </c>
      <c r="N62" s="101"/>
      <c r="U62" s="256"/>
      <c r="V62" s="91"/>
    </row>
    <row r="63" spans="1:29">
      <c r="A63" s="91"/>
      <c r="B63" s="562"/>
      <c r="C63" s="529" t="s">
        <v>167</v>
      </c>
      <c r="D63" s="53"/>
      <c r="E63" s="512"/>
      <c r="F63" s="273"/>
      <c r="G63" s="53"/>
      <c r="H63" s="500">
        <f>IF(ISERROR(H62/H61),"",H62/H61)</f>
        <v>70.915032679738559</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34" t="s">
        <v>771</v>
      </c>
      <c r="D65" s="1034"/>
      <c r="E65" s="1034"/>
      <c r="F65" s="1034"/>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18" t="str">
        <f>IF(H65="Yes","Average length of customer service line has been set to zero and a data grading of 10 has been applied","")</f>
        <v/>
      </c>
      <c r="D67" s="1018"/>
      <c r="E67" s="1018"/>
      <c r="F67" s="1018"/>
      <c r="G67" s="1018"/>
      <c r="H67" s="1018"/>
      <c r="I67" s="1018"/>
      <c r="J67" s="1018"/>
      <c r="K67" s="1018"/>
      <c r="L67" s="1018"/>
      <c r="M67" s="1018"/>
      <c r="N67" s="1018"/>
      <c r="O67" s="1018"/>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70</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8.2200000000000006</v>
      </c>
      <c r="J76" s="1024" t="s">
        <v>73</v>
      </c>
      <c r="K76" s="1025"/>
      <c r="L76" s="1025"/>
      <c r="M76" s="1026"/>
      <c r="O76" s="1027" t="str">
        <f>IF(AND(NOT(ISBLANK(H76)),ISBLANK(J76)),"&lt;----Enter units","")</f>
        <v/>
      </c>
      <c r="P76" s="1027"/>
      <c r="Q76" s="1031" t="s">
        <v>905</v>
      </c>
      <c r="R76" s="1031"/>
      <c r="S76" s="1031"/>
      <c r="U76" s="256"/>
      <c r="V76" s="91"/>
    </row>
    <row r="77" spans="1:26" ht="13.5" customHeight="1">
      <c r="A77" s="91"/>
      <c r="B77" s="562" t="s">
        <v>915</v>
      </c>
      <c r="C77" s="529" t="s">
        <v>927</v>
      </c>
      <c r="D77" s="841" t="s">
        <v>883</v>
      </c>
      <c r="E77" s="577" t="s">
        <v>884</v>
      </c>
      <c r="F77" s="492">
        <f>'Interactive Data Grading'!D469</f>
        <v>3</v>
      </c>
      <c r="H77" s="326">
        <v>419.85</v>
      </c>
      <c r="J77" s="270" t="str">
        <f>"$/"&amp;IF('Start Page'!$AB$22="million gallons (US)","Million gallons",IF('Start Page'!$AB$22="Megalitres (thousand cubic metres)","Megalitre",IF('Start Page'!$AB$22="acre-feet","acre-ft","")))</f>
        <v>$/Million gallons</v>
      </c>
      <c r="K77" s="1032" t="str">
        <f>IF(Z77=1,"&lt;&lt;&lt; Using CRUC as basis for VPC","")</f>
        <v/>
      </c>
      <c r="L77" s="1032"/>
      <c r="M77" s="1032"/>
      <c r="N77" s="1032"/>
      <c r="O77" s="1032"/>
      <c r="P77" s="1033"/>
      <c r="Q77" s="1028">
        <v>18126065</v>
      </c>
      <c r="R77" s="1029"/>
      <c r="S77" s="1030"/>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19" t="str">
        <f>IF(OR(ISBLANK(J76),ISBLANK(J77),ISBLANK(H77),ISBLANK('Start Page'!AB22)),"",IF(H76*INDEX(Sheet1!B2:D4,MATCH('Start Page'!AB22,Sheet1!A2:A4,0),MATCH(J76,Sheet1!B1:D1,0))/H77&gt;1,"","Retail costs are less than (or equal to) production costs; please review and correct if necessary"))</f>
        <v/>
      </c>
      <c r="D79" s="1019"/>
      <c r="E79" s="1019"/>
      <c r="F79" s="1019"/>
      <c r="G79" s="1019"/>
      <c r="H79" s="1019"/>
      <c r="I79" s="1019"/>
      <c r="J79" s="1019"/>
      <c r="K79" s="1019"/>
      <c r="L79" s="1019"/>
      <c r="M79" s="1019"/>
      <c r="N79" s="1019"/>
      <c r="O79" s="1019"/>
      <c r="P79" s="1019"/>
      <c r="Q79" s="101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2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22"/>
      <c r="E84" s="1022"/>
      <c r="F84" s="1022"/>
      <c r="G84" s="1022"/>
      <c r="H84" s="1022"/>
      <c r="I84" s="1022"/>
      <c r="J84" s="1022"/>
      <c r="K84" s="1022"/>
      <c r="L84" s="1022"/>
      <c r="M84" s="1022"/>
      <c r="N84" s="1022"/>
      <c r="O84" s="1022"/>
      <c r="P84" s="1022"/>
      <c r="Q84" s="1022"/>
      <c r="R84" s="1023"/>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2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20"/>
      <c r="E86" s="1020"/>
      <c r="F86" s="1020"/>
      <c r="G86" s="1020"/>
      <c r="H86" s="1020"/>
      <c r="I86" s="1020"/>
      <c r="J86" s="1020"/>
      <c r="K86" s="1020"/>
      <c r="L86" s="1020"/>
      <c r="M86" s="1020"/>
      <c r="N86" s="1020"/>
      <c r="O86" s="1020"/>
      <c r="P86" s="1020"/>
      <c r="Q86" s="1020"/>
      <c r="R86" s="1020"/>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89" activePane="bottomLeft" state="frozen"/>
      <selection activeCell="B15" sqref="B15:F17"/>
      <selection pane="bottomLeft" activeCell="D95" sqref="D95"/>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Harrisburg</v>
      </c>
      <c r="C1" s="611"/>
      <c r="D1" s="612"/>
      <c r="E1" s="892" t="s">
        <v>1159</v>
      </c>
    </row>
    <row r="2" spans="1:20" ht="30.6" customHeight="1">
      <c r="A2" s="468"/>
      <c r="B2" s="891">
        <f>IF(ISBLANK('Start Page'!AB18),"",'Start Page'!AB18)</f>
        <v>2022</v>
      </c>
      <c r="C2" s="468"/>
      <c r="D2" s="468"/>
      <c r="E2" s="1061" t="s">
        <v>1234</v>
      </c>
    </row>
    <row r="3" spans="1:20" ht="38.25" customHeight="1">
      <c r="A3" s="468"/>
      <c r="B3" s="847"/>
      <c r="C3" s="468"/>
      <c r="D3" s="468"/>
      <c r="E3" s="1062"/>
    </row>
    <row r="4" spans="1:20" ht="1.35" customHeight="1"/>
    <row r="5" spans="1:20" s="469" customFormat="1" ht="16.350000000000001" customHeight="1">
      <c r="A5" s="1055" t="s">
        <v>1137</v>
      </c>
      <c r="B5" s="1056"/>
      <c r="C5" s="1057" t="s">
        <v>328</v>
      </c>
      <c r="D5" s="1057"/>
      <c r="E5" s="892" t="s">
        <v>1138</v>
      </c>
      <c r="G5" s="812"/>
      <c r="H5" s="812"/>
      <c r="I5" s="813"/>
      <c r="J5" s="812"/>
      <c r="K5" s="812"/>
      <c r="L5" s="812"/>
      <c r="M5" s="812"/>
      <c r="N5" s="812"/>
      <c r="O5" s="812"/>
      <c r="P5" s="812"/>
      <c r="Q5" s="812"/>
      <c r="R5" s="812"/>
    </row>
    <row r="6" spans="1:20" ht="14.45" customHeight="1">
      <c r="A6" s="215"/>
      <c r="B6" s="215"/>
      <c r="C6" s="1058" t="str">
        <f>IF(OR(AND(D8="Yes",Worksheet!H15&gt;0),AND(D8="No",Worksheet!H15&lt;=0),LEN(D8)=0),"","Inconsistency between Worksheet VOS input and vos.0 response")</f>
        <v/>
      </c>
      <c r="D6" s="1058"/>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f>VLOOKUP(D63,$P$7:$Q$15,2,FALSE)</f>
        <v>1</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6" t="s">
        <v>1235</v>
      </c>
      <c r="D10" s="1067"/>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f>IF(D11=VOS!D23,X,IF(AND(H13=5,H15=10),7,H13))</f>
        <v>10</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t="s">
        <v>262</v>
      </c>
      <c r="E15" s="753" t="str">
        <f t="shared" si="1"/>
        <v/>
      </c>
      <c r="F15" s="327"/>
      <c r="G15" s="810">
        <f>IFERROR(IF(H9&lt;7,1,IF(D14=VOS!G23,1,IF(LEN(D15)&gt;0,1,0))),"")</f>
        <v>1</v>
      </c>
      <c r="H15" s="818">
        <f>VLOOKUP('Interactive Data Grading'!D15,VOS!$H$6:$M$16,6,FALSE)</f>
        <v>10</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t="s">
        <v>806</v>
      </c>
      <c r="E16" s="753" t="str">
        <f t="shared" si="1"/>
        <v/>
      </c>
      <c r="F16" s="327"/>
      <c r="G16" s="810">
        <f>IFERROR(IF(H9&lt;7,1,IF(OR(D14=VOS!D23,D15=VOS!H23),1,IF(LEN(D16)&gt;0,1,0))),"")</f>
        <v>1</v>
      </c>
      <c r="H16" s="818">
        <f>VLOOKUP('Interactive Data Grading'!D16,VOS!$I$6:$M$16,5,FALSE)</f>
        <v>10</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f>MIN(H9:H19)</f>
        <v>3</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55" t="s">
        <v>1137</v>
      </c>
      <c r="B36" s="1056"/>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55" t="s">
        <v>1137</v>
      </c>
      <c r="B59" s="1056"/>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58" t="str">
        <f>IF(OR(AND(D62="Yes",Worksheet!H16&gt;0),AND(D62="No",Worksheet!H16&lt;=0),LEN(D62)=0),"","Inconsistency between Worksheet WI input and Wi.0 response")</f>
        <v/>
      </c>
      <c r="D60" s="1058"/>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262</v>
      </c>
      <c r="E62" s="753"/>
      <c r="F62" s="327"/>
      <c r="I62" s="817"/>
      <c r="J62" s="810" t="s">
        <v>793</v>
      </c>
    </row>
    <row r="63" spans="1:18" ht="17.45" customHeight="1">
      <c r="A63" s="215"/>
      <c r="B63" s="555" t="s">
        <v>347</v>
      </c>
      <c r="C63" s="884" t="str">
        <f>WI!B35</f>
        <v>What percent of water imported is metered?</v>
      </c>
      <c r="D63" s="329" t="s">
        <v>293</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59" t="s">
        <v>1236</v>
      </c>
      <c r="D64" s="1060"/>
      <c r="E64" s="753"/>
      <c r="F64" s="327"/>
      <c r="H64" s="818"/>
      <c r="I64" s="819"/>
    </row>
    <row r="65" spans="1:18" ht="18" customHeight="1">
      <c r="A65" s="215"/>
      <c r="B65" s="555" t="s">
        <v>348</v>
      </c>
      <c r="C65" s="884" t="str">
        <f>WI!B36</f>
        <v>What is the frequency of electronic calibration?</v>
      </c>
      <c r="D65" s="329" t="s">
        <v>268</v>
      </c>
      <c r="E65" s="753" t="str">
        <f>IFERROR(IF(OR($D$74=10,NOT(ISNUMBER($D$74))),"",IF(I65=$I$74,"Limiting","")),"")</f>
        <v/>
      </c>
      <c r="F65" s="327"/>
      <c r="G65" s="810">
        <f>IFERROR(IF(H63&lt;7,1,IF(LEN(D65)&gt;0,1,0)),"")</f>
        <v>1</v>
      </c>
      <c r="H65" s="818">
        <f>VLOOKUP('Interactive Data Grading'!D65,WI!$D$6:$M$16,10,FALSE)</f>
        <v>5</v>
      </c>
      <c r="I65" s="819">
        <f>IF(AND(H65&gt;=7,H68&gt;=7),MAX(H65,9),IF(AND(H65&gt;3,H65&lt;7,H68&gt;3,H68&lt;7),MAX(H65,H68),IF(H68&gt;=7,MAX(7,H65),H65)))</f>
        <v>5</v>
      </c>
    </row>
    <row r="66" spans="1:18" ht="26.45" customHeight="1">
      <c r="A66" s="215"/>
      <c r="B66" s="555" t="s">
        <v>349</v>
      </c>
      <c r="C66" s="884" t="str">
        <f>WI!B37</f>
        <v>What level of data transfer errors are checked as part of the electronic calibration process?</v>
      </c>
      <c r="D66" s="334" t="s">
        <v>807</v>
      </c>
      <c r="E66" s="753" t="str">
        <f t="shared" ref="E66:E73" si="5">IFERROR(IF(OR($D$74=10,NOT(ISNUMBER($D$74))),"",IF(I66=$I$74,"Limiting","")),"")</f>
        <v/>
      </c>
      <c r="F66" s="327"/>
      <c r="G66" s="820">
        <f>IFERROR(IF(H63&lt;7,1,IF(OR(D65=WI!D23,D65=WI!D27),1,IF(LEN(D66)&gt;0,1,0))),"")</f>
        <v>1</v>
      </c>
      <c r="H66" s="818">
        <f>VLOOKUP('Interactive Data Grading'!D66,WI!$E$6:$M$16,9,FALSE)</f>
        <v>10</v>
      </c>
      <c r="I66" s="818">
        <f>H66</f>
        <v>10</v>
      </c>
      <c r="J66" s="810" t="s">
        <v>348</v>
      </c>
    </row>
    <row r="67" spans="1:18" ht="18" customHeight="1">
      <c r="A67" s="215"/>
      <c r="B67" s="555" t="s">
        <v>350</v>
      </c>
      <c r="C67" s="884" t="str">
        <f>WI!B38</f>
        <v>Is the most recent electronic calibration documentation available?</v>
      </c>
      <c r="D67" s="329" t="s">
        <v>269</v>
      </c>
      <c r="E67" s="753" t="str">
        <f t="shared" si="5"/>
        <v/>
      </c>
      <c r="F67" s="327"/>
      <c r="G67" s="810">
        <f>IFERROR(IF(H63&lt;7,1,IF(OR(D65=WI!D23,D65=WI!D27),1,IF(LEN(D67)&gt;0,1,0))),"")</f>
        <v>1</v>
      </c>
      <c r="H67" s="818">
        <f>VLOOKUP('Interactive Data Grading'!D67,WI!$F$6:$M$16,8,FALSE)</f>
        <v>5</v>
      </c>
      <c r="I67" s="819" t="e">
        <f>IF(D65=WI!D23,X,IF(AND(H67=5,H69=10),7,H67))</f>
        <v>#N/A</v>
      </c>
      <c r="J67" s="810" t="s">
        <v>348</v>
      </c>
    </row>
    <row r="68" spans="1:18" ht="16.5" customHeight="1">
      <c r="A68" s="215"/>
      <c r="B68" s="555" t="s">
        <v>351</v>
      </c>
      <c r="C68" s="884" t="str">
        <f>WI!B39</f>
        <v>What is the frequency of in-situ flow accuracy testing?</v>
      </c>
      <c r="D68" s="329" t="s">
        <v>1186</v>
      </c>
      <c r="E68" s="753" t="str">
        <f t="shared" si="5"/>
        <v>Limiting</v>
      </c>
      <c r="F68" s="327"/>
      <c r="G68" s="810">
        <f>IFERROR(IF(H63&lt;7,1,IF(LEN(D68)&gt;0,1,0)),"")</f>
        <v>1</v>
      </c>
      <c r="H68" s="818">
        <f>VLOOKUP('Interactive Data Grading'!D68,WI!$G$6:$M$16,7,FALSE)</f>
        <v>3</v>
      </c>
      <c r="I68" s="819">
        <f>IF(AND(H65&gt;=7,H68&gt;=7),MAX(H68,9),IF(AND(H65&gt;3,H65&lt;7,H68&gt;3,H68&lt;7),MAX(H65,H68),IF(H65&gt;=7,MAX(7,H68),H68)))</f>
        <v>3</v>
      </c>
    </row>
    <row r="69" spans="1:18" ht="20.45" customHeight="1">
      <c r="A69" s="215"/>
      <c r="B69" s="555" t="s">
        <v>352</v>
      </c>
      <c r="C69" s="884" t="str">
        <f>WI!B40</f>
        <v>Is the most recent in-situ flow accuracy testing documentation available?</v>
      </c>
      <c r="D69" s="329"/>
      <c r="E69" s="753" t="str">
        <f t="shared" si="5"/>
        <v/>
      </c>
      <c r="F69" s="327"/>
      <c r="G69" s="810">
        <f>IFERROR(IF(H63&lt;7,1,IF(D68=WI!G23,1,IF(LEN(D69)&gt;0,1,0))),"")</f>
        <v>1</v>
      </c>
      <c r="H69" s="818" t="e">
        <f>VLOOKUP('Interactive Data Grading'!D69,WI!$H$6:$M$16,6,FALSE)</f>
        <v>#N/A</v>
      </c>
      <c r="I69" s="819" t="e">
        <f>IF(D68=WI!G23,X,IF(AND(H69=5,H67=10),7,H69))</f>
        <v>#NAME?</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f>IFERROR(IF(H63&lt;7,1,IF(OR(D68=WI!G23,D69=WI!H23),1,IF(LEN(D70)&gt;0,1,0))),"")</f>
        <v>1</v>
      </c>
      <c r="H70" s="818" t="e">
        <f>VLOOKUP('Interactive Data Grading'!D70,WI!$I$6:$M$16,5,FALSE)</f>
        <v>#N/A</v>
      </c>
      <c r="I70" s="819" t="e">
        <f>IF(OR(D68=WI!G23,D69=WI!H23),X,H70)</f>
        <v>#NAME?</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t="s">
        <v>269</v>
      </c>
      <c r="E71" s="753" t="str">
        <f t="shared" si="5"/>
        <v/>
      </c>
      <c r="F71" s="327"/>
      <c r="G71" s="810">
        <f>IFERROR(IF(H63&lt;7,1,IF(AND(OR(D65=WI!D23,D65=WI!D27),D68=WI!G23),1,IF(LEN(D71)&gt;0,1,0))),"")</f>
        <v>1</v>
      </c>
      <c r="H71" s="818">
        <f>VLOOKUP('Interactive Data Grading'!D71,WI!$J$6:$M$16,4,FALSE)</f>
        <v>9</v>
      </c>
      <c r="I71" s="819" t="e">
        <f>IF(OR(D68=WI!G23,D69=WI!H23),X,H71)</f>
        <v>#NAME?</v>
      </c>
      <c r="J71" s="820" t="s">
        <v>814</v>
      </c>
    </row>
    <row r="72" spans="1:18" ht="25.5" customHeight="1">
      <c r="A72" s="215"/>
      <c r="B72" s="555" t="s">
        <v>355</v>
      </c>
      <c r="C72" s="884" t="str">
        <f>WI!B43</f>
        <v>Which best describes the frequency of meter readings (data collection frequency as opposed to billing frequency)?</v>
      </c>
      <c r="D72" s="329" t="s">
        <v>324</v>
      </c>
      <c r="E72" s="753" t="str">
        <f t="shared" si="5"/>
        <v/>
      </c>
      <c r="F72" s="327"/>
      <c r="G72" s="810">
        <f>IFERROR(IF(H63&lt;7,1,IF(LEN(D72)&gt;0,1,0)),"")</f>
        <v>1</v>
      </c>
      <c r="H72" s="818">
        <f>VLOOKUP('Interactive Data Grading'!D72,WI!$K$6:$M$16,3,FALSE)</f>
        <v>10</v>
      </c>
      <c r="I72" s="818">
        <f>H72</f>
        <v>10</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723</v>
      </c>
      <c r="E73" s="753" t="str">
        <f t="shared" si="5"/>
        <v/>
      </c>
      <c r="F73" s="327"/>
      <c r="G73" s="810">
        <f>IFERROR(IF(H63&lt;7,1,IF(LEN(D73)&gt;0,1,0)),"")</f>
        <v>1</v>
      </c>
      <c r="H73" s="818">
        <f>VLOOKUP('Interactive Data Grading'!D73,WI!$L$6:$M$16,2,FALSE)</f>
        <v>10</v>
      </c>
      <c r="I73" s="818">
        <f>H73</f>
        <v>10</v>
      </c>
    </row>
    <row r="74" spans="1:18" ht="27.6" customHeight="1">
      <c r="A74" s="215"/>
      <c r="B74" s="215"/>
      <c r="C74" s="328" t="s">
        <v>315</v>
      </c>
      <c r="D74" s="756">
        <f>IF(D62="","",IF(D62="No","n/a",IF(G74=0,"",IF(R8=0,H63,I74))))</f>
        <v>3</v>
      </c>
      <c r="E74" s="753"/>
      <c r="F74" s="327"/>
      <c r="G74" s="810">
        <f>MIN(G63:G73)</f>
        <v>1</v>
      </c>
      <c r="H74" s="821" t="e">
        <f>MIN(H63:H73)</f>
        <v>#N/A</v>
      </c>
      <c r="I74" s="821">
        <f t="array" ref="I74">MIN(IF(ISNUMBER(I63:I73),I63:I73))</f>
        <v>3</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55" t="s">
        <v>1137</v>
      </c>
      <c r="B89" s="1056"/>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t="s">
        <v>374</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363</v>
      </c>
      <c r="C93" s="884" t="str">
        <f>WIEA!B35</f>
        <v>Are meter accuracy testing or electronic calibration requirements stipulated in the water purchase agreement?</v>
      </c>
      <c r="D93" s="329" t="s">
        <v>727</v>
      </c>
      <c r="E93" s="753" t="str">
        <f t="shared" ref="E93:E95" si="7">IFERROR(IF(OR($D$96="",$H93=10,NOT(ISNUMBER($H93))),"",IF(H93=$H$96,"Limiting","")),"")</f>
        <v/>
      </c>
      <c r="F93" s="327"/>
      <c r="G93" s="824">
        <f>IF(OR(LEN(D93)&gt;0,D92=WIEA!$C$23),1,0)</f>
        <v>1</v>
      </c>
      <c r="H93" s="818">
        <f>VLOOKUP('Interactive Data Grading'!D93,WIEA!$D$6:$G$16,4,FALSE)</f>
        <v>5</v>
      </c>
      <c r="I93" s="817"/>
      <c r="J93" s="810" t="s">
        <v>362</v>
      </c>
    </row>
    <row r="94" spans="1:18" ht="27.6" customHeight="1">
      <c r="A94" s="215"/>
      <c r="B94" s="555" t="s">
        <v>364</v>
      </c>
      <c r="C94" s="884" t="str">
        <f>WIEA!B36</f>
        <v>Are flow accuracy test and/or electronic calibration results used to inform the error adjustment input in the water audit?</v>
      </c>
      <c r="D94" s="329" t="s">
        <v>269</v>
      </c>
      <c r="E94" s="753" t="str">
        <f t="shared" si="7"/>
        <v>Limiting</v>
      </c>
      <c r="F94" s="327"/>
      <c r="G94" s="824">
        <f t="shared" ref="G94:G95" si="8">IF(LEN(D94)&gt;0,1,0)</f>
        <v>1</v>
      </c>
      <c r="H94" s="818">
        <f>VLOOKUP('Interactive Data Grading'!D94,WIEA!$E$6:$G$16,3,FALSE)</f>
        <v>4</v>
      </c>
      <c r="I94" s="817"/>
    </row>
    <row r="95" spans="1:18" ht="27.6" customHeight="1">
      <c r="A95" s="215"/>
      <c r="B95" s="555" t="s">
        <v>365</v>
      </c>
      <c r="C95" s="884" t="str">
        <f>WIEA!B37</f>
        <v>Who has access to the import meter readings including current and archived data?</v>
      </c>
      <c r="D95" s="329" t="s">
        <v>376</v>
      </c>
      <c r="E95" s="753" t="str">
        <f t="shared" si="7"/>
        <v/>
      </c>
      <c r="F95" s="327"/>
      <c r="G95" s="824">
        <f t="shared" si="8"/>
        <v>1</v>
      </c>
      <c r="H95" s="818">
        <f>VLOOKUP('Interactive Data Grading'!D95,WIEA!$F$6:$G$16,2,FALSE)</f>
        <v>10</v>
      </c>
      <c r="I95" s="817"/>
    </row>
    <row r="96" spans="1:18" ht="27.6" customHeight="1">
      <c r="A96" s="215"/>
      <c r="B96" s="215"/>
      <c r="C96" s="328" t="s">
        <v>315</v>
      </c>
      <c r="D96" s="895">
        <f>IF(D62="No","n/a",IF(G96=0,"",H96))</f>
        <v>4</v>
      </c>
      <c r="E96" s="753"/>
      <c r="F96" s="327"/>
      <c r="G96" s="824">
        <f>MIN(G92:G95)</f>
        <v>1</v>
      </c>
      <c r="H96" s="821">
        <f t="array" ref="H96">MIN(IF(ISNUMBER(H92:H95),H92:H95))</f>
        <v>4</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55" t="s">
        <v>1137</v>
      </c>
      <c r="B112" s="1056"/>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58" t="str">
        <f>IF(OR(AND(D115="Yes",Worksheet!H17&gt;0),AND(D115="No",Worksheet!H17&lt;=0),LEN(D115)=0),"","Inconsistency between Worksheet WE input and we.0 response")</f>
        <v/>
      </c>
      <c r="D113" s="1058"/>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59" t="s">
        <v>1237</v>
      </c>
      <c r="D117" s="1060"/>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55" t="s">
        <v>1137</v>
      </c>
      <c r="B143" s="1056"/>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55" t="s">
        <v>1137</v>
      </c>
      <c r="B166" s="1056"/>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58" t="str">
        <f>IF(OR(AND(D169="Yes",Worksheet!H23&gt;0),AND(D169="No",Worksheet!H23&lt;=0),LEN(D169)=0),"","Inconsistency between Worksheet BMAC input and bmac.0 response")</f>
        <v/>
      </c>
      <c r="D167" s="1058"/>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55" t="s">
        <v>1137</v>
      </c>
      <c r="B193" s="1056"/>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58" t="str">
        <f>IF(OR(AND(D196="Yes",Worksheet!H24&gt;0),AND(D196="No",Worksheet!H24&lt;=0),LEN(D196)=0),"","Inconsistency between Worksheet BUAC input and buac.0 response")</f>
        <v/>
      </c>
      <c r="D194" s="1058"/>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55" t="s">
        <v>1137</v>
      </c>
      <c r="B216" s="1056"/>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58" t="str">
        <f>IF(OR(AND(D219="Yes",Worksheet!H25&gt;0),AND(D219="No",Worksheet!H25&lt;=0),LEN(D219)=0),"","Inconsistency between Worksheet UMAC input and umac.0 response")</f>
        <v/>
      </c>
      <c r="D217" s="1058"/>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55" t="s">
        <v>1137</v>
      </c>
      <c r="B240" s="1056"/>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64" t="str">
        <f>IF(Worksheet!W26=1,"This Data Grading Criteria is hidden when the 'default' input is used on the Worksheet","")</f>
        <v/>
      </c>
      <c r="D241" s="1064"/>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55" t="s">
        <v>1137</v>
      </c>
      <c r="B263" s="1056"/>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64" t="str">
        <f>IF(Worksheet!W39=1,"This Data Grading Criteria is hidden when the 'default' input is used on the Worksheet","")</f>
        <v>This Data Grading Criteria is hidden when the 'default' input is used on the Worksheet</v>
      </c>
      <c r="D264" s="1064"/>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63"/>
      <c r="O270" s="1063"/>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55" t="s">
        <v>1137</v>
      </c>
      <c r="B287" s="1056"/>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58" t="str">
        <f>IF(OR(AND(D290="Yes",Worksheet!Y25&gt;0),AND(D290="No",Worksheet!Y25&lt;=0),LEN(D290)=0),"","Inconsistency between Worksheet CMI input and cmi.0 response")</f>
        <v/>
      </c>
      <c r="D288" s="1058"/>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63"/>
      <c r="O292" s="1063"/>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55" t="s">
        <v>1137</v>
      </c>
      <c r="B316" s="1056"/>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64" t="str">
        <f>IF(Worksheet!W43=1,"This Data Grading Criteria is hidden when the 'default' input is used on the Worksheet","")</f>
        <v/>
      </c>
      <c r="D317" s="1064"/>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55" t="s">
        <v>1137</v>
      </c>
      <c r="B343" s="1056"/>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55" t="s">
        <v>1137</v>
      </c>
      <c r="B366" s="1056"/>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55" t="s">
        <v>1137</v>
      </c>
      <c r="B390" s="1056"/>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55" t="s">
        <v>1137</v>
      </c>
      <c r="B414" s="1056"/>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55" t="s">
        <v>1137</v>
      </c>
      <c r="B438" s="1056"/>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5" t="str">
        <f>IF(OR(AND(D441="Yes",Worksheet!H23&gt;0),AND(D441="No",Worksheet!H23&lt;=0),LEN(D441)=0),"","Inconsistency between Worksheet BMAC input and cruc.0 response")</f>
        <v/>
      </c>
      <c r="D439" s="1065"/>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55" t="s">
        <v>1137</v>
      </c>
      <c r="B462" s="1056"/>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4" t="s">
        <v>1156</v>
      </c>
      <c r="AO2" s="1085"/>
      <c r="AP2" s="1085"/>
      <c r="AQ2" s="1086"/>
      <c r="AR2" s="915"/>
      <c r="AS2" s="1084" t="s">
        <v>1157</v>
      </c>
      <c r="AT2" s="1085"/>
      <c r="AU2" s="1085"/>
      <c r="AV2" s="1086"/>
      <c r="AW2" s="915"/>
      <c r="AX2" s="1084" t="s">
        <v>1191</v>
      </c>
      <c r="AY2" s="1085"/>
      <c r="AZ2" s="1085"/>
      <c r="BA2" s="1086"/>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Harrisburg</v>
      </c>
      <c r="Q3" s="676"/>
      <c r="R3" s="676"/>
      <c r="S3" s="676"/>
      <c r="T3" s="676"/>
      <c r="U3" s="676"/>
      <c r="V3" s="676"/>
      <c r="W3" s="676"/>
      <c r="X3" s="676"/>
      <c r="Y3" s="676"/>
      <c r="Z3" s="676"/>
      <c r="AA3" s="676"/>
      <c r="AB3" s="676"/>
      <c r="AC3" s="673"/>
      <c r="AD3" s="674"/>
      <c r="AE3" s="675"/>
      <c r="AF3" s="672" t="s">
        <v>716</v>
      </c>
      <c r="AG3" s="1087">
        <f>IF(ISBLANK('Start Page'!AB18),"",'Start Page'!AB18)</f>
        <v>2022</v>
      </c>
      <c r="AH3" s="1087"/>
      <c r="AI3" s="471"/>
      <c r="AJ3" s="677">
        <f>IF(ISBLANK('Start Page'!AB19),"",'Start Page'!AB19)</f>
        <v>2022</v>
      </c>
      <c r="AK3" s="677"/>
      <c r="AL3" s="471"/>
      <c r="AM3" s="676" t="str">
        <f>IF(ISBLANK('Start Page'!AB20),"",TEXT('Start Page'!AB20,"mmm dd yyyy")&amp;" - "&amp;TEXT('Start Page'!AB21,"mmm dd yyyy"))</f>
        <v>Jan 01 2022 - Dec 31 2022</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95" t="str">
        <f>IFERROR(IF(ISBLANK('Start Page'!$AB$22),"******* REPORTING UNITS MUST BE SELECTED ON THE INSTRUCTIONS TAB BEFORE PERFORMANCE INDICATORS CAN BE DISPLAYED *******",IF('M36 Refs'!AN118&gt;0," ******* COMPLETE ALL VISIBLE QUESTIONS ON THE INTERACTIVE DATA GRADING TAB TO DISPLAY PERFORMANCE INDICATORS *******","")),"")</f>
        <v/>
      </c>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90" t="s">
        <v>783</v>
      </c>
      <c r="D5" s="1090"/>
      <c r="E5" s="1090"/>
      <c r="F5" s="1090"/>
      <c r="G5" s="1090"/>
      <c r="H5" s="1090"/>
      <c r="I5" s="1090"/>
      <c r="J5" s="1090"/>
      <c r="K5" s="1090"/>
      <c r="L5" s="1090"/>
      <c r="M5" s="1090"/>
      <c r="N5" s="1090"/>
      <c r="O5" s="1090"/>
      <c r="P5" s="1090"/>
      <c r="Q5" s="1090"/>
      <c r="R5" s="1090"/>
      <c r="S5" s="1090"/>
      <c r="T5" s="1090"/>
      <c r="U5" s="1090"/>
      <c r="V5" s="1090"/>
      <c r="W5" s="735"/>
      <c r="X5" s="735"/>
      <c r="Y5" s="735"/>
      <c r="Z5" s="735"/>
      <c r="AA5" s="735"/>
      <c r="AB5" s="735"/>
      <c r="AC5" s="735"/>
      <c r="AD5" s="625" t="s">
        <v>1254</v>
      </c>
      <c r="AE5" s="735"/>
      <c r="AF5" s="735"/>
      <c r="AG5" s="735"/>
      <c r="AH5" s="1097" t="s">
        <v>1165</v>
      </c>
      <c r="AI5" s="1097"/>
      <c r="AJ5" s="1097"/>
      <c r="AK5" s="1097"/>
      <c r="AL5" s="1097"/>
      <c r="AM5" s="1097"/>
      <c r="AN5" s="1097"/>
      <c r="AO5" s="1097"/>
      <c r="AP5" s="1097"/>
      <c r="AQ5" s="1097"/>
      <c r="AR5" s="1097"/>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0"/>
      <c r="D6" s="1090"/>
      <c r="E6" s="1090"/>
      <c r="F6" s="1090"/>
      <c r="G6" s="1090"/>
      <c r="H6" s="1090"/>
      <c r="I6" s="1090"/>
      <c r="J6" s="1090"/>
      <c r="K6" s="1090"/>
      <c r="L6" s="1090"/>
      <c r="M6" s="1090"/>
      <c r="N6" s="1090"/>
      <c r="O6" s="1090"/>
      <c r="P6" s="1090"/>
      <c r="Q6" s="1090"/>
      <c r="R6" s="1090"/>
      <c r="S6" s="1090"/>
      <c r="T6" s="1090"/>
      <c r="U6" s="1090"/>
      <c r="V6" s="1090"/>
      <c r="W6" s="678"/>
      <c r="X6" s="901"/>
      <c r="Y6" s="902" t="s">
        <v>1208</v>
      </c>
      <c r="Z6" s="1092">
        <v>0.73699999999999999</v>
      </c>
      <c r="AA6" s="1092"/>
      <c r="AB6" s="903" t="s">
        <v>1255</v>
      </c>
      <c r="AC6" s="613"/>
      <c r="AD6" s="735"/>
      <c r="AE6" s="735"/>
      <c r="AF6" s="735"/>
      <c r="AG6" s="735"/>
      <c r="AH6" s="1097"/>
      <c r="AI6" s="1097"/>
      <c r="AJ6" s="1097"/>
      <c r="AK6" s="1097"/>
      <c r="AL6" s="1097"/>
      <c r="AM6" s="1097"/>
      <c r="AN6" s="1097"/>
      <c r="AO6" s="1097"/>
      <c r="AP6" s="1097"/>
      <c r="AQ6" s="1097"/>
      <c r="AR6" s="1097"/>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89">
        <f>BR6</f>
        <v>61</v>
      </c>
      <c r="K7" s="1089"/>
      <c r="L7" s="793"/>
      <c r="M7" s="793"/>
      <c r="N7" s="793"/>
      <c r="O7" s="793"/>
      <c r="P7" s="793"/>
      <c r="Q7" s="792" t="s">
        <v>683</v>
      </c>
      <c r="R7" s="1088" t="str">
        <f>IF(BO2&gt;0,"",BR4)</f>
        <v>Tier III (51-70)</v>
      </c>
      <c r="S7" s="1088"/>
      <c r="T7" s="1088"/>
      <c r="U7" s="1088"/>
      <c r="V7" s="1088"/>
      <c r="W7" s="678"/>
      <c r="X7" s="905" t="s">
        <v>1248</v>
      </c>
      <c r="AD7" s="613"/>
      <c r="AE7" s="860"/>
      <c r="AF7" s="860"/>
      <c r="AG7" s="860"/>
      <c r="AH7" s="1091" t="s">
        <v>1192</v>
      </c>
      <c r="AI7" s="1091"/>
      <c r="AJ7" s="1091"/>
      <c r="AK7" s="1091"/>
      <c r="AL7" s="1091"/>
      <c r="AM7" s="1091"/>
      <c r="AN7" s="1091"/>
      <c r="AO7" s="1091"/>
      <c r="AP7" s="1091"/>
      <c r="AQ7" s="1091"/>
      <c r="AR7" s="109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96" t="s">
        <v>1097</v>
      </c>
      <c r="I8" s="1096"/>
      <c r="J8" s="1093" t="s">
        <v>948</v>
      </c>
      <c r="K8" s="1093"/>
      <c r="L8" s="1093"/>
      <c r="M8" s="1093"/>
      <c r="N8" s="1093"/>
      <c r="O8" s="1093"/>
      <c r="P8" s="1094" t="s">
        <v>1096</v>
      </c>
      <c r="Q8" s="1094"/>
      <c r="R8" s="1094"/>
      <c r="S8" s="1094"/>
      <c r="T8" s="613"/>
      <c r="U8" s="613"/>
      <c r="V8" s="247"/>
      <c r="W8" s="247"/>
      <c r="X8" s="58"/>
      <c r="Y8" s="860"/>
      <c r="Z8" s="860"/>
      <c r="AA8" s="860"/>
      <c r="AB8" s="613"/>
      <c r="AC8" s="613"/>
      <c r="AD8" s="613"/>
      <c r="AE8" s="860"/>
      <c r="AF8" s="860"/>
      <c r="AG8" s="860"/>
      <c r="AH8" s="1091"/>
      <c r="AI8" s="1091"/>
      <c r="AJ8" s="1091"/>
      <c r="AK8" s="1091"/>
      <c r="AL8" s="1091"/>
      <c r="AM8" s="1091"/>
      <c r="AN8" s="1091"/>
      <c r="AO8" s="1091"/>
      <c r="AP8" s="1091"/>
      <c r="AQ8" s="1091"/>
      <c r="AR8" s="109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96"/>
      <c r="I9" s="1096"/>
      <c r="J9" s="1093"/>
      <c r="K9" s="1093"/>
      <c r="L9" s="1093"/>
      <c r="M9" s="1093"/>
      <c r="N9" s="1093"/>
      <c r="O9" s="1093"/>
      <c r="P9" s="1094"/>
      <c r="Q9" s="1094"/>
      <c r="R9" s="1094"/>
      <c r="S9" s="109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68"/>
      <c r="J14" s="1068"/>
      <c r="K14" s="1068"/>
      <c r="L14" s="1068"/>
      <c r="M14" s="1068"/>
      <c r="N14" s="1068"/>
      <c r="O14" s="1068"/>
      <c r="P14" s="247"/>
      <c r="Q14" s="247"/>
      <c r="R14" s="247"/>
      <c r="S14" s="247"/>
      <c r="T14" s="247"/>
      <c r="U14" s="247"/>
      <c r="V14" s="247"/>
      <c r="W14" s="247"/>
      <c r="X14" s="247"/>
      <c r="Y14" s="247"/>
      <c r="Z14" s="247"/>
      <c r="AA14" s="247"/>
      <c r="AB14" s="1074" t="str">
        <f>IF(BS15&lt;0,"negative result check inputs",IF($BS$16=0,"result is below 10th %ile",IF($BS$15&gt;$BS$16,"result is above 90th %ile","")))</f>
        <v/>
      </c>
      <c r="AC14" s="1074"/>
      <c r="AD14" s="1074"/>
      <c r="AE14" s="1074"/>
      <c r="AF14" s="682"/>
      <c r="AG14" s="619"/>
      <c r="AH14" s="680"/>
      <c r="AI14" s="680"/>
      <c r="AJ14" s="247"/>
      <c r="AK14" s="247"/>
      <c r="AL14" s="1074" t="str">
        <f>IF(BS22&lt;0,"negative result check inputs",IF($BS$23=0,"result is below 10th %ile",IF($BS$22&gt;$BS$23,"result is above 90th %ile","")))</f>
        <v/>
      </c>
      <c r="AM14" s="1074"/>
      <c r="AN14" s="1074"/>
      <c r="AO14" s="1074"/>
      <c r="AP14" s="247"/>
      <c r="AQ14" s="247"/>
      <c r="AR14" s="247"/>
      <c r="AS14" s="247"/>
      <c r="AT14" s="247"/>
      <c r="AU14" s="247"/>
      <c r="AV14" s="1074" t="str">
        <f>IF(BS29&lt;0,"negative result check inputs",IF($BS$30=0,"result is below 10th %ile",IF($BS$29&gt;$BS$30,"result is above 90th %ile","")))</f>
        <v/>
      </c>
      <c r="AW14" s="1074"/>
      <c r="AX14" s="1074"/>
      <c r="AY14" s="1074"/>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68"/>
      <c r="J15" s="1068"/>
      <c r="K15" s="1068"/>
      <c r="L15" s="1068"/>
      <c r="M15" s="1068"/>
      <c r="N15" s="1068"/>
      <c r="O15" s="1068"/>
      <c r="P15" s="247"/>
      <c r="Q15" s="247"/>
      <c r="R15" s="247"/>
      <c r="S15" s="247"/>
      <c r="T15" s="247"/>
      <c r="U15" s="247"/>
      <c r="V15" s="247"/>
      <c r="W15" s="247"/>
      <c r="X15" s="247"/>
      <c r="Y15" s="247"/>
      <c r="Z15" s="247"/>
      <c r="AA15" s="247"/>
      <c r="AB15" s="1074"/>
      <c r="AC15" s="1074"/>
      <c r="AD15" s="1074"/>
      <c r="AE15" s="1074"/>
      <c r="AF15" s="619"/>
      <c r="AG15" s="619"/>
      <c r="AH15" s="247"/>
      <c r="AI15" s="247"/>
      <c r="AJ15" s="247"/>
      <c r="AK15" s="247"/>
      <c r="AL15" s="1074"/>
      <c r="AM15" s="1074"/>
      <c r="AN15" s="1074"/>
      <c r="AO15" s="1074"/>
      <c r="AP15" s="247"/>
      <c r="AQ15" s="247"/>
      <c r="AR15" s="247"/>
      <c r="AS15" s="247"/>
      <c r="AT15" s="247"/>
      <c r="AU15" s="683"/>
      <c r="AV15" s="1074"/>
      <c r="AW15" s="1074"/>
      <c r="AX15" s="1074"/>
      <c r="AY15" s="1074"/>
      <c r="AZ15" s="247"/>
      <c r="BA15" s="247"/>
      <c r="BB15" s="342"/>
      <c r="BC15" s="109"/>
      <c r="BN15" s="662"/>
      <c r="BO15" s="715" t="s">
        <v>1024</v>
      </c>
      <c r="BP15" s="715"/>
      <c r="BR15" s="704" t="s">
        <v>1049</v>
      </c>
      <c r="BS15" s="731">
        <f>IF($BO$2&gt;0,"",IFERROR(SUM(N49:N50)/Worksheet!H62,""))</f>
        <v>20.78315966899078</v>
      </c>
      <c r="BT15" s="716"/>
      <c r="BU15" s="804" t="s">
        <v>1045</v>
      </c>
      <c r="BV15" s="717"/>
      <c r="BW15" s="717"/>
      <c r="BX15" s="664"/>
    </row>
    <row r="16" spans="1:77" ht="15" customHeight="1">
      <c r="A16" s="109"/>
      <c r="B16" s="335"/>
      <c r="C16" s="58"/>
      <c r="D16" s="247"/>
      <c r="E16" s="852"/>
      <c r="F16" s="247"/>
      <c r="G16" s="247"/>
      <c r="H16" s="247"/>
      <c r="I16" s="1068"/>
      <c r="J16" s="1068"/>
      <c r="K16" s="1068"/>
      <c r="L16" s="1068"/>
      <c r="M16" s="1068"/>
      <c r="N16" s="1068"/>
      <c r="O16" s="1068"/>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20.78315966899078</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68"/>
      <c r="J17" s="1068"/>
      <c r="K17" s="1068"/>
      <c r="L17" s="1068"/>
      <c r="M17" s="1068"/>
      <c r="N17" s="1068"/>
      <c r="O17" s="1068"/>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2">
        <f>BS15</f>
        <v>20.78315966899078</v>
      </c>
      <c r="AB18" s="1082"/>
      <c r="AC18" s="1082"/>
      <c r="AD18" s="871" t="str">
        <f>BD13</f>
        <v>$/conn/year</v>
      </c>
      <c r="AE18" s="872"/>
      <c r="AF18" s="873"/>
      <c r="AG18" s="873"/>
      <c r="AH18" s="874"/>
      <c r="AI18" s="874"/>
      <c r="AJ18" s="872"/>
      <c r="AK18" s="1082">
        <f>BS22</f>
        <v>9.5759806159315328</v>
      </c>
      <c r="AL18" s="1082"/>
      <c r="AM18" s="1082"/>
      <c r="AN18" s="871" t="str">
        <f>BD13</f>
        <v>$/conn/year</v>
      </c>
      <c r="AO18" s="872"/>
      <c r="AP18" s="872"/>
      <c r="AQ18" s="872"/>
      <c r="AR18" s="872"/>
      <c r="AS18" s="872"/>
      <c r="AT18" s="872"/>
      <c r="AU18" s="1082">
        <f>BS29</f>
        <v>11.207179053059248</v>
      </c>
      <c r="AV18" s="1082"/>
      <c r="AW18" s="1082"/>
      <c r="AX18" s="871" t="str">
        <f>BD13</f>
        <v>$/conn/year</v>
      </c>
      <c r="AY18" s="701"/>
      <c r="AZ18" s="247"/>
      <c r="BA18" s="247"/>
      <c r="BB18" s="342"/>
      <c r="BC18" s="109"/>
      <c r="BD18" s="58" t="s">
        <v>708</v>
      </c>
      <c r="BE18" s="234">
        <f>(((5.41*Worksheet!H61)+(0.15*Worksheet!H62)+(7.5*(Worksheet!H62*Worksheet!W67/5280)))*Worksheet!H68)/1000000*365</f>
        <v>322.92484296306822</v>
      </c>
      <c r="BN18" s="659"/>
      <c r="BO18" s="716" t="s">
        <v>1041</v>
      </c>
      <c r="BP18" s="718">
        <f>BQ18-BQ17</f>
        <v>8.9525318444022357</v>
      </c>
      <c r="BQ18" s="900">
        <f t="shared" si="0"/>
        <v>18.283980813778896</v>
      </c>
      <c r="BR18" s="716" t="s">
        <v>781</v>
      </c>
      <c r="BS18" s="720">
        <f>SUM(BP16:BP20)-SUM(BS16,BS17)</f>
        <v>93.89481891774534</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991.01865441037842</v>
      </c>
      <c r="BF19" s="233">
        <f>BE19*325851.427242/Worksheet!H62/365</f>
        <v>23.297579912023462</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2841.7252937500002</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9.5759806159315328</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9.5759806159315328</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4" t="str">
        <f>IF(BS36&lt;0,"negative result check inputs",IF($BS$37=0,"result is below 10th %ile",IF($BS$36&gt;$BS$37,"result is above 90th %ile","")))</f>
        <v/>
      </c>
      <c r="AC25" s="1074"/>
      <c r="AD25" s="1074"/>
      <c r="AE25" s="1074"/>
      <c r="AF25" s="619"/>
      <c r="AG25" s="619"/>
      <c r="AH25" s="680"/>
      <c r="AI25" s="680"/>
      <c r="AJ25" s="685"/>
      <c r="AK25" s="247"/>
      <c r="AL25" s="1074" t="str">
        <f>IF(BS43&lt;0,"negative result check inputs",IF($BS$44=0,"result is below 10th %ile",IF($BS$43&gt;$BS$44,"result is above 90th %ile","")))</f>
        <v/>
      </c>
      <c r="AM25" s="1074"/>
      <c r="AN25" s="1074"/>
      <c r="AO25" s="1074"/>
      <c r="AP25" s="247"/>
      <c r="AQ25" s="247"/>
      <c r="AR25" s="247"/>
      <c r="AS25" s="247"/>
      <c r="AT25" s="247"/>
      <c r="AU25" s="683"/>
      <c r="AV25" s="1074" t="str">
        <f>IF(BS55&lt;0,"negative result check inputs",IF($BS$56=0,"result is below 10th %ile",IF($BS$55&gt;$BS$56,"result is above 90th %ile","")))</f>
        <v/>
      </c>
      <c r="AW25" s="1074"/>
      <c r="AX25" s="1074"/>
      <c r="AY25" s="1074"/>
      <c r="AZ25" s="247"/>
      <c r="BA25" s="247"/>
      <c r="BB25" s="336"/>
      <c r="BC25" s="109"/>
      <c r="BN25" s="659"/>
      <c r="BO25" s="716" t="s">
        <v>1041</v>
      </c>
      <c r="BP25" s="718">
        <f>BQ25-BQ24</f>
        <v>5.2798362211473915</v>
      </c>
      <c r="BQ25" s="900">
        <f t="shared" si="1"/>
        <v>6.1547896930365926</v>
      </c>
      <c r="BR25" s="716" t="s">
        <v>781</v>
      </c>
      <c r="BS25" s="720">
        <f>SUM(BP23:BP27)-SUM(BS23,BS24)</f>
        <v>38.502441037711577</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4"/>
      <c r="AC26" s="1074"/>
      <c r="AD26" s="1074"/>
      <c r="AE26" s="1074"/>
      <c r="AF26" s="619"/>
      <c r="AG26" s="619"/>
      <c r="AH26" s="680"/>
      <c r="AI26" s="680"/>
      <c r="AJ26" s="685"/>
      <c r="AK26" s="247"/>
      <c r="AL26" s="1074"/>
      <c r="AM26" s="1074"/>
      <c r="AN26" s="1074"/>
      <c r="AO26" s="1074"/>
      <c r="AP26" s="247"/>
      <c r="AQ26" s="247"/>
      <c r="AR26" s="247"/>
      <c r="AS26" s="247"/>
      <c r="AT26" s="247"/>
      <c r="AU26" s="683"/>
      <c r="AV26" s="1074"/>
      <c r="AW26" s="1074"/>
      <c r="AX26" s="1074"/>
      <c r="AY26" s="1074"/>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3">
        <f>BS36</f>
        <v>76.323983875476841</v>
      </c>
      <c r="AB29" s="1083"/>
      <c r="AC29" s="1083"/>
      <c r="AD29" s="870" t="str">
        <f>BD10</f>
        <v>gal/conn/day</v>
      </c>
      <c r="AE29" s="870"/>
      <c r="AF29" s="875"/>
      <c r="AG29" s="875"/>
      <c r="AH29" s="700"/>
      <c r="AI29" s="700"/>
      <c r="AJ29" s="700"/>
      <c r="AK29" s="1083">
        <f>BS43</f>
        <v>3.1916743712067239</v>
      </c>
      <c r="AL29" s="1083"/>
      <c r="AM29" s="1083"/>
      <c r="AN29" s="871" t="str">
        <f>BD10</f>
        <v>gal/conn/day</v>
      </c>
      <c r="AO29" s="700"/>
      <c r="AP29" s="700"/>
      <c r="AQ29" s="700"/>
      <c r="AR29" s="700"/>
      <c r="AS29" s="700"/>
      <c r="AT29" s="700"/>
      <c r="AU29" s="1078">
        <f>BS55</f>
        <v>73.132309504270111</v>
      </c>
      <c r="AV29" s="1078"/>
      <c r="AW29" s="1078"/>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11.207179053059248</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11.207179053059248</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79">
        <f>IF(input_AOP="","",input_AOP)</f>
        <v>70</v>
      </c>
      <c r="Y32" s="107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59.318751363476771</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80" t="str">
        <f>IF(BQ83=0,"",IF(BQ83&lt;BQ78,"AOP is below 10th %ile",IF(BQ83&gt;BQ82,"AOP is above 90th %ile","")))</f>
        <v/>
      </c>
      <c r="AC33" s="1080"/>
      <c r="AD33" s="108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80"/>
      <c r="AC34" s="1080"/>
      <c r="AD34" s="108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76.323983875476841</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4" t="str">
        <f>IF(BS62&lt;0,"negative result check inputs",IF($BS$63=0,"result is below 10th %ile",IF($BS$62&gt;$BS$63,"result is above 90th %ile","")))</f>
        <v/>
      </c>
      <c r="AJ37" s="1074"/>
      <c r="AK37" s="1074"/>
      <c r="AL37" s="1074"/>
      <c r="AM37" s="247"/>
      <c r="AN37" s="247"/>
      <c r="AO37" s="247"/>
      <c r="AP37" s="247"/>
      <c r="AQ37" s="247"/>
      <c r="AR37" s="247"/>
      <c r="AS37" s="247"/>
      <c r="AT37" s="1074" t="str">
        <f>IF(BS69&lt;0,"negative result check inputs",IF($BS$70=0,"result is below 10th %ile",IF($BS$69&gt;$BS$70,"result is above 90th %ile","")))</f>
        <v/>
      </c>
      <c r="AU37" s="1074"/>
      <c r="AV37" s="1074"/>
      <c r="AW37" s="1074"/>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76.323983875476841</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4"/>
      <c r="AJ38" s="1074"/>
      <c r="AK38" s="1074"/>
      <c r="AL38" s="1074"/>
      <c r="AM38" s="247"/>
      <c r="AN38" s="247"/>
      <c r="AO38" s="247"/>
      <c r="AP38" s="247"/>
      <c r="AQ38" s="247"/>
      <c r="AR38" s="247"/>
      <c r="AS38" s="247"/>
      <c r="AT38" s="1074"/>
      <c r="AU38" s="1074"/>
      <c r="AV38" s="1074"/>
      <c r="AW38" s="1074"/>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171.97560431568579</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77">
        <f>BS62</f>
        <v>3.1390517719193585</v>
      </c>
      <c r="AI41" s="1077"/>
      <c r="AJ41" s="1077"/>
      <c r="AK41" s="870" t="s">
        <v>1050</v>
      </c>
      <c r="AL41" s="799"/>
      <c r="AM41" s="800"/>
      <c r="AN41" s="796"/>
      <c r="AO41" s="796"/>
      <c r="AP41" s="796"/>
      <c r="AQ41" s="796"/>
      <c r="AR41" s="796"/>
      <c r="AS41" s="1076">
        <f>BS69</f>
        <v>5186.1801184400692</v>
      </c>
      <c r="AT41" s="1076"/>
      <c r="AU41" s="1076"/>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73" t="s">
        <v>1200</v>
      </c>
      <c r="AA43" s="1073"/>
      <c r="AB43" s="1073"/>
      <c r="AC43" s="1073"/>
      <c r="AD43" s="1073"/>
      <c r="AE43" s="1073"/>
      <c r="AF43" s="1073"/>
      <c r="AG43" s="1073"/>
      <c r="AH43" s="1073"/>
      <c r="AI43" s="1073"/>
      <c r="AJ43" s="1073"/>
      <c r="AK43" s="1075">
        <f>IF(OR(ISBLANK('Start Page'!$AB$22),LEN(Worksheet!C70)&gt;0),"",VLOOKUP(BD7,BD18:BE20,2,FALSE))</f>
        <v>322.92484296306822</v>
      </c>
      <c r="AL43" s="1075"/>
      <c r="AM43" s="1075"/>
      <c r="AN43" s="1075"/>
      <c r="AO43" s="916" t="str">
        <f>BD7</f>
        <v>MG/Yr</v>
      </c>
      <c r="AP43" s="700"/>
      <c r="AQ43" s="700"/>
      <c r="AR43" s="700"/>
      <c r="AS43" s="1075">
        <f>IF(BG19=1,BF19,IFERROR(AK43*1000000/Worksheet!H62/365,""))</f>
        <v>23.297579912023462</v>
      </c>
      <c r="AT43" s="1075"/>
      <c r="AU43" s="1075"/>
      <c r="AV43" s="1075"/>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3.1916743712067239</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3.1916743712067239</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29.189188224046447</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72" t="s">
        <v>686</v>
      </c>
      <c r="J47" s="1072"/>
      <c r="K47" s="1072"/>
      <c r="L47" s="1072"/>
      <c r="M47" s="697"/>
      <c r="N47" s="1072" t="s">
        <v>687</v>
      </c>
      <c r="O47" s="1072"/>
      <c r="P47" s="1072"/>
      <c r="Q47" s="1072"/>
      <c r="R47" s="1081" t="s">
        <v>958</v>
      </c>
      <c r="S47" s="1081"/>
      <c r="T47" s="1081"/>
      <c r="U47" s="1081"/>
      <c r="V47" s="108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72" t="str">
        <f>BD7</f>
        <v>MG/Yr</v>
      </c>
      <c r="J48" s="1072"/>
      <c r="K48" s="1072"/>
      <c r="L48" s="1072"/>
      <c r="M48" s="697"/>
      <c r="N48" s="1072" t="s">
        <v>685</v>
      </c>
      <c r="O48" s="1072"/>
      <c r="P48" s="1072"/>
      <c r="Q48" s="1072"/>
      <c r="R48" s="1081"/>
      <c r="S48" s="1081"/>
      <c r="T48" s="1081"/>
      <c r="U48" s="1081"/>
      <c r="V48" s="108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70">
        <f>IF(ISBLANK('Start Page'!$AB$22),"",Worksheet!H46)</f>
        <v>44.239399499999998</v>
      </c>
      <c r="J49" s="1070"/>
      <c r="K49" s="1070"/>
      <c r="L49" s="1070"/>
      <c r="M49" s="683"/>
      <c r="N49" s="1071">
        <f>IF(OR(ISBLANK('Start Page'!$AB$22),ISBLANK(Worksheet!J76)),"",(SUM(Worksheet!H43+Worksheet!H39+Worksheet!X50)*Worksheet!H76)*INDEX(Sheet1!B2:D4,MATCH('Start Page'!AB22,Sheet1!A2:A4,0),MATCH(Worksheet!J76,Sheet1!B1:D1,0))+Worksheet!Y50*Worksheet!H77)</f>
        <v>363647.86388999998</v>
      </c>
      <c r="O49" s="1071"/>
      <c r="P49" s="1071"/>
      <c r="Q49" s="1071"/>
      <c r="R49" s="1069" t="s">
        <v>914</v>
      </c>
      <c r="S49" s="1069"/>
      <c r="T49" s="1069"/>
      <c r="U49" s="1069"/>
      <c r="V49" s="106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70">
        <f>IF(ISBLANK('Start Page'!$AB$22),"",Worksheet!H51)</f>
        <v>1013.6778004999999</v>
      </c>
      <c r="J50" s="1070"/>
      <c r="K50" s="1070"/>
      <c r="L50" s="1070"/>
      <c r="M50" s="683"/>
      <c r="N50" s="1071">
        <f>IFERROR(IF(Worksheet!H41="Select under/over","",IF(ISBLANK('Start Page'!AB22),"",Worksheet!H51*(IF(BD29=FALSE,Worksheet!H77,IF(BD29=TRUE,Worksheet!H76*INDEX(Sheet1!B2:D4,MATCH('Start Page'!AB22,Sheet1!A2:A4,0),MATCH(Worksheet!J76,Sheet1!B1:D1,0)),""))))),"")</f>
        <v>425592.62453992496</v>
      </c>
      <c r="O50" s="1071"/>
      <c r="P50" s="1071"/>
      <c r="Q50" s="1071"/>
      <c r="R50" s="1069" t="str">
        <f>IF(BD29=FALSE,"VPC",R49)</f>
        <v>VPC</v>
      </c>
      <c r="S50" s="1069"/>
      <c r="T50" s="1069"/>
      <c r="U50" s="1069"/>
      <c r="V50" s="106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70">
        <f>IF(ISBLANK('Start Page'!$AB$22),"",SUM(Worksheet!H25:H26))</f>
        <v>39.204000000000001</v>
      </c>
      <c r="J51" s="1070"/>
      <c r="K51" s="1070"/>
      <c r="L51" s="1070"/>
      <c r="M51" s="683"/>
      <c r="N51" s="1071">
        <f>IFERROR(IF(SUM(Sheet1!D90:D91)=0,"",SUM(Sheet1!D90:D91)),"")</f>
        <v>16459.7994</v>
      </c>
      <c r="O51" s="1071"/>
      <c r="P51" s="1071"/>
      <c r="Q51" s="1071"/>
      <c r="R51" s="1069" t="str">
        <f>IF(BD29=FALSE,"VPC",R49)</f>
        <v>VPC</v>
      </c>
      <c r="S51" s="1069"/>
      <c r="T51" s="1069"/>
      <c r="U51" s="1069"/>
      <c r="V51" s="106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70">
        <f>IF(SUM(I49:I51)=0,"",SUM(I49:I51))</f>
        <v>1097.1211999999998</v>
      </c>
      <c r="J52" s="1070"/>
      <c r="K52" s="1070"/>
      <c r="L52" s="1070"/>
      <c r="M52" s="683"/>
      <c r="N52" s="1071">
        <f>IF(SUM(N49:N51)=0,"",SUM(N49:N51))</f>
        <v>805700.28782992496</v>
      </c>
      <c r="O52" s="1071"/>
      <c r="P52" s="1071"/>
      <c r="Q52" s="1071"/>
      <c r="R52" s="1069" t="str">
        <f>IF(BD29=FALSE,"Blended",R49)</f>
        <v>Blended</v>
      </c>
      <c r="S52" s="1069"/>
      <c r="T52" s="1069"/>
      <c r="U52" s="1069"/>
      <c r="V52" s="106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73.132309504270111</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73.132309504270111</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155.88672284494288</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3.1390517719193585</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3.1390517719193585</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8.127125955249884</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5186.1801184400692</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5186.1801184400692</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6864.8887912604341</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17.665808526427512</v>
      </c>
      <c r="BQ83" s="733">
        <f>BP83+BQ78</f>
        <v>70</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topLeftCell="B1" zoomScale="90" zoomScaleNormal="90" zoomScaleSheetLayoutView="115" workbookViewId="0">
      <pane ySplit="9" topLeftCell="A10" activePane="bottomLeft" state="frozen"/>
      <selection activeCell="F138" sqref="F138"/>
      <selection pane="bottomLeft" activeCell="G16" sqref="G16:G18"/>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11" t="s">
        <v>885</v>
      </c>
      <c r="C2" s="1111"/>
      <c r="D2" s="1111"/>
      <c r="E2" s="1111"/>
      <c r="F2" s="1111"/>
      <c r="G2" s="1111"/>
      <c r="H2" s="1111"/>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Harrisburg</v>
      </c>
      <c r="H4" s="890">
        <f>IF(ISBLANK('Start Page'!AB19),"",'Start Page'!AB19)</f>
        <v>2022</v>
      </c>
    </row>
    <row r="5" spans="2:21" ht="13.35" customHeight="1">
      <c r="F5" s="257" t="s">
        <v>716</v>
      </c>
      <c r="G5" s="890">
        <f>IF(ISBLANK('Start Page'!AB18),"",'Start Page'!AB18)</f>
        <v>2022</v>
      </c>
      <c r="H5" s="890" t="str">
        <f>IF(ISBLANK('Start Page'!AB20),"",TEXT('Start Page'!AB20,"mmm dd yyyy")&amp;" - "&amp;TEXT('Start Page'!AB21,"mmm dd yyyy"))</f>
        <v>Jan 01 2022 - Dec 31 2022</v>
      </c>
    </row>
    <row r="6" spans="2:21" ht="7.35" customHeight="1">
      <c r="F6" s="614"/>
      <c r="G6" s="614"/>
      <c r="H6" s="614"/>
    </row>
    <row r="7" spans="2:21" ht="56.45" customHeight="1">
      <c r="F7" s="508" t="s">
        <v>886</v>
      </c>
      <c r="G7" s="1110"/>
      <c r="H7" s="1110"/>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104" t="s">
        <v>1139</v>
      </c>
      <c r="G10" s="1107" t="s">
        <v>1282</v>
      </c>
      <c r="H10" s="1107"/>
    </row>
    <row r="11" spans="2:21" ht="28.9" customHeight="1">
      <c r="B11" s="845" t="s">
        <v>1156</v>
      </c>
      <c r="C11" s="518"/>
      <c r="D11" s="845" t="s">
        <v>1157</v>
      </c>
      <c r="F11" s="1105"/>
      <c r="G11" s="1108"/>
      <c r="H11" s="1108"/>
      <c r="J11" s="344"/>
      <c r="K11" s="344"/>
      <c r="L11" s="344"/>
      <c r="M11" s="344"/>
      <c r="N11" s="344"/>
      <c r="O11" s="344"/>
      <c r="P11" s="344"/>
      <c r="Q11" s="344"/>
      <c r="R11" s="344"/>
      <c r="S11" s="344"/>
      <c r="T11" s="344"/>
      <c r="U11" s="345"/>
    </row>
    <row r="12" spans="2:21" ht="28.9" customHeight="1">
      <c r="B12" s="538"/>
      <c r="C12" s="518"/>
      <c r="D12" s="538"/>
      <c r="F12" s="1106"/>
      <c r="G12" s="1109"/>
      <c r="H12" s="1109"/>
      <c r="J12" s="838"/>
      <c r="K12" s="838"/>
      <c r="L12" s="838"/>
      <c r="M12" s="838"/>
      <c r="N12" s="838"/>
      <c r="O12" s="838"/>
      <c r="P12" s="838"/>
      <c r="Q12" s="838"/>
      <c r="R12" s="838"/>
      <c r="S12" s="838"/>
      <c r="T12" s="838"/>
      <c r="U12" s="838"/>
    </row>
    <row r="13" spans="2:21" ht="28.9" customHeight="1">
      <c r="B13" s="538"/>
      <c r="C13" s="518"/>
      <c r="D13" s="538"/>
      <c r="F13" s="1104" t="s">
        <v>1140</v>
      </c>
      <c r="G13" s="1107"/>
      <c r="H13" s="1107"/>
      <c r="J13" s="838"/>
      <c r="K13" s="838"/>
      <c r="L13" s="838"/>
      <c r="M13" s="838"/>
      <c r="N13" s="838"/>
      <c r="O13" s="838"/>
      <c r="P13" s="838"/>
      <c r="Q13" s="838"/>
      <c r="R13" s="838"/>
      <c r="S13" s="838"/>
      <c r="T13" s="838"/>
      <c r="U13" s="838"/>
    </row>
    <row r="14" spans="2:21" ht="28.9" customHeight="1">
      <c r="B14" s="845" t="s">
        <v>1156</v>
      </c>
      <c r="C14" s="518"/>
      <c r="D14" s="845" t="s">
        <v>1157</v>
      </c>
      <c r="F14" s="1105"/>
      <c r="G14" s="1108"/>
      <c r="H14" s="1108"/>
    </row>
    <row r="15" spans="2:21" ht="28.9" customHeight="1">
      <c r="B15" s="846"/>
      <c r="C15" s="518"/>
      <c r="D15" s="846"/>
      <c r="F15" s="1106"/>
      <c r="G15" s="1109"/>
      <c r="H15" s="1109"/>
    </row>
    <row r="16" spans="2:21" ht="28.9" customHeight="1">
      <c r="B16" s="538"/>
      <c r="C16" s="518"/>
      <c r="D16" s="538"/>
      <c r="F16" s="1104" t="s">
        <v>1141</v>
      </c>
      <c r="G16" s="1107"/>
      <c r="H16" s="1101"/>
    </row>
    <row r="17" spans="2:8" ht="28.9" customHeight="1">
      <c r="B17" s="845" t="s">
        <v>1156</v>
      </c>
      <c r="C17" s="518"/>
      <c r="D17" s="845" t="s">
        <v>1157</v>
      </c>
      <c r="F17" s="1105"/>
      <c r="G17" s="1102"/>
      <c r="H17" s="1102"/>
    </row>
    <row r="18" spans="2:8" ht="28.9" customHeight="1">
      <c r="B18" s="538"/>
      <c r="C18" s="518"/>
      <c r="D18" s="538"/>
      <c r="F18" s="1106"/>
      <c r="G18" s="1103"/>
      <c r="H18" s="1103"/>
    </row>
    <row r="19" spans="2:8" ht="28.9" customHeight="1">
      <c r="B19" s="538"/>
      <c r="C19" s="518"/>
      <c r="D19" s="538"/>
      <c r="F19" s="1104" t="s">
        <v>1142</v>
      </c>
      <c r="G19" s="1101"/>
      <c r="H19" s="1101"/>
    </row>
    <row r="20" spans="2:8" ht="28.9" customHeight="1">
      <c r="B20" s="845" t="s">
        <v>1156</v>
      </c>
      <c r="C20" s="518"/>
      <c r="D20" s="845" t="s">
        <v>1157</v>
      </c>
      <c r="F20" s="1105"/>
      <c r="G20" s="1102"/>
      <c r="H20" s="1102"/>
    </row>
    <row r="21" spans="2:8" ht="28.9" customHeight="1">
      <c r="B21" s="538"/>
      <c r="C21" s="518"/>
      <c r="D21" s="538"/>
      <c r="F21" s="1106"/>
      <c r="G21" s="1103"/>
      <c r="H21" s="1103"/>
    </row>
    <row r="22" spans="2:8" ht="28.9" customHeight="1">
      <c r="B22" s="538"/>
      <c r="C22" s="518"/>
      <c r="D22" s="538"/>
      <c r="F22" s="1104" t="s">
        <v>1133</v>
      </c>
      <c r="G22" s="1101"/>
      <c r="H22" s="1101"/>
    </row>
    <row r="23" spans="2:8" ht="28.9" customHeight="1">
      <c r="B23" s="845" t="s">
        <v>1156</v>
      </c>
      <c r="C23" s="518"/>
      <c r="D23" s="845" t="s">
        <v>1157</v>
      </c>
      <c r="F23" s="1105"/>
      <c r="G23" s="1102"/>
      <c r="H23" s="1102"/>
    </row>
    <row r="24" spans="2:8" ht="28.9" customHeight="1">
      <c r="B24" s="538"/>
      <c r="C24" s="518"/>
      <c r="D24" s="538"/>
      <c r="F24" s="1106"/>
      <c r="G24" s="1103"/>
      <c r="H24" s="1103"/>
    </row>
    <row r="25" spans="2:8" ht="28.9" customHeight="1">
      <c r="B25" s="538"/>
      <c r="C25" s="518"/>
      <c r="D25" s="538"/>
      <c r="F25" s="1104" t="s">
        <v>1143</v>
      </c>
      <c r="G25" s="1098"/>
      <c r="H25" s="1098"/>
    </row>
    <row r="26" spans="2:8" ht="28.9" customHeight="1">
      <c r="B26" s="845" t="s">
        <v>1156</v>
      </c>
      <c r="C26" s="518"/>
      <c r="D26" s="845" t="s">
        <v>1157</v>
      </c>
      <c r="F26" s="1105"/>
      <c r="G26" s="1099"/>
      <c r="H26" s="1099"/>
    </row>
    <row r="27" spans="2:8" ht="28.9" customHeight="1">
      <c r="B27" s="538"/>
      <c r="C27" s="518"/>
      <c r="D27" s="538"/>
      <c r="F27" s="1106"/>
      <c r="G27" s="1100"/>
      <c r="H27" s="1100"/>
    </row>
    <row r="28" spans="2:8" ht="28.9" customHeight="1">
      <c r="B28" s="538"/>
      <c r="C28" s="518"/>
      <c r="D28" s="538"/>
      <c r="F28" s="1104" t="s">
        <v>1144</v>
      </c>
      <c r="G28" s="1107" t="s">
        <v>1278</v>
      </c>
      <c r="H28" s="1101"/>
    </row>
    <row r="29" spans="2:8" ht="28.9" customHeight="1">
      <c r="B29" s="845" t="s">
        <v>1156</v>
      </c>
      <c r="C29" s="518"/>
      <c r="D29" s="845" t="s">
        <v>1157</v>
      </c>
      <c r="F29" s="1105"/>
      <c r="G29" s="1102"/>
      <c r="H29" s="1102"/>
    </row>
    <row r="30" spans="2:8" ht="28.9" customHeight="1">
      <c r="B30" s="538"/>
      <c r="C30" s="518"/>
      <c r="D30" s="538"/>
      <c r="F30" s="1106"/>
      <c r="G30" s="1103"/>
      <c r="H30" s="1103"/>
    </row>
    <row r="31" spans="2:8" ht="28.9" customHeight="1">
      <c r="B31" s="538"/>
      <c r="C31" s="518"/>
      <c r="D31" s="538"/>
      <c r="F31" s="1104" t="s">
        <v>1145</v>
      </c>
      <c r="G31" s="1101"/>
      <c r="H31" s="1101"/>
    </row>
    <row r="32" spans="2:8" ht="28.9" customHeight="1">
      <c r="B32" s="845" t="s">
        <v>1156</v>
      </c>
      <c r="C32" s="518"/>
      <c r="D32" s="845" t="s">
        <v>1157</v>
      </c>
      <c r="F32" s="1105"/>
      <c r="G32" s="1102"/>
      <c r="H32" s="1102"/>
    </row>
    <row r="33" spans="2:8" ht="28.9" customHeight="1">
      <c r="B33" s="538"/>
      <c r="C33" s="518"/>
      <c r="D33" s="538"/>
      <c r="F33" s="1106"/>
      <c r="G33" s="1103"/>
      <c r="H33" s="1103"/>
    </row>
    <row r="34" spans="2:8" ht="28.9" customHeight="1">
      <c r="B34" s="538"/>
      <c r="C34" s="518"/>
      <c r="D34" s="538"/>
      <c r="F34" s="1104" t="s">
        <v>1146</v>
      </c>
      <c r="G34" s="1098"/>
      <c r="H34" s="1098"/>
    </row>
    <row r="35" spans="2:8" ht="28.9" customHeight="1">
      <c r="B35" s="845" t="s">
        <v>1156</v>
      </c>
      <c r="C35" s="518"/>
      <c r="D35" s="845" t="s">
        <v>1157</v>
      </c>
      <c r="F35" s="1105"/>
      <c r="G35" s="1099"/>
      <c r="H35" s="1099"/>
    </row>
    <row r="36" spans="2:8" ht="28.9" customHeight="1">
      <c r="B36" s="538"/>
      <c r="C36" s="518"/>
      <c r="D36" s="538"/>
      <c r="F36" s="1106"/>
      <c r="G36" s="1100"/>
      <c r="H36" s="1100"/>
    </row>
    <row r="37" spans="2:8" ht="28.9" customHeight="1">
      <c r="B37" s="538"/>
      <c r="C37" s="518"/>
      <c r="D37" s="538"/>
      <c r="F37" s="1104" t="s">
        <v>1147</v>
      </c>
      <c r="G37" s="1098"/>
      <c r="H37" s="1098"/>
    </row>
    <row r="38" spans="2:8" ht="28.9" customHeight="1">
      <c r="B38" s="845" t="s">
        <v>1156</v>
      </c>
      <c r="C38" s="518"/>
      <c r="D38" s="845" t="s">
        <v>1157</v>
      </c>
      <c r="F38" s="1105"/>
      <c r="G38" s="1099"/>
      <c r="H38" s="1099"/>
    </row>
    <row r="39" spans="2:8" ht="28.9" customHeight="1">
      <c r="B39" s="538"/>
      <c r="C39" s="518"/>
      <c r="D39" s="538"/>
      <c r="F39" s="1106"/>
      <c r="G39" s="1100"/>
      <c r="H39" s="1100"/>
    </row>
    <row r="40" spans="2:8" ht="28.9" customHeight="1">
      <c r="B40" s="538"/>
      <c r="C40" s="518"/>
      <c r="D40" s="538"/>
      <c r="F40" s="1104" t="s">
        <v>1148</v>
      </c>
      <c r="G40" s="1098"/>
      <c r="H40" s="1098"/>
    </row>
    <row r="41" spans="2:8" ht="28.9" customHeight="1">
      <c r="B41" s="845" t="s">
        <v>1156</v>
      </c>
      <c r="C41" s="518"/>
      <c r="D41" s="845" t="s">
        <v>1157</v>
      </c>
      <c r="F41" s="1105"/>
      <c r="G41" s="1099"/>
      <c r="H41" s="1099"/>
    </row>
    <row r="42" spans="2:8" ht="28.9" customHeight="1">
      <c r="B42" s="538"/>
      <c r="C42" s="518"/>
      <c r="D42" s="538"/>
      <c r="F42" s="1106"/>
      <c r="G42" s="1100"/>
      <c r="H42" s="1100"/>
    </row>
    <row r="43" spans="2:8" ht="28.9" customHeight="1">
      <c r="B43" s="538"/>
      <c r="C43" s="518"/>
      <c r="D43" s="538"/>
      <c r="F43" s="1104" t="s">
        <v>1149</v>
      </c>
      <c r="G43" s="1098"/>
      <c r="H43" s="1098"/>
    </row>
    <row r="44" spans="2:8" ht="28.9" customHeight="1">
      <c r="B44" s="845" t="s">
        <v>1156</v>
      </c>
      <c r="C44" s="518"/>
      <c r="D44" s="845" t="s">
        <v>1157</v>
      </c>
      <c r="F44" s="1105"/>
      <c r="G44" s="1099"/>
      <c r="H44" s="1099"/>
    </row>
    <row r="45" spans="2:8" ht="28.9" customHeight="1">
      <c r="B45" s="538"/>
      <c r="C45" s="518"/>
      <c r="D45" s="538"/>
      <c r="F45" s="1106"/>
      <c r="G45" s="1100"/>
      <c r="H45" s="1100"/>
    </row>
    <row r="46" spans="2:8" ht="28.9" customHeight="1">
      <c r="B46" s="538"/>
      <c r="C46" s="518"/>
      <c r="D46" s="538"/>
      <c r="F46" s="1104" t="s">
        <v>1150</v>
      </c>
      <c r="G46" s="1098" t="s">
        <v>1281</v>
      </c>
      <c r="H46" s="1098"/>
    </row>
    <row r="47" spans="2:8" ht="28.9" customHeight="1">
      <c r="B47" s="845" t="s">
        <v>1156</v>
      </c>
      <c r="C47" s="518"/>
      <c r="D47" s="845" t="s">
        <v>1157</v>
      </c>
      <c r="F47" s="1105"/>
      <c r="G47" s="1099"/>
      <c r="H47" s="1099"/>
    </row>
    <row r="48" spans="2:8" ht="28.9" customHeight="1">
      <c r="B48" s="538"/>
      <c r="C48" s="518"/>
      <c r="D48" s="538"/>
      <c r="F48" s="1106"/>
      <c r="G48" s="1100"/>
      <c r="H48" s="1100"/>
    </row>
    <row r="49" spans="2:8" ht="28.9" customHeight="1">
      <c r="B49" s="538"/>
      <c r="C49" s="518"/>
      <c r="D49" s="538"/>
      <c r="F49" s="1104" t="s">
        <v>1127</v>
      </c>
      <c r="G49" s="1098"/>
      <c r="H49" s="1098"/>
    </row>
    <row r="50" spans="2:8" ht="28.9" customHeight="1">
      <c r="B50" s="845" t="s">
        <v>1156</v>
      </c>
      <c r="C50" s="518"/>
      <c r="D50" s="845" t="s">
        <v>1157</v>
      </c>
      <c r="F50" s="1105"/>
      <c r="G50" s="1099"/>
      <c r="H50" s="1099"/>
    </row>
    <row r="51" spans="2:8" ht="28.9" customHeight="1">
      <c r="B51" s="538"/>
      <c r="C51" s="518"/>
      <c r="D51" s="538"/>
      <c r="F51" s="1106"/>
      <c r="G51" s="1100"/>
      <c r="H51" s="1100"/>
    </row>
    <row r="52" spans="2:8" ht="28.9" customHeight="1">
      <c r="B52" s="538"/>
      <c r="C52" s="518"/>
      <c r="D52" s="538"/>
      <c r="F52" s="1104" t="s">
        <v>1151</v>
      </c>
      <c r="G52" s="1098"/>
      <c r="H52" s="1098"/>
    </row>
    <row r="53" spans="2:8" ht="28.9" customHeight="1">
      <c r="B53" s="845" t="s">
        <v>1156</v>
      </c>
      <c r="C53" s="518"/>
      <c r="D53" s="845" t="s">
        <v>1157</v>
      </c>
      <c r="F53" s="1105"/>
      <c r="G53" s="1099"/>
      <c r="H53" s="1099"/>
    </row>
    <row r="54" spans="2:8" ht="28.9" customHeight="1">
      <c r="B54" s="538"/>
      <c r="C54" s="518"/>
      <c r="D54" s="538"/>
      <c r="F54" s="1106"/>
      <c r="G54" s="1100"/>
      <c r="H54" s="1100"/>
    </row>
    <row r="55" spans="2:8" ht="28.9" customHeight="1">
      <c r="B55" s="538"/>
      <c r="C55" s="518"/>
      <c r="D55" s="538"/>
      <c r="F55" s="1104" t="s">
        <v>1152</v>
      </c>
      <c r="G55" s="1098"/>
      <c r="H55" s="1098"/>
    </row>
    <row r="56" spans="2:8" ht="28.9" customHeight="1">
      <c r="B56" s="845" t="s">
        <v>1156</v>
      </c>
      <c r="C56" s="518"/>
      <c r="D56" s="845" t="s">
        <v>1157</v>
      </c>
      <c r="F56" s="1105"/>
      <c r="G56" s="1099"/>
      <c r="H56" s="1099"/>
    </row>
    <row r="57" spans="2:8" ht="28.9" customHeight="1">
      <c r="B57" s="538"/>
      <c r="C57" s="518"/>
      <c r="D57" s="538"/>
      <c r="F57" s="1106"/>
      <c r="G57" s="1100"/>
      <c r="H57" s="1100"/>
    </row>
    <row r="58" spans="2:8" ht="28.9" customHeight="1">
      <c r="B58" s="538"/>
      <c r="C58" s="518"/>
      <c r="D58" s="538"/>
      <c r="F58" s="1104" t="s">
        <v>1153</v>
      </c>
      <c r="G58" s="1098"/>
      <c r="H58" s="1098"/>
    </row>
    <row r="59" spans="2:8" ht="28.9" customHeight="1">
      <c r="B59" s="845" t="s">
        <v>1156</v>
      </c>
      <c r="C59" s="518"/>
      <c r="D59" s="845" t="s">
        <v>1157</v>
      </c>
      <c r="F59" s="1105"/>
      <c r="G59" s="1099"/>
      <c r="H59" s="1099"/>
    </row>
    <row r="60" spans="2:8" ht="28.9" customHeight="1">
      <c r="B60" s="538"/>
      <c r="C60" s="518"/>
      <c r="D60" s="538"/>
      <c r="F60" s="1106"/>
      <c r="G60" s="1100"/>
      <c r="H60" s="1100"/>
    </row>
    <row r="61" spans="2:8" ht="28.9" customHeight="1">
      <c r="B61" s="538"/>
      <c r="C61" s="518"/>
      <c r="D61" s="538"/>
      <c r="F61" s="1104" t="s">
        <v>1154</v>
      </c>
      <c r="G61" s="1098"/>
      <c r="H61" s="1098"/>
    </row>
    <row r="62" spans="2:8" ht="28.9" customHeight="1">
      <c r="B62" s="845" t="s">
        <v>1156</v>
      </c>
      <c r="C62" s="518"/>
      <c r="D62" s="845" t="s">
        <v>1157</v>
      </c>
      <c r="F62" s="1105"/>
      <c r="G62" s="1099"/>
      <c r="H62" s="1099"/>
    </row>
    <row r="63" spans="2:8" ht="28.9" customHeight="1">
      <c r="B63" s="538"/>
      <c r="C63" s="518"/>
      <c r="D63" s="538"/>
      <c r="F63" s="1106"/>
      <c r="G63" s="1100"/>
      <c r="H63" s="1100"/>
    </row>
    <row r="64" spans="2:8" ht="28.9" customHeight="1">
      <c r="B64" s="538"/>
      <c r="C64" s="518"/>
      <c r="D64" s="538"/>
      <c r="F64" s="1104" t="s">
        <v>1155</v>
      </c>
      <c r="G64" s="1098"/>
      <c r="H64" s="1098"/>
    </row>
    <row r="65" spans="2:8" ht="28.9" customHeight="1">
      <c r="B65" s="845" t="s">
        <v>1156</v>
      </c>
      <c r="C65" s="518"/>
      <c r="D65" s="845" t="s">
        <v>1157</v>
      </c>
      <c r="F65" s="1105"/>
      <c r="G65" s="1099"/>
      <c r="H65" s="1099"/>
    </row>
    <row r="66" spans="2:8" ht="28.9" customHeight="1">
      <c r="B66" s="538"/>
      <c r="C66" s="518"/>
      <c r="D66" s="538"/>
      <c r="F66" s="1106"/>
      <c r="G66" s="1100"/>
      <c r="H66" s="110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1,097 MG/Yr</v>
      </c>
    </row>
    <row r="79" spans="1:6" ht="16.5">
      <c r="B79" s="52"/>
      <c r="C79" s="52"/>
      <c r="D79" s="52"/>
      <c r="E79" s="9" t="str">
        <f>IFERROR("Total Cost of NRW = $"&amp;TEXT(SUM(D90,D91,D94,D95,D96,D98),"#,###")&amp;"/Yr","")</f>
        <v>Total Cost of NRW = $805,700/Yr</v>
      </c>
      <c r="F79" s="52"/>
    </row>
    <row r="80" spans="1:6">
      <c r="A80"/>
      <c r="B80"/>
      <c r="C80" s="53" t="str">
        <f>"Volume ("&amp;Worksheet!J15&amp;")"</f>
        <v>Volume (MG/Yr)</v>
      </c>
      <c r="D80" s="53" t="s">
        <v>149</v>
      </c>
      <c r="E80" s="94" t="s">
        <v>1087</v>
      </c>
      <c r="F80"/>
    </row>
    <row r="81" spans="1:6">
      <c r="A81" s="46" t="s">
        <v>129</v>
      </c>
      <c r="B81" s="46"/>
      <c r="C81" s="122">
        <f>IF(Dashboard!BO$2&gt;0,"",Worksheet!H15)</f>
        <v>3863.634</v>
      </c>
      <c r="D81" s="123">
        <f>IF(Dashboard!BO$2&gt;0,"",C81*(Worksheet!$H$77))</f>
        <v>1622146.7349</v>
      </c>
      <c r="E81" s="605">
        <f>D81</f>
        <v>1622146.7349</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4.7E-2</v>
      </c>
      <c r="D83" s="123">
        <f>IF(Dashboard!BO$2&gt;0,"",C83*(Worksheet!$H$77))</f>
        <v>19.732950000000002</v>
      </c>
      <c r="E83" s="605">
        <f t="shared" si="0"/>
        <v>19.732950000000002</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3863.681</v>
      </c>
      <c r="D87" s="123">
        <f>IF(Dashboard!BO$2&gt;0,"",C87*(Worksheet!$H$77))</f>
        <v>1622166.4678500001</v>
      </c>
      <c r="E87" s="605">
        <f t="shared" si="0"/>
        <v>1622166.4678500001</v>
      </c>
      <c r="F87"/>
    </row>
    <row r="88" spans="1:6">
      <c r="A88" t="s">
        <v>55</v>
      </c>
      <c r="B88"/>
      <c r="C88" s="122">
        <f>IF(Dashboard!BO$2&gt;0,"",Worksheet!H23)</f>
        <v>2766.5598</v>
      </c>
      <c r="D88" s="123">
        <f>IF(Dashboard!BO$2&gt;0,"",C88*(Worksheet!$H$76*1000))</f>
        <v>22741121.556000002</v>
      </c>
      <c r="E88" s="605">
        <f t="shared" si="0"/>
        <v>22741121.556000002</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39.204000000000001</v>
      </c>
      <c r="D91" s="127">
        <f>IF(Dashboard!BO$2&gt;0,"",IF(ISBLANK('Start Page'!AB22),"",IF(AND(ISBLANK(Worksheet!H77),Worksheet!Z77&lt;&gt;1),"",Worksheet!H26*(IF(Dashboard!BD29=FALSE,Worksheet!H77,IF(Dashboard!BD29=TRUE,Worksheet!H76*INDEX(Sheet1!B2:D4,MATCH('Start Page'!AB22,Sheet1!A2:A4,0),MATCH(Worksheet!J76,Sheet1!B1:D1,0)),""))))))</f>
        <v>16459.7994</v>
      </c>
      <c r="E91" s="606">
        <f t="shared" si="0"/>
        <v>16459.7994</v>
      </c>
      <c r="F91"/>
    </row>
    <row r="92" spans="1:6">
      <c r="A92" s="158" t="s">
        <v>2</v>
      </c>
      <c r="B92" s="125" t="s">
        <v>241</v>
      </c>
      <c r="C92" s="122">
        <f>IF(Dashboard!BO$2&gt;0,"",Worksheet!H30)</f>
        <v>2805.7638000000002</v>
      </c>
      <c r="D92" s="123">
        <f>IF(Dashboard!BO$2&gt;0,"",C92*(Worksheet!$H$76*1000))</f>
        <v>23063378.436000001</v>
      </c>
      <c r="E92" s="605">
        <f t="shared" si="0"/>
        <v>23063378.436000001</v>
      </c>
      <c r="F92"/>
    </row>
    <row r="93" spans="1:6">
      <c r="A93" t="s">
        <v>51</v>
      </c>
      <c r="B93"/>
      <c r="C93" s="122">
        <f>IF(Dashboard!BO$2&gt;0,"",Worksheet!H35)</f>
        <v>1057.9171999999999</v>
      </c>
      <c r="D93" s="123"/>
      <c r="E93" s="605">
        <f t="shared" si="0"/>
        <v>0</v>
      </c>
      <c r="F93"/>
    </row>
    <row r="94" spans="1:6">
      <c r="A94" s="223" t="s">
        <v>680</v>
      </c>
      <c r="B94" s="46"/>
      <c r="C94" s="126">
        <f>IF(Dashboard!BO$2&gt;0,"",Worksheet!H43)</f>
        <v>9.6590000000000007</v>
      </c>
      <c r="D94" s="127">
        <f>IF(Dashboard!BO$2&gt;0,"",IF(ISBLANK('Start Page'!AB22),"",IF(AND(ISBLANK(Worksheet!H77),Worksheet!Z77&lt;&gt;1),"",C94*Worksheet!H76*INDEX(Sheet1!B2:D4,MATCH('Start Page'!AB22,Sheet1!A2:A4,0),MATCH(Worksheet!J76,Sheet1!B1:D1,0)))))</f>
        <v>79396.98000000001</v>
      </c>
      <c r="E94" s="606">
        <f t="shared" si="0"/>
        <v>79396.98000000001</v>
      </c>
      <c r="F94" s="128"/>
    </row>
    <row r="95" spans="1:6">
      <c r="A95" s="223" t="s">
        <v>681</v>
      </c>
      <c r="B95" s="46"/>
      <c r="C95" s="126">
        <f>IF(Dashboard!BO$2&gt;0,"",Worksheet!H41)</f>
        <v>27.664000000000001</v>
      </c>
      <c r="D95" s="127">
        <f>IF(Dashboard!BO$2&gt;0,"",IF(ISBLANK('Start Page'!AB22),"",IF(AND(ISBLANK(Worksheet!H77),Worksheet!Z77&lt;&gt;1),"",C95*Worksheet!H76*INDEX(Sheet1!B2:D4,MATCH('Start Page'!AB22,Sheet1!A2:A4,0),MATCH(Worksheet!J76,Sheet1!B1:D1,0)))))</f>
        <v>227398.08000000002</v>
      </c>
      <c r="E95" s="606">
        <f t="shared" si="0"/>
        <v>227398.08000000002</v>
      </c>
      <c r="F95" s="128"/>
    </row>
    <row r="96" spans="1:6">
      <c r="A96" s="223" t="s">
        <v>682</v>
      </c>
      <c r="B96" s="46"/>
      <c r="C96" s="126">
        <f>IF(Dashboard!BO$2&gt;0,"",Worksheet!H39)</f>
        <v>6.9163994999999998</v>
      </c>
      <c r="D96" s="127">
        <f>IF(Dashboard!BO$2&gt;0,"",IF(ISBLANK('Start Page'!AB22),"",IF(AND(ISBLANK(Worksheet!H77),Worksheet!Z77&lt;&gt;1),"",C96*Worksheet!H76*INDEX(Sheet1!B2:D4,MATCH('Start Page'!AB22,Sheet1!A2:A4,0),MATCH(Worksheet!J76,Sheet1!B1:D1,0)))))</f>
        <v>56852.803890000003</v>
      </c>
      <c r="E96" s="606">
        <f t="shared" si="0"/>
        <v>56852.803890000003</v>
      </c>
      <c r="F96" s="128"/>
    </row>
    <row r="97" spans="1:7">
      <c r="A97" t="s">
        <v>42</v>
      </c>
      <c r="B97"/>
      <c r="C97" s="122">
        <f>IF(Dashboard!BO$2&gt;0,"",Worksheet!H46)</f>
        <v>44.239399499999998</v>
      </c>
      <c r="D97" s="123">
        <f>IF(Dashboard!BO$2&gt;0,"",SUM(D94:D96))</f>
        <v>363647.86389000004</v>
      </c>
      <c r="E97" s="605">
        <f t="shared" si="0"/>
        <v>363647.86389000004</v>
      </c>
      <c r="F97"/>
    </row>
    <row r="98" spans="1:7">
      <c r="A98" s="54" t="str">
        <f>"Real Losses valued at "&amp;A76&amp;""</f>
        <v xml:space="preserve">Real Losses valued at </v>
      </c>
      <c r="B98" s="46"/>
      <c r="C98" s="126">
        <f>IF(Dashboard!BO$2&gt;0,"",Worksheet!H51)</f>
        <v>1013.6778004999999</v>
      </c>
      <c r="D98" s="127">
        <f>IF(Dashboard!BO$2&gt;0,"",Dashboard!N50)</f>
        <v>425592.62453992496</v>
      </c>
      <c r="E98" s="606">
        <f t="shared" si="0"/>
        <v>425592.62453992496</v>
      </c>
      <c r="F98" s="605"/>
    </row>
    <row r="99" spans="1:7">
      <c r="A99" t="s">
        <v>74</v>
      </c>
      <c r="B99"/>
      <c r="C99" s="122">
        <f>IF(Dashboard!BO$2&gt;0,"",Worksheet!H57)</f>
        <v>1097.1211999999998</v>
      </c>
      <c r="D99" s="124">
        <f>IF(Dashboard!BO$2&gt;0,"",D97+D98+D90+D91)</f>
        <v>805700.28782992496</v>
      </c>
      <c r="E99" s="605">
        <f t="shared" si="0"/>
        <v>805700.28782992496</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Harrisburg</v>
      </c>
      <c r="G5" s="1127"/>
      <c r="H5" s="476"/>
      <c r="I5" s="5"/>
    </row>
    <row r="6" spans="2:16" ht="18" customHeight="1">
      <c r="B6" s="473"/>
      <c r="C6" s="482"/>
      <c r="D6" s="474"/>
      <c r="E6" s="788" t="s">
        <v>716</v>
      </c>
      <c r="F6" s="789">
        <f>IF(ISBLANK('Start Page'!AB18),"",'Start Page'!AB18)</f>
        <v>2022</v>
      </c>
      <c r="G6" s="790" t="str">
        <f>IF(ISBLANK('Start Page'!AB20),"",TEXT('Start Page'!AB20,"mmm dd yyyy")&amp;" - "&amp;TEXT('Start Page'!AB21,"mmm dd yyyy"))</f>
        <v>Jan 01 2022 - Dec 31 2022</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2766.5598</v>
      </c>
      <c r="H12" s="362"/>
      <c r="I12" s="5"/>
      <c r="K12" s="898"/>
    </row>
    <row r="13" spans="2:16" ht="22.5" customHeight="1">
      <c r="B13" s="1113"/>
      <c r="C13" s="363"/>
      <c r="D13" s="360"/>
      <c r="E13" s="1122"/>
      <c r="F13" s="365">
        <f>Worksheet!H23+Worksheet!H24</f>
        <v>2766.5598</v>
      </c>
      <c r="G13" s="366" t="s">
        <v>1092</v>
      </c>
      <c r="H13" s="367">
        <f>SUM(G12+G14)</f>
        <v>2766.5598</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2805.7638000000002</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3863.634</v>
      </c>
      <c r="C17" s="378"/>
      <c r="D17" s="379"/>
      <c r="E17" s="250"/>
      <c r="F17" s="380">
        <f>Worksheet!H25+Worksheet!H26</f>
        <v>39.204000000000001</v>
      </c>
      <c r="G17" s="364" t="s">
        <v>1094</v>
      </c>
      <c r="H17" s="362"/>
      <c r="I17" s="5"/>
      <c r="K17" s="46"/>
      <c r="L17" s="121"/>
      <c r="M17" s="121"/>
      <c r="N17" s="121"/>
      <c r="O17" s="121"/>
      <c r="P17" s="121"/>
    </row>
    <row r="18" spans="2:16" ht="15.75" customHeight="1">
      <c r="B18" s="375"/>
      <c r="C18" s="1134" t="s">
        <v>765</v>
      </c>
      <c r="D18" s="360"/>
      <c r="E18" s="381"/>
      <c r="F18" s="370"/>
      <c r="G18" s="382">
        <f>Worksheet!H26</f>
        <v>39.204000000000001</v>
      </c>
      <c r="H18" s="362"/>
      <c r="I18" s="5"/>
      <c r="K18" s="46"/>
    </row>
    <row r="19" spans="2:16" ht="22.5" customHeight="1">
      <c r="B19" s="375"/>
      <c r="C19" s="1134"/>
      <c r="D19" s="383" t="s">
        <v>118</v>
      </c>
      <c r="E19" s="356"/>
      <c r="F19" s="384"/>
      <c r="G19" s="600" t="s">
        <v>697</v>
      </c>
      <c r="H19" s="385">
        <f>Worksheet!H25+Worksheet!H26+Worksheet!H46+Worksheet!H51</f>
        <v>1097.1211999999998</v>
      </c>
      <c r="I19" s="5"/>
      <c r="K19" s="46"/>
      <c r="L19" s="121"/>
      <c r="M19" s="121"/>
      <c r="N19" s="121"/>
      <c r="O19" s="121"/>
      <c r="P19" s="121"/>
    </row>
    <row r="20" spans="2:16" ht="15.75" customHeight="1">
      <c r="B20" s="375"/>
      <c r="C20" s="386">
        <f>B17+B27</f>
        <v>3863.681</v>
      </c>
      <c r="D20" s="360"/>
      <c r="E20" s="250"/>
      <c r="F20" s="387" t="s">
        <v>52</v>
      </c>
      <c r="G20" s="376">
        <f>Worksheet!H39</f>
        <v>6.9163994999999998</v>
      </c>
      <c r="H20" s="362"/>
      <c r="I20" s="5"/>
      <c r="K20" s="46"/>
    </row>
    <row r="21" spans="2:16" ht="14.25" customHeight="1">
      <c r="B21" s="388"/>
      <c r="C21" s="389"/>
      <c r="D21" s="386">
        <f>Worksheet!H19</f>
        <v>3863.681</v>
      </c>
      <c r="E21" s="390"/>
      <c r="F21" s="380">
        <f>Worksheet!H46</f>
        <v>44.239399499999998</v>
      </c>
      <c r="G21" s="364" t="s">
        <v>696</v>
      </c>
      <c r="H21" s="362"/>
      <c r="I21" s="5"/>
      <c r="K21" s="46"/>
      <c r="L21" s="121"/>
      <c r="M21" s="121"/>
      <c r="N21" s="121"/>
      <c r="O21" s="121"/>
      <c r="P21" s="121"/>
    </row>
    <row r="22" spans="2:16" ht="15.75" customHeight="1">
      <c r="B22" s="375"/>
      <c r="C22" s="359"/>
      <c r="D22" s="360"/>
      <c r="E22" s="250"/>
      <c r="F22" s="390"/>
      <c r="G22" s="391">
        <f>Worksheet!H41</f>
        <v>27.664000000000001</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9.6590000000000007</v>
      </c>
      <c r="H24" s="362"/>
      <c r="I24" s="5"/>
      <c r="K24" s="46"/>
    </row>
    <row r="25" spans="2:16" ht="26.25" customHeight="1">
      <c r="B25" s="1112" t="s">
        <v>1089</v>
      </c>
      <c r="C25" s="363"/>
      <c r="D25" s="360"/>
      <c r="E25" s="393">
        <f>Worksheet!H53</f>
        <v>1057.9171999999999</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4.7E-2</v>
      </c>
      <c r="C27" s="378"/>
      <c r="D27" s="360"/>
      <c r="E27" s="250"/>
      <c r="F27" s="380">
        <f>Worksheet!H51</f>
        <v>1013.6778004999999</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65" t="s">
        <v>786</v>
      </c>
      <c r="C2" s="1166"/>
      <c r="D2" s="1166"/>
      <c r="E2" s="1166"/>
      <c r="F2" s="1166"/>
      <c r="G2" s="1166"/>
      <c r="H2" s="1166"/>
      <c r="I2" s="1166"/>
      <c r="J2" s="1166"/>
      <c r="K2" s="1166"/>
      <c r="L2" s="1166"/>
      <c r="M2" s="1166"/>
      <c r="N2" s="1166"/>
      <c r="O2" s="1166"/>
      <c r="P2" s="1166"/>
      <c r="Q2" s="1166"/>
      <c r="R2" s="1166"/>
      <c r="S2" s="1167"/>
      <c r="T2" s="111"/>
    </row>
    <row r="3" spans="1:20" ht="5.45" customHeight="1">
      <c r="A3" s="118"/>
      <c r="B3" s="403"/>
      <c r="S3" s="404"/>
      <c r="T3" s="111"/>
    </row>
    <row r="4" spans="1:20" ht="17.100000000000001" customHeight="1">
      <c r="A4" s="118"/>
      <c r="B4" s="403"/>
      <c r="E4" s="52"/>
      <c r="F4" s="346" t="s">
        <v>66</v>
      </c>
      <c r="G4" s="1135" t="str">
        <f>IF(ISBLANK('Start Page'!AB9),"&lt;&lt; Please enter system details on the Start Page &gt;&gt;",'Start Page'!AB9&amp;IF(ISBLANK('Start Page'!AM28),"","  ("&amp;'Start Page'!AM28&amp;")"))</f>
        <v>VEOLIA - Harrisburg</v>
      </c>
      <c r="H4" s="1136"/>
      <c r="I4" s="1136"/>
      <c r="J4" s="1136"/>
      <c r="K4" s="1136"/>
      <c r="L4" s="1136"/>
      <c r="M4" s="1136"/>
      <c r="N4" s="1136"/>
      <c r="O4" s="1137"/>
      <c r="S4" s="404"/>
      <c r="T4" s="111"/>
    </row>
    <row r="5" spans="1:20" ht="17.100000000000001" customHeight="1">
      <c r="A5" s="118"/>
      <c r="B5" s="403"/>
      <c r="E5"/>
      <c r="F5" s="346" t="s">
        <v>716</v>
      </c>
      <c r="G5" s="405">
        <f>IF(ISBLANK('Start Page'!AB18),"",'Start Page'!AB18)</f>
        <v>2022</v>
      </c>
      <c r="H5" s="1154" t="str">
        <f>IF(ISBLANK('Start Page'!AB20),"",TEXT('Start Page'!AB20,"mmm dd yyyy")&amp;" - "&amp;TEXT('Start Page'!AB21,"mmm dd yyyy"))</f>
        <v>Jan 01 2022 - Dec 31 2022</v>
      </c>
      <c r="I5" s="1155"/>
      <c r="J5" s="1156"/>
      <c r="K5" s="894"/>
      <c r="L5" s="894"/>
      <c r="M5" s="894"/>
      <c r="N5" s="894"/>
      <c r="O5" s="894"/>
      <c r="S5" s="404"/>
      <c r="T5" s="111"/>
    </row>
    <row r="6" spans="1:20" ht="17.100000000000001" customHeight="1">
      <c r="A6" s="118"/>
      <c r="B6" s="403"/>
      <c r="E6"/>
      <c r="F6" s="346" t="s">
        <v>683</v>
      </c>
      <c r="G6" s="1151" t="str">
        <f>IF(OR(ISBLANK('Start Page'!AB22:AL22),'M36 Refs'!AN118&gt;0),"Additional data entry required",Dashboard!BR4)</f>
        <v>Tier III (51-70)</v>
      </c>
      <c r="H6" s="1152"/>
      <c r="I6" s="1153"/>
      <c r="J6" s="894"/>
      <c r="K6" s="894"/>
      <c r="L6" s="894"/>
      <c r="M6" s="894"/>
      <c r="N6" s="894"/>
      <c r="O6" s="894"/>
      <c r="S6" s="404"/>
      <c r="T6" s="111"/>
    </row>
    <row r="7" spans="1:20" ht="6" customHeight="1" thickBot="1">
      <c r="A7" s="118"/>
      <c r="B7" s="403"/>
      <c r="S7" s="404"/>
      <c r="T7" s="111"/>
    </row>
    <row r="8" spans="1:20" ht="26.1" customHeight="1" thickBot="1">
      <c r="A8" s="118"/>
      <c r="B8" s="403"/>
      <c r="C8" s="1138" t="s">
        <v>64</v>
      </c>
      <c r="D8" s="1139"/>
      <c r="E8" s="1139"/>
      <c r="F8" s="1139"/>
      <c r="G8" s="1139"/>
      <c r="H8" s="1139"/>
      <c r="I8" s="1139"/>
      <c r="J8" s="1139"/>
      <c r="K8" s="1139"/>
      <c r="L8" s="1139"/>
      <c r="M8" s="1139"/>
      <c r="N8" s="1139"/>
      <c r="O8" s="1139"/>
      <c r="P8" s="1139"/>
      <c r="Q8" s="1139"/>
      <c r="R8" s="1140"/>
      <c r="S8" s="404"/>
      <c r="T8" s="111"/>
    </row>
    <row r="9" spans="1:20" ht="18.75" customHeight="1" thickTop="1">
      <c r="A9" s="118"/>
      <c r="B9" s="403"/>
      <c r="C9" s="406"/>
      <c r="D9" s="1147" t="s">
        <v>717</v>
      </c>
      <c r="E9" s="1148"/>
      <c r="F9" s="1148"/>
      <c r="G9" s="1148"/>
      <c r="H9" s="1148"/>
      <c r="I9" s="1148"/>
      <c r="J9" s="1148"/>
      <c r="K9" s="1148"/>
      <c r="L9" s="1148"/>
      <c r="M9" s="1148"/>
      <c r="N9" s="1148"/>
      <c r="O9" s="1148"/>
      <c r="P9" s="1148"/>
      <c r="Q9" s="1148"/>
      <c r="R9" s="1149"/>
      <c r="S9" s="404"/>
      <c r="T9" s="111"/>
    </row>
    <row r="10" spans="1:20" ht="34.5" customHeight="1" thickBot="1">
      <c r="A10" s="118"/>
      <c r="B10" s="403"/>
      <c r="C10" s="407" t="s">
        <v>65</v>
      </c>
      <c r="D10" s="1150" t="s">
        <v>784</v>
      </c>
      <c r="E10" s="1145"/>
      <c r="F10" s="1146"/>
      <c r="G10" s="1144" t="s">
        <v>263</v>
      </c>
      <c r="H10" s="1145"/>
      <c r="I10" s="1146"/>
      <c r="J10" s="1144" t="s">
        <v>264</v>
      </c>
      <c r="K10" s="1145"/>
      <c r="L10" s="1146"/>
      <c r="M10" s="1144" t="s">
        <v>265</v>
      </c>
      <c r="N10" s="1145"/>
      <c r="O10" s="1146"/>
      <c r="P10" s="1144" t="s">
        <v>266</v>
      </c>
      <c r="Q10" s="1145"/>
      <c r="R10" s="1179"/>
      <c r="S10" s="404"/>
      <c r="T10" s="111"/>
    </row>
    <row r="11" spans="1:20" ht="62.1" customHeight="1" thickTop="1">
      <c r="A11" s="118"/>
      <c r="B11" s="403"/>
      <c r="C11" s="408" t="s">
        <v>70</v>
      </c>
      <c r="D11" s="1181" t="s">
        <v>1117</v>
      </c>
      <c r="E11" s="1142"/>
      <c r="F11" s="1180"/>
      <c r="G11" s="1141" t="s">
        <v>1116</v>
      </c>
      <c r="H11" s="1142"/>
      <c r="I11" s="1180"/>
      <c r="J11" s="1141" t="s">
        <v>71</v>
      </c>
      <c r="K11" s="1142"/>
      <c r="L11" s="1143"/>
      <c r="M11" s="1141" t="s">
        <v>18</v>
      </c>
      <c r="N11" s="1142"/>
      <c r="O11" s="1143"/>
      <c r="P11" s="1141" t="s">
        <v>19</v>
      </c>
      <c r="Q11" s="1142"/>
      <c r="R11" s="1143"/>
      <c r="S11" s="404"/>
      <c r="T11" s="111"/>
    </row>
    <row r="12" spans="1:20" ht="78" customHeight="1">
      <c r="A12" s="118"/>
      <c r="B12" s="403"/>
      <c r="C12" s="409" t="s">
        <v>20</v>
      </c>
      <c r="D12" s="1178" t="s">
        <v>1118</v>
      </c>
      <c r="E12" s="1158"/>
      <c r="F12" s="1163"/>
      <c r="G12" s="1157" t="s">
        <v>1115</v>
      </c>
      <c r="H12" s="1158"/>
      <c r="I12" s="1163"/>
      <c r="J12" s="1157" t="s">
        <v>21</v>
      </c>
      <c r="K12" s="1158"/>
      <c r="L12" s="1159"/>
      <c r="M12" s="1157" t="s">
        <v>22</v>
      </c>
      <c r="N12" s="1158"/>
      <c r="O12" s="1159"/>
      <c r="P12" s="1157" t="s">
        <v>127</v>
      </c>
      <c r="Q12" s="1158"/>
      <c r="R12" s="1159"/>
      <c r="S12" s="404"/>
      <c r="T12" s="111"/>
    </row>
    <row r="13" spans="1:20" ht="105.75" customHeight="1">
      <c r="A13" s="118"/>
      <c r="B13" s="403"/>
      <c r="C13" s="409" t="s">
        <v>128</v>
      </c>
      <c r="D13" s="1160"/>
      <c r="E13" s="1161"/>
      <c r="F13" s="1162"/>
      <c r="G13" s="1157" t="s">
        <v>1113</v>
      </c>
      <c r="H13" s="1158"/>
      <c r="I13" s="1163"/>
      <c r="J13" s="1157" t="s">
        <v>1114</v>
      </c>
      <c r="K13" s="1158"/>
      <c r="L13" s="1159"/>
      <c r="M13" s="1157" t="s">
        <v>69</v>
      </c>
      <c r="N13" s="1158"/>
      <c r="O13" s="1159"/>
      <c r="P13" s="1157" t="s">
        <v>34</v>
      </c>
      <c r="Q13" s="1158"/>
      <c r="R13" s="1159"/>
      <c r="S13" s="404"/>
      <c r="T13" s="111"/>
    </row>
    <row r="14" spans="1:20" ht="68.25" customHeight="1">
      <c r="A14" s="118"/>
      <c r="B14" s="403"/>
      <c r="C14" s="409" t="s">
        <v>35</v>
      </c>
      <c r="D14" s="1160"/>
      <c r="E14" s="1161"/>
      <c r="F14" s="1162"/>
      <c r="G14" s="1164"/>
      <c r="H14" s="1161"/>
      <c r="I14" s="1162"/>
      <c r="J14" s="1157" t="s">
        <v>36</v>
      </c>
      <c r="K14" s="1158"/>
      <c r="L14" s="1159"/>
      <c r="M14" s="1157" t="s">
        <v>37</v>
      </c>
      <c r="N14" s="1158"/>
      <c r="O14" s="1159"/>
      <c r="P14" s="1157" t="s">
        <v>38</v>
      </c>
      <c r="Q14" s="1158"/>
      <c r="R14" s="1159"/>
      <c r="S14" s="404"/>
      <c r="T14" s="111"/>
    </row>
    <row r="15" spans="1:20" ht="84" customHeight="1" thickBot="1">
      <c r="A15" s="118"/>
      <c r="B15" s="403"/>
      <c r="C15" s="410" t="s">
        <v>39</v>
      </c>
      <c r="D15" s="1171"/>
      <c r="E15" s="1172"/>
      <c r="F15" s="1173"/>
      <c r="G15" s="1174"/>
      <c r="H15" s="1172"/>
      <c r="I15" s="1173"/>
      <c r="J15" s="1175" t="s">
        <v>1099</v>
      </c>
      <c r="K15" s="1176"/>
      <c r="L15" s="1177"/>
      <c r="M15" s="1175" t="s">
        <v>1100</v>
      </c>
      <c r="N15" s="1176"/>
      <c r="O15" s="1177"/>
      <c r="P15" s="1175" t="s">
        <v>1101</v>
      </c>
      <c r="Q15" s="1176"/>
      <c r="R15" s="1177"/>
      <c r="S15" s="404"/>
      <c r="T15" s="111"/>
    </row>
    <row r="16" spans="1:20" ht="21" customHeight="1" thickTop="1" thickBot="1">
      <c r="A16" s="118"/>
      <c r="B16" s="403"/>
      <c r="C16" s="1168" t="s">
        <v>126</v>
      </c>
      <c r="D16" s="1169"/>
      <c r="E16" s="1169"/>
      <c r="F16" s="1169"/>
      <c r="G16" s="1169"/>
      <c r="H16" s="1169"/>
      <c r="I16" s="1169"/>
      <c r="J16" s="1169"/>
      <c r="K16" s="1169"/>
      <c r="L16" s="1169"/>
      <c r="M16" s="1169"/>
      <c r="N16" s="1169"/>
      <c r="O16" s="1169"/>
      <c r="P16" s="1169"/>
      <c r="Q16" s="1169"/>
      <c r="R16" s="117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34.999574240212894</v>
      </c>
      <c r="AF98" s="40">
        <f t="shared" ref="AF98:AF103" si="0">AE98</f>
        <v>34.999574240212894</v>
      </c>
      <c r="AG98" s="40">
        <f>IF(AE98&lt;&gt;0,AF98/10,0)</f>
        <v>3.4999574240212894</v>
      </c>
      <c r="AH98" s="40">
        <f>IFERROR(AD98*AG98,0)</f>
        <v>24.499701968149026</v>
      </c>
      <c r="AI98" s="40">
        <f t="shared" ref="AI98:AI117" si="1">IF(AG98=0,0,AF98-AH98)</f>
        <v>10.499872272063868</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14</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3</v>
      </c>
      <c r="AE100" s="64">
        <f>Worksheet!Y16</f>
        <v>4.2575978710457721E-4</v>
      </c>
      <c r="AF100" s="40">
        <f t="shared" si="0"/>
        <v>4.2575978710457721E-4</v>
      </c>
      <c r="AG100" s="40">
        <f t="shared" si="3"/>
        <v>4.2575978710457721E-5</v>
      </c>
      <c r="AH100" s="40">
        <f t="shared" si="4"/>
        <v>1.2772793613137316E-4</v>
      </c>
      <c r="AI100" s="40">
        <f t="shared" si="1"/>
        <v>2.9803185097320405E-4</v>
      </c>
      <c r="AJ100">
        <f t="array" aca="1" ref="AJ100" ca="1">SUM(1*(AI100&lt;$AI$98:$AI$117))+1+IF(ROW(AI100)-ROW($AI$98)=0,0,SUM(1*(AI100=OFFSET($AI$98,0,0,INDEX(ROW(AI100)-ROW($AI$98)+1,1)-1,1))))</f>
        <v>13</v>
      </c>
      <c r="AK100" s="46" t="str">
        <f t="shared" si="5"/>
        <v>Water Imported (WI)</v>
      </c>
      <c r="AL100">
        <f t="shared" si="6"/>
        <v>1</v>
      </c>
      <c r="AM100">
        <f t="shared" si="7"/>
        <v>1</v>
      </c>
      <c r="AN100">
        <f t="shared" si="2"/>
        <v>0</v>
      </c>
    </row>
    <row r="101" spans="28:40">
      <c r="AC101" s="220" t="s">
        <v>704</v>
      </c>
      <c r="AD101" s="41">
        <f>IF(Worksheet!M16="n/a",0,Worksheet!M16)</f>
        <v>4</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1</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61.292282526273844</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184" t="s">
        <v>165</v>
      </c>
      <c r="C2" s="1185"/>
      <c r="D2" s="1185"/>
      <c r="E2" s="1185"/>
      <c r="F2" s="1185"/>
      <c r="G2" s="1185"/>
      <c r="H2" s="1185"/>
      <c r="I2" s="1185"/>
      <c r="J2" s="1185"/>
      <c r="K2" s="1185"/>
      <c r="L2" s="1185"/>
      <c r="M2" s="1186"/>
      <c r="N2" s="115"/>
    </row>
    <row r="3" spans="1:14" ht="4.3499999999999996" customHeight="1" thickBot="1">
      <c r="A3" s="113"/>
      <c r="B3" s="1184"/>
      <c r="C3" s="1185"/>
      <c r="D3" s="1185"/>
      <c r="E3" s="1185"/>
      <c r="F3" s="1185"/>
      <c r="G3" s="1185"/>
      <c r="H3" s="1185"/>
      <c r="I3" s="1185"/>
      <c r="J3" s="1185"/>
      <c r="K3" s="1185"/>
      <c r="L3" s="1185"/>
      <c r="M3" s="1186"/>
      <c r="N3" s="115"/>
    </row>
    <row r="4" spans="1:14" ht="15" customHeight="1" thickBot="1">
      <c r="A4" s="113"/>
      <c r="B4" s="417"/>
      <c r="C4" s="418" t="s">
        <v>122</v>
      </c>
      <c r="D4" s="1187" t="s">
        <v>123</v>
      </c>
      <c r="E4" s="1188"/>
      <c r="F4" s="1188"/>
      <c r="G4" s="1188"/>
      <c r="H4" s="1188"/>
      <c r="I4" s="1188"/>
      <c r="J4" s="1188"/>
      <c r="K4" s="1188"/>
      <c r="L4" s="1189"/>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90" t="s">
        <v>959</v>
      </c>
      <c r="E6" s="1191"/>
      <c r="F6" s="1191"/>
      <c r="G6" s="1191"/>
      <c r="H6" s="1191"/>
      <c r="I6" s="1191"/>
      <c r="J6" s="1191"/>
      <c r="K6" s="1191"/>
      <c r="L6" s="1192"/>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90" t="s">
        <v>1218</v>
      </c>
      <c r="E8" s="1191"/>
      <c r="F8" s="1191"/>
      <c r="G8" s="1191"/>
      <c r="H8" s="1191"/>
      <c r="I8" s="1191"/>
      <c r="J8" s="1191"/>
      <c r="K8" s="1191"/>
      <c r="L8" s="119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93" t="s">
        <v>1219</v>
      </c>
      <c r="E10" s="1194"/>
      <c r="F10" s="1194"/>
      <c r="G10" s="1194"/>
      <c r="H10" s="1194"/>
      <c r="I10" s="1194"/>
      <c r="J10" s="1194"/>
      <c r="K10" s="1194"/>
      <c r="L10" s="119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93" t="s">
        <v>1220</v>
      </c>
      <c r="E12" s="1196"/>
      <c r="F12" s="1196"/>
      <c r="G12" s="1196"/>
      <c r="H12" s="1196"/>
      <c r="I12" s="1196"/>
      <c r="J12" s="1196"/>
      <c r="K12" s="1196"/>
      <c r="L12" s="119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198" t="s">
        <v>121</v>
      </c>
      <c r="E14" s="1196"/>
      <c r="F14" s="1196"/>
      <c r="G14" s="1196"/>
      <c r="H14" s="1196"/>
      <c r="I14" s="1196"/>
      <c r="J14" s="1196"/>
      <c r="K14" s="1196"/>
      <c r="L14" s="119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198" t="s">
        <v>154</v>
      </c>
      <c r="E16" s="1196"/>
      <c r="F16" s="1196"/>
      <c r="G16" s="1196"/>
      <c r="H16" s="1196"/>
      <c r="I16" s="1196"/>
      <c r="J16" s="1196"/>
      <c r="K16" s="1196"/>
      <c r="L16" s="119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198" t="s">
        <v>155</v>
      </c>
      <c r="E18" s="1196"/>
      <c r="F18" s="1196"/>
      <c r="G18" s="1196"/>
      <c r="H18" s="1196"/>
      <c r="I18" s="1196"/>
      <c r="J18" s="1196"/>
      <c r="K18" s="1196"/>
      <c r="L18" s="119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93" t="s">
        <v>763</v>
      </c>
      <c r="E20" s="1196"/>
      <c r="F20" s="1196"/>
      <c r="G20" s="1196"/>
      <c r="H20" s="1196"/>
      <c r="I20" s="1196"/>
      <c r="J20" s="1196"/>
      <c r="K20" s="1196"/>
      <c r="L20" s="119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93" t="s">
        <v>984</v>
      </c>
      <c r="E22" s="1196"/>
      <c r="F22" s="1196"/>
      <c r="G22" s="1196"/>
      <c r="H22" s="1196"/>
      <c r="I22" s="1196"/>
      <c r="J22" s="1196"/>
      <c r="K22" s="1196"/>
      <c r="L22" s="119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93" t="s">
        <v>1217</v>
      </c>
      <c r="E24" s="1196"/>
      <c r="F24" s="1196"/>
      <c r="G24" s="1196"/>
      <c r="H24" s="1196"/>
      <c r="I24" s="1196"/>
      <c r="J24" s="1196"/>
      <c r="K24" s="1196"/>
      <c r="L24" s="119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198" t="s">
        <v>156</v>
      </c>
      <c r="E26" s="1196"/>
      <c r="F26" s="1196"/>
      <c r="G26" s="1196"/>
      <c r="H26" s="1196"/>
      <c r="I26" s="1196"/>
      <c r="J26" s="1196"/>
      <c r="K26" s="1196"/>
      <c r="L26" s="119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199" t="s">
        <v>157</v>
      </c>
      <c r="E28" s="1191"/>
      <c r="F28" s="1191"/>
      <c r="G28" s="1191"/>
      <c r="H28" s="1191"/>
      <c r="I28" s="1191"/>
      <c r="J28" s="1191"/>
      <c r="K28" s="1191"/>
      <c r="L28" s="119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93" t="s">
        <v>1204</v>
      </c>
      <c r="E30" s="1196"/>
      <c r="F30" s="1196"/>
      <c r="G30" s="1196"/>
      <c r="H30" s="1196"/>
      <c r="I30" s="1196"/>
      <c r="J30" s="1196"/>
      <c r="K30" s="1196"/>
      <c r="L30" s="119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198" t="s">
        <v>158</v>
      </c>
      <c r="E32" s="1196"/>
      <c r="F32" s="1196"/>
      <c r="G32" s="1196"/>
      <c r="H32" s="1196"/>
      <c r="I32" s="1196"/>
      <c r="J32" s="1196"/>
      <c r="K32" s="1196"/>
      <c r="L32" s="119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198" t="s">
        <v>159</v>
      </c>
      <c r="E34" s="1196"/>
      <c r="F34" s="1196"/>
      <c r="G34" s="1196"/>
      <c r="H34" s="1196"/>
      <c r="I34" s="1196"/>
      <c r="J34" s="1196"/>
      <c r="K34" s="1196"/>
      <c r="L34" s="119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199" t="s">
        <v>160</v>
      </c>
      <c r="E36" s="1196"/>
      <c r="F36" s="1196"/>
      <c r="G36" s="1196"/>
      <c r="H36" s="1196"/>
      <c r="I36" s="1196"/>
      <c r="J36" s="1196"/>
      <c r="K36" s="1196"/>
      <c r="L36" s="119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93" t="s">
        <v>1205</v>
      </c>
      <c r="E38" s="1196"/>
      <c r="F38" s="1196"/>
      <c r="G38" s="1196"/>
      <c r="H38" s="1196"/>
      <c r="I38" s="1196"/>
      <c r="J38" s="1196"/>
      <c r="K38" s="1196"/>
      <c r="L38" s="119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93" t="s">
        <v>907</v>
      </c>
      <c r="E40" s="1196"/>
      <c r="F40" s="1196"/>
      <c r="G40" s="1196"/>
      <c r="H40" s="1196"/>
      <c r="I40" s="1196"/>
      <c r="J40" s="1196"/>
      <c r="K40" s="1196"/>
      <c r="L40" s="119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93" t="s">
        <v>674</v>
      </c>
      <c r="E42" s="1196"/>
      <c r="F42" s="1196"/>
      <c r="G42" s="1196"/>
      <c r="H42" s="1196"/>
      <c r="I42" s="1196"/>
      <c r="J42" s="1196"/>
      <c r="K42" s="1196"/>
      <c r="L42" s="119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200" t="s">
        <v>32</v>
      </c>
      <c r="D44" s="1202" t="s">
        <v>1221</v>
      </c>
      <c r="E44" s="1203"/>
      <c r="F44" s="1203"/>
      <c r="G44" s="1203"/>
      <c r="H44" s="1203"/>
      <c r="I44" s="1203"/>
      <c r="J44" s="1203"/>
      <c r="K44" s="1203"/>
      <c r="L44" s="1204"/>
      <c r="M44" s="419"/>
      <c r="N44" s="115"/>
    </row>
    <row r="45" spans="1:14" ht="13.5" thickBot="1">
      <c r="A45" s="113"/>
      <c r="B45" s="417"/>
      <c r="C45" s="1201"/>
      <c r="D45" s="1205"/>
      <c r="E45" s="1206"/>
      <c r="F45" s="1206"/>
      <c r="G45" s="1206"/>
      <c r="H45" s="1206"/>
      <c r="I45" s="1206"/>
      <c r="J45" s="1206"/>
      <c r="K45" s="1206"/>
      <c r="L45" s="120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93" t="s">
        <v>1222</v>
      </c>
      <c r="E47" s="1196"/>
      <c r="F47" s="1196"/>
      <c r="G47" s="1196"/>
      <c r="H47" s="1196"/>
      <c r="I47" s="1196"/>
      <c r="J47" s="1196"/>
      <c r="K47" s="1196"/>
      <c r="L47" s="119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198" t="s">
        <v>162</v>
      </c>
      <c r="E49" s="1196"/>
      <c r="F49" s="1196"/>
      <c r="G49" s="1196"/>
      <c r="H49" s="1196"/>
      <c r="I49" s="1196"/>
      <c r="J49" s="1196"/>
      <c r="K49" s="1196"/>
      <c r="L49" s="119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93" t="s">
        <v>1223</v>
      </c>
      <c r="E51" s="1196"/>
      <c r="F51" s="1196"/>
      <c r="G51" s="1196"/>
      <c r="H51" s="1196"/>
      <c r="I51" s="1196"/>
      <c r="J51" s="1196"/>
      <c r="K51" s="1196"/>
      <c r="L51" s="119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00" t="s">
        <v>26</v>
      </c>
      <c r="D53" s="1202" t="s">
        <v>986</v>
      </c>
      <c r="E53" s="1203"/>
      <c r="F53" s="1203"/>
      <c r="G53" s="1203"/>
      <c r="H53" s="1203"/>
      <c r="I53" s="1203"/>
      <c r="J53" s="1203"/>
      <c r="K53" s="1203"/>
      <c r="L53" s="1204"/>
      <c r="M53" s="419"/>
      <c r="N53" s="115"/>
    </row>
    <row r="54" spans="1:14" ht="18" customHeight="1">
      <c r="A54" s="113"/>
      <c r="B54" s="417"/>
      <c r="C54" s="1209"/>
      <c r="D54" s="431"/>
      <c r="E54" s="1208" t="s">
        <v>108</v>
      </c>
      <c r="F54" s="1208"/>
      <c r="G54" s="432" t="s">
        <v>106</v>
      </c>
      <c r="H54" s="432"/>
      <c r="I54" s="1211" t="s">
        <v>107</v>
      </c>
      <c r="J54" s="1211"/>
      <c r="K54" s="430"/>
      <c r="L54" s="433"/>
      <c r="M54" s="419"/>
      <c r="N54" s="115"/>
    </row>
    <row r="55" spans="1:14" ht="18.75" customHeight="1">
      <c r="A55" s="113"/>
      <c r="B55" s="417"/>
      <c r="C55" s="1209"/>
      <c r="D55" s="431"/>
      <c r="E55" s="1212">
        <v>100</v>
      </c>
      <c r="F55" s="1213"/>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9"/>
      <c r="D56" s="431"/>
      <c r="E56" s="421"/>
      <c r="F56" s="421"/>
      <c r="G56" s="1210" t="str">
        <f>"(conversion factor = "&amp;ROUND(INDEX(Sheet1!N2:P4,MATCH(G55,Sheet1!M2:M4,0),MATCH(J55,Sheet1!N1:P1,0)),4)&amp;")"</f>
        <v>(conversion factor = 3.0689)</v>
      </c>
      <c r="H56" s="1210"/>
      <c r="I56" s="1210"/>
      <c r="J56" s="1210"/>
      <c r="K56" s="430"/>
      <c r="L56" s="433"/>
      <c r="M56" s="419"/>
      <c r="N56" s="115"/>
    </row>
    <row r="57" spans="1:14" ht="3.75" customHeight="1" thickBot="1">
      <c r="A57" s="113"/>
      <c r="B57" s="417"/>
      <c r="C57" s="120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93" t="s">
        <v>1112</v>
      </c>
      <c r="E59" s="1196"/>
      <c r="F59" s="1196"/>
      <c r="G59" s="1196"/>
      <c r="H59" s="1196"/>
      <c r="I59" s="1196"/>
      <c r="J59" s="1196"/>
      <c r="K59" s="1196"/>
      <c r="L59" s="119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93" t="s">
        <v>770</v>
      </c>
      <c r="E61" s="1196"/>
      <c r="F61" s="1196"/>
      <c r="G61" s="1196"/>
      <c r="H61" s="1196"/>
      <c r="I61" s="1196"/>
      <c r="J61" s="1196"/>
      <c r="K61" s="1196"/>
      <c r="L61" s="119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93" t="s">
        <v>1232</v>
      </c>
      <c r="E63" s="1196"/>
      <c r="F63" s="1196"/>
      <c r="G63" s="1196"/>
      <c r="H63" s="1196"/>
      <c r="I63" s="1196"/>
      <c r="J63" s="1196"/>
      <c r="K63" s="1196"/>
      <c r="L63" s="119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93" t="s">
        <v>767</v>
      </c>
      <c r="E65" s="1196"/>
      <c r="F65" s="1196"/>
      <c r="G65" s="1196"/>
      <c r="H65" s="1196"/>
      <c r="I65" s="1196"/>
      <c r="J65" s="1196"/>
      <c r="K65" s="1196"/>
      <c r="L65" s="119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93" t="s">
        <v>1231</v>
      </c>
      <c r="E67" s="1196"/>
      <c r="F67" s="1196"/>
      <c r="G67" s="1196"/>
      <c r="H67" s="1196"/>
      <c r="I67" s="1196"/>
      <c r="J67" s="1196"/>
      <c r="K67" s="1196"/>
      <c r="L67" s="1197"/>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93" t="s">
        <v>766</v>
      </c>
      <c r="E69" s="1196"/>
      <c r="F69" s="1196"/>
      <c r="G69" s="1196"/>
      <c r="H69" s="1196"/>
      <c r="I69" s="1196"/>
      <c r="J69" s="1196"/>
      <c r="K69" s="1196"/>
      <c r="L69" s="1197"/>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93" t="s">
        <v>1230</v>
      </c>
      <c r="E71" s="1196"/>
      <c r="F71" s="1196"/>
      <c r="G71" s="1196"/>
      <c r="H71" s="1196"/>
      <c r="I71" s="1196"/>
      <c r="J71" s="1196"/>
      <c r="K71" s="1196"/>
      <c r="L71" s="1197"/>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182" t="s">
        <v>1229</v>
      </c>
      <c r="D73" s="1214" t="s">
        <v>1252</v>
      </c>
      <c r="E73" s="1215"/>
      <c r="F73" s="1215"/>
      <c r="G73" s="1215"/>
      <c r="H73" s="1215"/>
      <c r="I73" s="1215"/>
      <c r="J73" s="1215"/>
      <c r="K73" s="1215"/>
      <c r="L73" s="1216"/>
      <c r="M73" s="419"/>
      <c r="N73" s="115"/>
    </row>
    <row r="74" spans="1:14" ht="302.45" customHeight="1" thickBot="1">
      <c r="A74" s="113"/>
      <c r="B74" s="417"/>
      <c r="C74" s="1183"/>
      <c r="D74" s="1217"/>
      <c r="E74" s="1218"/>
      <c r="F74" s="1218"/>
      <c r="G74" s="1218"/>
      <c r="H74" s="1218"/>
      <c r="I74" s="1218"/>
      <c r="J74" s="1218"/>
      <c r="K74" s="1218"/>
      <c r="L74" s="121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90" t="s">
        <v>985</v>
      </c>
      <c r="E76" s="1191"/>
      <c r="F76" s="1191"/>
      <c r="G76" s="1191"/>
      <c r="H76" s="1191"/>
      <c r="I76" s="1191"/>
      <c r="J76" s="1191"/>
      <c r="K76" s="1191"/>
      <c r="L76" s="1192"/>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65" t="s">
        <v>787</v>
      </c>
      <c r="C2" s="1166"/>
      <c r="D2" s="1166"/>
      <c r="E2" s="1166"/>
      <c r="F2" s="1166"/>
      <c r="G2" s="1166"/>
      <c r="H2" s="1166"/>
      <c r="I2" s="1166"/>
      <c r="J2" s="1166"/>
      <c r="K2" s="1166"/>
      <c r="L2" s="1166"/>
      <c r="M2" s="1166"/>
      <c r="N2" s="1166"/>
      <c r="O2" s="1166"/>
      <c r="P2" s="1166"/>
      <c r="Q2" s="1166"/>
      <c r="R2" s="1166"/>
      <c r="S2" s="1167"/>
      <c r="T2" s="111"/>
    </row>
    <row r="3" spans="1:22" ht="8.25" customHeight="1" thickBot="1">
      <c r="A3" s="118"/>
      <c r="B3" s="403"/>
      <c r="C3" s="452"/>
      <c r="D3" s="452"/>
      <c r="E3" s="452"/>
      <c r="F3" s="452"/>
      <c r="S3" s="404"/>
      <c r="T3" s="111"/>
    </row>
    <row r="4" spans="1:22" s="46" customFormat="1" ht="79.5" customHeight="1" thickBot="1">
      <c r="A4" s="91"/>
      <c r="B4" s="438"/>
      <c r="C4" s="1242" t="s">
        <v>1195</v>
      </c>
      <c r="D4" s="1243"/>
      <c r="E4" s="1243"/>
      <c r="F4" s="1243"/>
      <c r="G4" s="1243"/>
      <c r="H4" s="1243"/>
      <c r="I4" s="1243"/>
      <c r="J4" s="1243"/>
      <c r="K4" s="1243"/>
      <c r="L4" s="1243"/>
      <c r="M4" s="1243"/>
      <c r="N4" s="1243"/>
      <c r="O4" s="1243"/>
      <c r="P4" s="1243"/>
      <c r="Q4" s="1243"/>
      <c r="R4" s="1244"/>
      <c r="S4" s="419"/>
      <c r="T4" s="91"/>
      <c r="U4" s="4"/>
      <c r="V4" s="4"/>
    </row>
    <row r="5" spans="1:22" s="46" customFormat="1" ht="7.5" customHeight="1" thickBot="1">
      <c r="A5" s="91"/>
      <c r="B5" s="438"/>
      <c r="C5" s="453"/>
      <c r="S5" s="419"/>
      <c r="T5" s="91"/>
      <c r="U5" s="4"/>
      <c r="V5" s="4"/>
    </row>
    <row r="6" spans="1:22" s="46" customFormat="1" ht="62.1" customHeight="1" thickBot="1">
      <c r="A6" s="91"/>
      <c r="B6" s="438"/>
      <c r="C6" s="1245" t="s">
        <v>237</v>
      </c>
      <c r="D6" s="1246"/>
      <c r="E6" s="1246"/>
      <c r="F6" s="1246"/>
      <c r="G6" s="1246"/>
      <c r="H6" s="1246"/>
      <c r="I6" s="1246"/>
      <c r="J6" s="1246"/>
      <c r="K6" s="1246"/>
      <c r="L6" s="1246"/>
      <c r="M6" s="1246"/>
      <c r="N6" s="1246"/>
      <c r="O6" s="1246"/>
      <c r="P6" s="1246"/>
      <c r="Q6" s="1246"/>
      <c r="R6" s="1247"/>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51" t="s">
        <v>1174</v>
      </c>
      <c r="E15" s="1251"/>
      <c r="F15" s="1251"/>
      <c r="G15" s="1251"/>
      <c r="H15" s="1251"/>
      <c r="I15" s="1251"/>
      <c r="J15" s="1251"/>
      <c r="K15" s="1251"/>
      <c r="L15" s="1251"/>
      <c r="M15" s="1251"/>
      <c r="N15" s="1251"/>
      <c r="O15" s="1251"/>
      <c r="P15" s="1251"/>
      <c r="Q15" s="1251"/>
      <c r="R15" s="146"/>
      <c r="S15" s="419"/>
      <c r="T15" s="91"/>
      <c r="U15" s="4"/>
      <c r="V15" s="4"/>
    </row>
    <row r="16" spans="1:22" s="46" customFormat="1" ht="12.75" hidden="1" customHeight="1">
      <c r="A16" s="91"/>
      <c r="B16" s="438"/>
      <c r="C16" s="455"/>
      <c r="D16" s="1251"/>
      <c r="E16" s="1251"/>
      <c r="F16" s="1251"/>
      <c r="G16" s="1251"/>
      <c r="H16" s="1251"/>
      <c r="I16" s="1251"/>
      <c r="J16" s="1251"/>
      <c r="K16" s="1251"/>
      <c r="L16" s="1251"/>
      <c r="M16" s="1251"/>
      <c r="N16" s="1251"/>
      <c r="O16" s="1251"/>
      <c r="P16" s="1251"/>
      <c r="Q16" s="1251"/>
      <c r="R16" s="146"/>
      <c r="S16" s="419"/>
      <c r="T16" s="91"/>
      <c r="U16" s="4"/>
      <c r="V16" s="4"/>
    </row>
    <row r="17" spans="1:22" s="46" customFormat="1" ht="23.45" customHeight="1" thickBot="1">
      <c r="A17" s="91"/>
      <c r="B17" s="438"/>
      <c r="C17" s="456"/>
      <c r="D17" s="1252"/>
      <c r="E17" s="1252"/>
      <c r="F17" s="1252"/>
      <c r="G17" s="1252"/>
      <c r="H17" s="1252"/>
      <c r="I17" s="1252"/>
      <c r="J17" s="1252"/>
      <c r="K17" s="1252"/>
      <c r="L17" s="1252"/>
      <c r="M17" s="1252"/>
      <c r="N17" s="1252"/>
      <c r="O17" s="1252"/>
      <c r="P17" s="1252"/>
      <c r="Q17" s="125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0"/>
      <c r="E19" s="1240"/>
      <c r="F19" s="1240"/>
      <c r="G19" s="1240"/>
      <c r="H19" s="1240"/>
      <c r="I19" s="1240"/>
      <c r="J19" s="1240"/>
      <c r="K19" s="1240"/>
      <c r="L19" s="1240"/>
      <c r="M19" s="1240"/>
      <c r="N19" s="1240"/>
      <c r="O19" s="1240"/>
      <c r="P19" s="1240"/>
      <c r="Q19" s="1240"/>
      <c r="R19" s="1241"/>
      <c r="S19" s="419"/>
      <c r="T19" s="91"/>
      <c r="U19" s="4"/>
      <c r="V19" s="4"/>
    </row>
    <row r="20" spans="1:22" s="107" customFormat="1" ht="36.6" customHeight="1">
      <c r="A20" s="931"/>
      <c r="B20" s="932"/>
      <c r="C20" s="1226" t="s">
        <v>1265</v>
      </c>
      <c r="D20" s="1227"/>
      <c r="E20" s="1227"/>
      <c r="F20" s="1227"/>
      <c r="G20" s="1227"/>
      <c r="H20" s="1227"/>
      <c r="I20" s="1227"/>
      <c r="J20" s="1227"/>
      <c r="K20" s="1227"/>
      <c r="L20" s="1227"/>
      <c r="M20" s="1227"/>
      <c r="N20" s="1227"/>
      <c r="O20" s="1227"/>
      <c r="P20" s="1227"/>
      <c r="Q20" s="1227"/>
      <c r="R20" s="1228"/>
      <c r="S20" s="427"/>
      <c r="T20" s="931"/>
      <c r="U20" s="933"/>
      <c r="V20" s="933"/>
    </row>
    <row r="21" spans="1:22" s="107" customFormat="1" ht="15" customHeight="1">
      <c r="A21" s="931"/>
      <c r="B21" s="932"/>
      <c r="C21" s="1226" t="s">
        <v>1176</v>
      </c>
      <c r="D21" s="1227"/>
      <c r="E21" s="1227"/>
      <c r="F21" s="1227"/>
      <c r="G21" s="1227"/>
      <c r="H21" s="1227"/>
      <c r="I21" s="1227"/>
      <c r="J21" s="1227"/>
      <c r="K21" s="1227"/>
      <c r="L21" s="1227"/>
      <c r="M21" s="1227"/>
      <c r="N21" s="1227"/>
      <c r="O21" s="1227"/>
      <c r="P21" s="1227"/>
      <c r="Q21" s="1227"/>
      <c r="R21" s="1228"/>
      <c r="S21" s="427"/>
      <c r="T21" s="931"/>
      <c r="U21" s="933"/>
      <c r="V21" s="933"/>
    </row>
    <row r="22" spans="1:22" s="107" customFormat="1" ht="15" customHeight="1">
      <c r="A22" s="931"/>
      <c r="B22" s="932"/>
      <c r="C22" s="1226" t="s">
        <v>1177</v>
      </c>
      <c r="D22" s="1227"/>
      <c r="E22" s="1227"/>
      <c r="F22" s="1227"/>
      <c r="G22" s="1227"/>
      <c r="H22" s="1227"/>
      <c r="I22" s="1227"/>
      <c r="J22" s="1227"/>
      <c r="K22" s="1227"/>
      <c r="L22" s="1227"/>
      <c r="M22" s="1227"/>
      <c r="N22" s="1227"/>
      <c r="O22" s="1227"/>
      <c r="P22" s="1227"/>
      <c r="Q22" s="1227"/>
      <c r="R22" s="1228"/>
      <c r="S22" s="427"/>
      <c r="T22" s="931"/>
      <c r="U22" s="933"/>
      <c r="V22" s="933"/>
    </row>
    <row r="23" spans="1:22" s="107" customFormat="1" ht="15" customHeight="1">
      <c r="A23" s="931"/>
      <c r="B23" s="932"/>
      <c r="C23" s="1226" t="s">
        <v>1263</v>
      </c>
      <c r="D23" s="1227"/>
      <c r="E23" s="1227"/>
      <c r="F23" s="1227"/>
      <c r="G23" s="1227"/>
      <c r="H23" s="1227"/>
      <c r="I23" s="1227"/>
      <c r="J23" s="1227"/>
      <c r="K23" s="1227"/>
      <c r="L23" s="1227"/>
      <c r="M23" s="1227"/>
      <c r="N23" s="1227"/>
      <c r="O23" s="1227"/>
      <c r="P23" s="1227"/>
      <c r="Q23" s="1227"/>
      <c r="R23" s="1228"/>
      <c r="S23" s="427"/>
      <c r="T23" s="931"/>
      <c r="U23" s="933"/>
      <c r="V23" s="933"/>
    </row>
    <row r="24" spans="1:22" s="107" customFormat="1" ht="15" customHeight="1">
      <c r="A24" s="931"/>
      <c r="B24" s="932"/>
      <c r="C24" s="1226" t="s">
        <v>1264</v>
      </c>
      <c r="D24" s="1227"/>
      <c r="E24" s="1227"/>
      <c r="F24" s="1227"/>
      <c r="G24" s="1227"/>
      <c r="H24" s="1227"/>
      <c r="I24" s="1227"/>
      <c r="J24" s="1227"/>
      <c r="K24" s="1227"/>
      <c r="L24" s="1227"/>
      <c r="M24" s="1227"/>
      <c r="N24" s="1227"/>
      <c r="O24" s="1227"/>
      <c r="P24" s="1227"/>
      <c r="Q24" s="1227"/>
      <c r="R24" s="1228"/>
      <c r="S24" s="427"/>
      <c r="T24" s="931"/>
      <c r="U24" s="933"/>
      <c r="V24" s="933"/>
    </row>
    <row r="25" spans="1:22" s="107" customFormat="1" ht="15" customHeight="1">
      <c r="A25" s="931"/>
      <c r="B25" s="932"/>
      <c r="C25" s="1226" t="s">
        <v>1178</v>
      </c>
      <c r="D25" s="1227"/>
      <c r="E25" s="1227"/>
      <c r="F25" s="1227"/>
      <c r="G25" s="1227"/>
      <c r="H25" s="1227"/>
      <c r="I25" s="1227"/>
      <c r="J25" s="1227"/>
      <c r="K25" s="1227"/>
      <c r="L25" s="1227"/>
      <c r="M25" s="1227"/>
      <c r="N25" s="1227"/>
      <c r="O25" s="1227"/>
      <c r="P25" s="1227"/>
      <c r="Q25" s="1227"/>
      <c r="R25" s="1228"/>
      <c r="S25" s="427"/>
      <c r="T25" s="931"/>
      <c r="U25" s="933"/>
      <c r="V25" s="933"/>
    </row>
    <row r="26" spans="1:22" s="107" customFormat="1" ht="15" customHeight="1">
      <c r="A26" s="931"/>
      <c r="B26" s="932"/>
      <c r="C26" s="1226" t="s">
        <v>1179</v>
      </c>
      <c r="D26" s="1227"/>
      <c r="E26" s="1227"/>
      <c r="F26" s="1227"/>
      <c r="G26" s="1227"/>
      <c r="H26" s="1227"/>
      <c r="I26" s="1227"/>
      <c r="J26" s="1227"/>
      <c r="K26" s="1227"/>
      <c r="L26" s="1227"/>
      <c r="M26" s="1227"/>
      <c r="N26" s="1227"/>
      <c r="O26" s="1227"/>
      <c r="P26" s="1227"/>
      <c r="Q26" s="1227"/>
      <c r="R26" s="1228"/>
      <c r="S26" s="427"/>
      <c r="T26" s="931"/>
      <c r="U26" s="933"/>
      <c r="V26" s="933"/>
    </row>
    <row r="27" spans="1:22" s="107" customFormat="1" ht="15" customHeight="1">
      <c r="A27" s="931"/>
      <c r="B27" s="932"/>
      <c r="C27" s="1226" t="s">
        <v>1242</v>
      </c>
      <c r="D27" s="1227"/>
      <c r="E27" s="1227"/>
      <c r="F27" s="1227"/>
      <c r="G27" s="1227"/>
      <c r="H27" s="1227"/>
      <c r="I27" s="1227"/>
      <c r="J27" s="1227"/>
      <c r="K27" s="1227"/>
      <c r="L27" s="1227"/>
      <c r="M27" s="1227"/>
      <c r="N27" s="1227"/>
      <c r="O27" s="1227"/>
      <c r="P27" s="1227"/>
      <c r="Q27" s="1227"/>
      <c r="R27" s="1228"/>
      <c r="S27" s="427"/>
      <c r="T27" s="931"/>
      <c r="U27" s="933"/>
      <c r="V27" s="933"/>
    </row>
    <row r="28" spans="1:22" s="107" customFormat="1" ht="15" customHeight="1">
      <c r="A28" s="931"/>
      <c r="B28" s="932"/>
      <c r="C28" s="1226" t="s">
        <v>1243</v>
      </c>
      <c r="D28" s="1227"/>
      <c r="E28" s="1227"/>
      <c r="F28" s="1227"/>
      <c r="G28" s="1227"/>
      <c r="H28" s="1227"/>
      <c r="I28" s="1227"/>
      <c r="J28" s="1227"/>
      <c r="K28" s="1227"/>
      <c r="L28" s="1227"/>
      <c r="M28" s="1227"/>
      <c r="N28" s="1227"/>
      <c r="O28" s="1227"/>
      <c r="P28" s="1227"/>
      <c r="Q28" s="1227"/>
      <c r="R28" s="1228"/>
      <c r="S28" s="427"/>
      <c r="T28" s="931"/>
      <c r="U28" s="933"/>
      <c r="V28" s="933"/>
    </row>
    <row r="29" spans="1:22" s="107" customFormat="1" ht="15" customHeight="1">
      <c r="A29" s="931"/>
      <c r="B29" s="932"/>
      <c r="C29" s="1226" t="s">
        <v>1180</v>
      </c>
      <c r="D29" s="1227"/>
      <c r="E29" s="1227"/>
      <c r="F29" s="1227"/>
      <c r="G29" s="1227"/>
      <c r="H29" s="1227"/>
      <c r="I29" s="1227"/>
      <c r="J29" s="1227"/>
      <c r="K29" s="1227"/>
      <c r="L29" s="1227"/>
      <c r="M29" s="1227"/>
      <c r="N29" s="1227"/>
      <c r="O29" s="1227"/>
      <c r="P29" s="1227"/>
      <c r="Q29" s="1227"/>
      <c r="R29" s="1228"/>
      <c r="S29" s="427"/>
      <c r="T29" s="931"/>
      <c r="U29" s="933"/>
      <c r="V29" s="933"/>
    </row>
    <row r="30" spans="1:22" s="107" customFormat="1" ht="27.6" customHeight="1" thickBot="1">
      <c r="A30" s="931"/>
      <c r="B30" s="932"/>
      <c r="C30" s="1248" t="s">
        <v>1266</v>
      </c>
      <c r="D30" s="1249"/>
      <c r="E30" s="1249"/>
      <c r="F30" s="1249"/>
      <c r="G30" s="1249"/>
      <c r="H30" s="1249"/>
      <c r="I30" s="1249"/>
      <c r="J30" s="1249"/>
      <c r="K30" s="1249"/>
      <c r="L30" s="1249"/>
      <c r="M30" s="1249"/>
      <c r="N30" s="1249"/>
      <c r="O30" s="1249"/>
      <c r="P30" s="1249"/>
      <c r="Q30" s="1249"/>
      <c r="R30" s="125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3" t="s">
        <v>256</v>
      </c>
      <c r="G33" s="1234"/>
      <c r="H33" s="1234"/>
      <c r="I33" s="1234"/>
      <c r="J33" s="1234"/>
      <c r="K33" s="1234"/>
      <c r="L33" s="1234"/>
      <c r="M33" s="1234"/>
      <c r="N33" s="1234"/>
      <c r="O33" s="1234"/>
      <c r="P33" s="1234"/>
      <c r="Q33" s="1234"/>
      <c r="R33" s="1235"/>
      <c r="S33" s="419"/>
      <c r="T33" s="91"/>
      <c r="U33" s="4"/>
      <c r="V33" s="4"/>
    </row>
    <row r="34" spans="1:22" s="46" customFormat="1" ht="35.1" customHeight="1">
      <c r="A34" s="91"/>
      <c r="B34" s="438"/>
      <c r="C34" s="462" t="s">
        <v>243</v>
      </c>
      <c r="D34" s="463" t="s">
        <v>254</v>
      </c>
      <c r="E34" s="464">
        <v>5</v>
      </c>
      <c r="F34" s="1236" t="s">
        <v>248</v>
      </c>
      <c r="G34" s="1237"/>
      <c r="H34" s="1237"/>
      <c r="I34" s="1237"/>
      <c r="J34" s="1237"/>
      <c r="K34" s="1237"/>
      <c r="L34" s="1237"/>
      <c r="M34" s="1237"/>
      <c r="N34" s="1237"/>
      <c r="O34" s="1237"/>
      <c r="P34" s="1237"/>
      <c r="Q34" s="1237"/>
      <c r="R34" s="1238"/>
      <c r="S34" s="419"/>
      <c r="T34" s="91"/>
      <c r="U34" s="4"/>
      <c r="V34" s="4"/>
    </row>
    <row r="35" spans="1:22" s="46" customFormat="1" ht="47.45" customHeight="1">
      <c r="A35" s="91"/>
      <c r="B35" s="438"/>
      <c r="C35" s="462" t="s">
        <v>244</v>
      </c>
      <c r="D35" s="464">
        <v>2006</v>
      </c>
      <c r="E35" s="464">
        <v>5</v>
      </c>
      <c r="F35" s="1236" t="s">
        <v>249</v>
      </c>
      <c r="G35" s="1237"/>
      <c r="H35" s="1237"/>
      <c r="I35" s="1237"/>
      <c r="J35" s="1237"/>
      <c r="K35" s="1237"/>
      <c r="L35" s="1237"/>
      <c r="M35" s="1237"/>
      <c r="N35" s="1237"/>
      <c r="O35" s="1237"/>
      <c r="P35" s="1237"/>
      <c r="Q35" s="1237"/>
      <c r="R35" s="1238"/>
      <c r="S35" s="419"/>
      <c r="T35" s="91"/>
      <c r="U35" s="4"/>
      <c r="V35" s="4"/>
    </row>
    <row r="36" spans="1:22" s="46" customFormat="1" ht="59.45" customHeight="1">
      <c r="A36" s="91"/>
      <c r="B36" s="438"/>
      <c r="C36" s="462" t="s">
        <v>245</v>
      </c>
      <c r="D36" s="464">
        <v>2007</v>
      </c>
      <c r="E36" s="464">
        <v>7</v>
      </c>
      <c r="F36" s="1236" t="s">
        <v>250</v>
      </c>
      <c r="G36" s="1237"/>
      <c r="H36" s="1237"/>
      <c r="I36" s="1237"/>
      <c r="J36" s="1237"/>
      <c r="K36" s="1237"/>
      <c r="L36" s="1237"/>
      <c r="M36" s="1237"/>
      <c r="N36" s="1237"/>
      <c r="O36" s="1237"/>
      <c r="P36" s="1237"/>
      <c r="Q36" s="1237"/>
      <c r="R36" s="1238"/>
      <c r="S36" s="419"/>
      <c r="T36" s="91"/>
      <c r="U36" s="4"/>
      <c r="V36" s="4"/>
    </row>
    <row r="37" spans="1:22" s="46" customFormat="1" ht="137.44999999999999" customHeight="1">
      <c r="A37" s="91"/>
      <c r="B37" s="438"/>
      <c r="C37" s="462" t="s">
        <v>246</v>
      </c>
      <c r="D37" s="464">
        <v>2010</v>
      </c>
      <c r="E37" s="464">
        <v>10</v>
      </c>
      <c r="F37" s="1239" t="s">
        <v>257</v>
      </c>
      <c r="G37" s="1237"/>
      <c r="H37" s="1237"/>
      <c r="I37" s="1237"/>
      <c r="J37" s="1237"/>
      <c r="K37" s="1237"/>
      <c r="L37" s="1237"/>
      <c r="M37" s="1237"/>
      <c r="N37" s="1237"/>
      <c r="O37" s="1237"/>
      <c r="P37" s="1237"/>
      <c r="Q37" s="1237"/>
      <c r="R37" s="1238"/>
      <c r="S37" s="419"/>
      <c r="T37" s="91"/>
      <c r="U37" s="4"/>
      <c r="V37" s="4"/>
    </row>
    <row r="38" spans="1:22" s="46" customFormat="1" ht="110.45" customHeight="1" thickBot="1">
      <c r="A38" s="91"/>
      <c r="B38" s="438"/>
      <c r="C38" s="465" t="s">
        <v>247</v>
      </c>
      <c r="D38" s="466">
        <v>2014</v>
      </c>
      <c r="E38" s="466">
        <v>12</v>
      </c>
      <c r="F38" s="1232" t="s">
        <v>255</v>
      </c>
      <c r="G38" s="1230"/>
      <c r="H38" s="1230"/>
      <c r="I38" s="1230"/>
      <c r="J38" s="1230"/>
      <c r="K38" s="1230"/>
      <c r="L38" s="1230"/>
      <c r="M38" s="1230"/>
      <c r="N38" s="1230"/>
      <c r="O38" s="1230"/>
      <c r="P38" s="1230"/>
      <c r="Q38" s="1230"/>
      <c r="R38" s="1231"/>
      <c r="S38" s="419"/>
      <c r="T38" s="91"/>
      <c r="U38" s="4"/>
      <c r="V38" s="4"/>
    </row>
    <row r="39" spans="1:22" s="46" customFormat="1" ht="180.6" customHeight="1" thickBot="1">
      <c r="A39" s="91"/>
      <c r="B39" s="438"/>
      <c r="C39" s="465" t="s">
        <v>662</v>
      </c>
      <c r="D39" s="466">
        <v>2020</v>
      </c>
      <c r="E39" s="467">
        <v>11</v>
      </c>
      <c r="F39" s="1229" t="s">
        <v>1175</v>
      </c>
      <c r="G39" s="1230"/>
      <c r="H39" s="1230"/>
      <c r="I39" s="1230"/>
      <c r="J39" s="1230"/>
      <c r="K39" s="1230"/>
      <c r="L39" s="1230"/>
      <c r="M39" s="1230"/>
      <c r="N39" s="1230"/>
      <c r="O39" s="1230"/>
      <c r="P39" s="1230"/>
      <c r="Q39" s="1230"/>
      <c r="R39" s="1231"/>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0" ma:contentTypeDescription="Create a new document." ma:contentTypeScope="" ma:versionID="bfad9e7fa064123ac9c4abc772239ad2">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59f0ac01d70fae4dbcef0629bba34d7a"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0D6EF31-FCB6-44C0-92E1-66E420FB322F}">
  <ds:schemaRefs>
    <ds:schemaRef ds:uri="http://purl.org/dc/elements/1.1/"/>
    <ds:schemaRef ds:uri="http://schemas.microsoft.com/office/2006/metadata/properties"/>
    <ds:schemaRef ds:uri="6b11e1cc-f8f4-4753-8eb9-82c6086f7ab0"/>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f5a1bbb-24dc-472d-b5b2-ad007ec20f6c"/>
    <ds:schemaRef ds:uri="http://www.w3.org/XML/1998/namespace"/>
    <ds:schemaRef ds:uri="http://purl.org/dc/dcmitype/"/>
  </ds:schemaRefs>
</ds:datastoreItem>
</file>

<file path=customXml/itemProps3.xml><?xml version="1.0" encoding="utf-8"?>
<ds:datastoreItem xmlns:ds="http://schemas.openxmlformats.org/officeDocument/2006/customXml" ds:itemID="{0A6CF8B0-B9BA-4F79-AD61-7EAFDCF834D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2023-02-13T19:55:13Z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