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C7D6A662-F102-4969-81B2-CB516858BEFE}"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<sst xmlns="http://schemas.openxmlformats.org/spreadsheetml/2006/main" count="2532" uniqueCount="1281">
  <si>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</si>
  <si>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</si>
  <si>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</si>
  <si>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</si>
  <si>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</si>
  <si>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</si>
  <si>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</si>
  <si>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</si>
  <si>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</si>
  <si>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</si>
  <si>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</si>
  <si>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</si>
  <si>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</si>
  <si>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</si>
  <si>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</si>
  <si>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</si>
  <si>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</si>
  <si>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</si>
  <si>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</si>
  <si>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</si>
  <si>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</si>
  <si>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</si>
  <si>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</si>
  <si>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</si>
  <si>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</si>
  <si>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</si>
  <si>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</si>
  <si>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</si>
  <si>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</si>
  <si>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</si>
  <si>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</si>
  <si>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</si>
  <si>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</si>
  <si>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</si>
  <si>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</si>
  <si>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</si>
  <si>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</si>
  <si>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</si>
  <si>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</si>
  <si>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</si>
  <si>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</si>
  <si>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</si>
  <si>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</si>
  <si>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</si>
  <si>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</si>
  <si>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</si>
  <si>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</si>
  <si>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</si>
  <si>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</si>
  <si>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</si>
  <si>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</si>
  <si>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</si>
  <si>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</si>
  <si>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</si>
  <si>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</si>
  <si>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</si>
  <si>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</si>
  <si>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</si>
  <si>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</si>
  <si>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</si>
  <si>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</si>
  <si>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</si>
  <si>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</si>
  <si>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</si>
  <si>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</si>
  <si>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</si>
  <si>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</si>
  <si>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</si>
  <si>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</si>
  <si>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</si>
  <si>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</si>
  <si>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</si>
  <si>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</si>
  <si>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</si>
  <si>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</si>
  <si>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</si>
  <si>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</si>
  <si>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</si>
  <si>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</si>
  <si>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</si>
  <si>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</si>
  <si>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</si>
  <si>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</si>
  <si>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</si>
  <si>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</si>
  <si>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</si>
  <si>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</si>
  <si>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</si>
  <si>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</si>
  <si>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</si>
  <si>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</si>
  <si>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</si>
  <si>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</si>
  <si>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</si>
  <si>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</si>
  <si>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</si>
  <si>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</si>
  <si>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</si>
  <si>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</si>
  <si>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</si>
  <si>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</si>
  <si>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</si>
  <si>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</si>
  <si>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</si>
  <si>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</si>
  <si>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</si>
  <si>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</si>
  <si>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</si>
  <si>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</si>
  <si>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</si>
  <si>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</si>
  <si>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</si>
  <si>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</si>
  <si>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</si>
  <si>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</si>
  <si>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</si>
  <si>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</si>
  <si>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</si>
  <si>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</si>
  <si>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</si>
  <si>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</si>
  <si>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</si>
  <si>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</si>
  <si>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</si>
  <si>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</si>
  <si>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</si>
  <si>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</si>
  <si>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</si>
  <si>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</si>
  <si>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</si>
  <si>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</si>
  <si>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</si>
  <si>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</si>
  <si>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</si>
  <si>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</si>
  <si>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</si>
  <si>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</si>
  <si>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</si>
  <si>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</si>
  <si>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</si>
  <si>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</si>
  <si>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</si>
  <si>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</si>
  <si>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</si>
  <si>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</si>
  <si>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</si>
  <si>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</si>
  <si>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</si>
  <si>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</si>
  <si>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</si>
  <si>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</si>
  <si>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</si>
  <si>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</si>
  <si>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</si>
  <si>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</si>
  <si>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</si>
  <si>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</si>
  <si>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</si>
  <si>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</si>
  <si>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</si>
  <si>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</si>
  <si>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</si>
  <si>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</si>
  <si>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</si>
  <si>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</si>
  <si>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</si>
  <si>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</si>
  <si>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</si>
  <si>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</si>
  <si>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</si>
  <si>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</si>
  <si>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</si>
  <si>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</si>
  <si>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</si>
  <si>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</si>
  <si>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</si>
  <si>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</si>
  <si>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</si>
  <si>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</si>
  <si>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</si>
  <si>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</si>
  <si>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</si>
  <si>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</si>
  <si>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</si>
  <si>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</si>
  <si>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</si>
  <si>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</si>
  <si>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</si>
  <si>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</si>
  <si>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</si>
  <si>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</si>
  <si>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</si>
  <si>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</si>
  <si>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</si>
  <si>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</si>
  <si>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</si>
  <si>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</si>
  <si>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</si>
  <si>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</si>
  <si>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</si>
  <si>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</si>
  <si>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</si>
  <si>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</si>
  <si>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</si>
  <si>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</si>
  <si>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</si>
  <si>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</si>
  <si>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</si>
  <si>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</si>
  <si>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</si>
  <si>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</si>
  <si>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</si>
  <si>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</si>
  <si>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</si>
  <si>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</si>
  <si>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</si>
  <si>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</si>
  <si>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</si>
  <si>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</si>
  <si>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</si>
  <si>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</si>
  <si>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</si>
  <si>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</si>
  <si>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</si>
  <si>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</si>
  <si>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</si>
  <si>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</si>
  <si>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</si>
  <si>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</si>
  <si>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</si>
  <si>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</si>
  <si>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</si>
  <si>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</si>
  <si>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</si>
  <si>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</si>
  <si>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</si>
  <si>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</si>
  <si>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</si>
  <si>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</si>
  <si>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</si>
  <si>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</si>
  <si>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</si>
  <si>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</si>
  <si>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</si>
  <si>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</si>
  <si>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</si>
  <si>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</si>
  <si>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</si>
  <si>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</si>
  <si>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</si>
  <si>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</si>
  <si>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</si>
  <si>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</si>
  <si>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</si>
  <si>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</si>
  <si>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</si>
  <si>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</si>
  <si>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</si>
  <si>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</si>
  <si>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</si>
  <si>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</si>
  <si>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</si>
  <si>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</si>
  <si>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</si>
  <si>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</si>
  <si>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</si>
  <si>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</si>
  <si>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</si>
  <si>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</si>
  <si>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</si>
  <si>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</si>
  <si>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</si>
  <si>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</si>
  <si>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</si>
  <si>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</si>
  <si>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</si>
  <si>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</si>
  <si>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</si>
  <si>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</si>
  <si>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</si>
  <si>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</si>
  <si>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</si>
  <si>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</si>
  <si>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</si>
  <si>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</si>
  <si>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</si>
  <si>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</si>
  <si>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</si>
  <si>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</si>
  <si>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</si>
  <si>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</si>
  <si>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</si>
  <si>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</si>
  <si>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</si>
  <si>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</si>
  <si>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</si>
  <si>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</si>
  <si>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</si>
  <si>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</si>
  <si>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</si>
  <si>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</si>
  <si>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</si>
  <si>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</si>
  <si>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</si>
  <si>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</si>
  <si>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</si>
  <si>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</si>
  <si>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</si>
  <si>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</si>
  <si>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</si>
  <si>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</si>
  <si>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</si>
  <si>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</si>
  <si>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</si>
  <si>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</si>
  <si>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</si>
  <si>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</si>
  <si>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</si>
  <si>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</si>
  <si>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</si>
  <si>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</si>
  <si>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</si>
  <si>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</si>
  <si>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</si>
  <si>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</si>
  <si>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</si>
  <si>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</si>
  <si>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</si>
  <si>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</si>
  <si>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</si>
  <si>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</si>
  <si>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</si>
  <si>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</si>
  <si>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</si>
  <si>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</si>
  <si>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</si>
  <si>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</si>
  <si>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</si>
  <si>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</si>
  <si>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</si>
  <si>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</si>
  <si>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</si>
  <si>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</si>
  <si>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</si>
  <si>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</si>
  <si>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</si>
  <si>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</si>
  <si>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</si>
  <si>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</si>
  <si>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</si>
  <si>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</si>
  <si>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</si>
  <si>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</si>
  <si>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</si>
  <si>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</si>
  <si>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</si>
  <si>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</si>
  <si>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</si>
  <si>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</si>
  <si>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</si>
  <si>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</si>
  <si>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</si>
  <si>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</si>
  <si>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</si>
  <si>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</si>
  <si>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</si>
  <si>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</si>
  <si>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</si>
  <si>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</si>
  <si>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</si>
  <si>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</si>
  <si>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</si>
  <si>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</si>
  <si>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</si>
  <si>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</si>
  <si>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</si>
  <si>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</si>
  <si>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</si>
  <si>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</si>
  <si>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</si>
  <si>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</si>
  <si>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</si>
  <si>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</si>
  <si>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</si>
  <si>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</si>
  <si>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</si>
  <si>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</si>
  <si>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</si>
  <si>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</si>
  <si>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</si>
  <si>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</si>
  <si>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</si>
  <si>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</si>
  <si>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</si>
  <si>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</si>
  <si>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</si>
  <si>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</si>
  <si>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</si>
  <si>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</si>
  <si>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</si>
  <si>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</si>
  <si>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</si>
  <si>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</si>
  <si>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</si>
  <si>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</si>
  <si>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</si>
  <si>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</si>
  <si>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</si>
  <si>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</si>
  <si>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</si>
  <si>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</si>
  <si>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</si>
  <si>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</si>
  <si>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</si>
  <si>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</si>
  <si>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</si>
  <si>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</si>
  <si>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</si>
  <si>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</si>
  <si>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</si>
  <si>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</si>
  <si>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</si>
  <si>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</si>
  <si>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</si>
  <si>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</si>
  <si>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</si>
  <si>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</si>
  <si>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</si>
  <si>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</si>
  <si>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</si>
  <si>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</si>
  <si>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</si>
  <si>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</si>
  <si>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</si>
  <si>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</si>
  <si>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</si>
  <si>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</si>
  <si>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</si>
  <si>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</si>
  <si>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</si>
  <si>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</si>
  <si>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</si>
  <si>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</si>
  <si>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</si>
  <si>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</si>
  <si>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</si>
  <si>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</si>
  <si>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</si>
  <si>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</si>
  <si>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</si>
  <si>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</si>
  <si>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</si>
  <si>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</si>
  <si>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</si>
  <si>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</si>
  <si>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</si>
  <si>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</si>
  <si>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</si>
  <si>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</si>
  <si>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</si>
  <si>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</si>
  <si>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</si>
  <si>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</si>
  <si>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</si>
  <si>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</si>
  <si>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</si>
  <si>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</si>
  <si>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</si>
  <si>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</si>
  <si>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</si>
  <si>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</si>
  <si>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</si>
  <si>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</si>
  <si>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</si>
  <si>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</si>
  <si>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</si>
  <si>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</si>
  <si>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</si>
  <si>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</si>
  <si>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</si>
  <si>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</si>
  <si>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</si>
  <si>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</si>
  <si>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</si>
  <si>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</si>
  <si>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</si>
  <si>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</si>
  <si>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</si>
  <si>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</si>
  <si>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</si>
  <si>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</si>
  <si>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</si>
  <si>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</si>
  <si>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</si>
  <si>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</si>
  <si>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</si>
  <si>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</si>
  <si>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</si>
  <si>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</si>
  <si>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</si>
  <si>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</si>
  <si>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</si>
  <si>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</si>
  <si>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</si>
  <si>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</si>
  <si>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</si>
  <si>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</si>
  <si>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</si>
  <si>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</si>
  <si>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</si>
  <si>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</si>
  <si>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</si>
  <si>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</si>
  <si>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</si>
  <si>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</si>
  <si>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</si>
  <si>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</si>
  <si>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</si>
  <si>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</si>
  <si>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</si>
  <si>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</si>
  <si>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</si>
  <si>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</si>
  <si>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</si>
  <si>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</si>
  <si>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</si>
  <si>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</si>
  <si>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</si>
  <si>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</si>
  <si>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</si>
  <si>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</si>
  <si>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</si>
  <si>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</si>
  <si>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</si>
  <si>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</si>
  <si>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</si>
  <si>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</si>
  <si>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</si>
  <si>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</si>
  <si>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</si>
  <si>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</si>
  <si>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</si>
  <si>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</si>
  <si>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</si>
  <si>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</si>
  <si>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</si>
  <si>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</si>
  <si>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</si>
  <si>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</si>
  <si>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</si>
  <si>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</si>
  <si>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</si>
  <si>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</si>
  <si>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</si>
  <si>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</si>
  <si>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</si>
  <si>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</si>
  <si>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</si>
  <si>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</si>
  <si>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</si>
  <si>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</si>
  <si>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</si>
  <si>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</si>
  <si>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</si>
  <si>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</si>
  <si>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</si>
  <si>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</si>
  <si>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</si>
  <si>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</si>
  <si>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</si>
  <si>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</si>
  <si>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</si>
  <si>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</si>
  <si>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</si>
  <si>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</si>
  <si>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</si>
  <si>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</si>
  <si>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</si>
  <si>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</si>
  <si>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</si>
  <si>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</si>
  <si>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</si>
  <si>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</si>
  <si>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</si>
  <si>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</si>
  <si>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</si>
  <si>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</si>
  <si>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</si>
  <si>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</si>
  <si>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</si>
  <si>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</si>
  <si>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</si>
  <si>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</si>
  <si>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</si>
  <si>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</si>
  <si>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</si>
  <si>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</si>
  <si>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</si>
  <si>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</si>
  <si>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</si>
  <si>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</si>
  <si>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</si>
  <si>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</si>
  <si>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</si>
  <si>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</si>
  <si>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</si>
  <si>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</si>
  <si>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</si>
  <si>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</si>
  <si>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</si>
  <si>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</si>
  <si>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</si>
  <si>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</si>
  <si>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</si>
  <si>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</si>
  <si>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</si>
  <si>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</si>
  <si>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</si>
  <si>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</si>
  <si>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</si>
  <si>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</si>
  <si>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</si>
  <si>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</si>
  <si>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</si>
  <si>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</si>
  <si>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</si>
  <si>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</si>
  <si>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</si>
  <si>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</si>
  <si>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</si>
  <si>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</si>
  <si>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</si>
  <si>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</si>
  <si>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</si>
  <si>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</si>
  <si>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</si>
  <si>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</si>
  <si>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</si>
  <si>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</si>
  <si>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</si>
  <si>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</si>
  <si>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</si>
  <si>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</si>
  <si>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</si>
  <si>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</si>
  <si>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</si>
  <si>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</si>
  <si>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</si>
  <si>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</si>
  <si>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</si>
  <si>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</si>
  <si>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</si>
  <si>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</si>
  <si>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</si>
  <si>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</si>
  <si>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</si>
  <si>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</si>
  <si>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</si>
  <si>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</si>
  <si>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</si>
  <si>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</si>
  <si>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</si>
  <si>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</si>
  <si>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</si>
  <si>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</si>
  <si>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</si>
  <si>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</si>
  <si>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</si>
  <si>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</si>
  <si>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</si>
  <si>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</si>
  <si>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</si>
  <si>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</si>
  <si>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</si>
  <si>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</si>
  <si>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</si>
  <si>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</si>
  <si>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</si>
  <si>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</si>
  <si>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</si>
  <si>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</si>
  <si>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</si>
  <si>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</si>
  <si>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</si>
  <si>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</si>
  <si>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</si>
  <si>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</si>
  <si>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</si>
  <si>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</si>
  <si>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</si>
  <si>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</si>
  <si>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</si>
  <si>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</si>
  <si>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</si>
  <si>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</si>
  <si>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</si>
  <si>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</si>
  <si>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</si>
  <si>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</si>
  <si>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</si>
  <si>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</si>
  <si>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</si>
  <si>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</si>
  <si>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</si>
  <si>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</si>
  <si>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</si>
  <si>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</si>
  <si>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</si>
  <si>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</si>
  <si>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</si>
  <si>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</si>
  <si>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</si>
  <si>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</si>
  <si>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</si>
  <si>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</si>
  <si>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</si>
  <si>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</si>
  <si>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</si>
  <si>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</si>
  <si>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</si>
  <si>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</si>
  <si>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</si>
  <si>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</si>
  <si>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</si>
  <si>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</si>
  <si>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</si>
  <si>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</si>
  <si>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</si>
  <si>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</si>
  <si>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</si>
  <si>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</si>
  <si>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</si>
  <si>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</si>
  <si>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</si>
  <si>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</si>
  <si>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</si>
  <si>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</si>
  <si>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</si>
  <si>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</si>
  <si>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</si>
  <si>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</si>
  <si>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</si>
  <si>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</si>
  <si>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</si>
  <si>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</si>
  <si>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</si>
  <si>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</si>
  <si>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</si>
  <si>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</si>
  <si>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</si>
  <si>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</si>
  <si>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</si>
  <si>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</si>
  <si>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</si>
  <si>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</si>
  <si>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</si>
  <si>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</si>
  <si>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</si>
  <si>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</si>
  <si>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</si>
  <si>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</si>
  <si>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</si>
  <si>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</si>
  <si>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</si>
  <si>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</si>
  <si>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</si>
  <si>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</si>
  <si>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</si>
  <si>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</si>
  <si>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</si>
  <si>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</si>
  <si>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</si>
  <si>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</si>
  <si>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</si>
  <si>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</si>
  <si>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</si>
  <si>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</si>
  <si>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</si>
  <si>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</si>
  <si>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</si>
  <si>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</si>
  <si>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</si>
  <si>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</si>
  <si>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</si>
  <si>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</si>
  <si>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</si>
  <si>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</si>
  <si>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</si>
  <si>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</si>
  <si>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</si>
  <si>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</si>
  <si>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</si>
  <si>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</si>
  <si>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</si>
  <si>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</si>
  <si>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</si>
  <si>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</si>
  <si>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</si>
  <si>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</si>
  <si>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</si>
  <si>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</si>
  <si>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</si>
  <si>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</si>
  <si>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</si>
  <si>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</si>
  <si>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</si>
  <si>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</si>
  <si>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</si>
  <si>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</si>
  <si>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</si>
  <si>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</si>
  <si>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</si>
  <si>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</si>
  <si>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</si>
  <si>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</si>
  <si>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</si>
  <si>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</si>
  <si>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</si>
  <si>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</si>
  <si>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</si>
  <si>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</si>
  <si>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</si>
  <si>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</si>
  <si>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</si>
  <si>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</si>
  <si>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</si>
  <si>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</si>
  <si>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</si>
  <si>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</si>
  <si>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</si>
  <si>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</si>
  <si>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</si>
  <si>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</si>
  <si>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</si>
  <si>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</si>
  <si>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</si>
  <si>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</si>
  <si>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</si>
  <si>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</si>
  <si>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</si>
  <si>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</si>
  <si>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</si>
  <si>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</si>
  <si>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</si>
  <si>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</si>
  <si>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</si>
  <si>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</si>
  <si>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</si>
  <si>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</si>
  <si>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</si>
  <si>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</si>
  <si>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</si>
  <si>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</si>
  <si>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</si>
  <si>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</si>
  <si>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</si>
  <si>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</si>
  <si>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</si>
  <si>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</si>
  <si>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</si>
  <si>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</si>
  <si>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</si>
  <si>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</si>
  <si>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</si>
  <si>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</si>
  <si>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</si>
  <si>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</si>
  <si>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</si>
  <si>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</si>
  <si>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</si>
  <si>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</si>
  <si>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</si>
  <si>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</si>
  <si>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</si>
  <si>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</si>
  <si>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</si>
  <si>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</si>
  <si>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</si>
  <si>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</si>
  <si>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</si>
  <si>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</si>
  <si>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</si>
  <si>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</si>
  <si>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</si>
  <si>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</si>
  <si>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</si>
  <si>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</si>
  <si>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</si>
  <si>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</si>
  <si>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</si>
  <si>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</si>
  <si>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</si>
  <si>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</si>
  <si>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</si>
  <si>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</si>
  <si>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</si>
  <si>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</si>
  <si>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</si>
  <si>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</si>
  <si>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</si>
  <si>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</si>
  <si>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</si>
  <si>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</si>
  <si>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</si>
  <si>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</si>
  <si>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</si>
  <si>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</si>
  <si>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</si>
  <si>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</si>
  <si>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</si>
  <si>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</si>
  <si>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</si>
  <si>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</si>
  <si>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</si>
  <si>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</si>
  <si>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</si>
  <si>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</si>
  <si>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</si>
  <si>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</si>
  <si>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</si>
  <si>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</si>
  <si>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</si>
  <si>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</si>
  <si>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</si>
  <si>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</si>
  <si>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</si>
  <si>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</si>
  <si>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</si>
  <si>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</si>
  <si>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</si>
  <si>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</si>
  <si>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</si>
  <si>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</si>
  <si>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</si>
  <si>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</si>
  <si>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</si>
  <si>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</si>
  <si>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</si>
  <si>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</si>
  <si>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</si>
  <si>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</si>
  <si>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</si>
  <si>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</si>
  <si>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</si>
  <si>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</si>
  <si>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</si>
  <si>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</si>
  <si>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</si>
  <si>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</si>
  <si>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</si>
  <si>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</si>
  <si>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</si>
  <si>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</si>
  <si>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</si>
  <si>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</si>
  <si>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</si>
  <si>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</si>
  <si>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</si>
  <si>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</si>
  <si>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</si>
  <si>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</si>
  <si>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</si>
  <si>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</si>
  <si>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</si>
  <si>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</si>
  <si>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</si>
  <si>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</si>
  <si>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</si>
  <si>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</si>
  <si>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</si>
  <si>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</si>
  <si>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</si>
  <si>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</si>
  <si>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</si>
  <si>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</si>
  <si>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</si>
  <si>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</si>
  <si>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</si>
  <si>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</si>
  <si>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</si>
  <si>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</si>
  <si>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</si>
  <si>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</si>
  <si>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</si>
  <si>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</si>
  <si>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</si>
  <si>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</si>
  <si>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</si>
  <si>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</si>
  <si>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</si>
  <si>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</si>
  <si>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</si>
  <si>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</si>
  <si>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</si>
  <si>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</si>
  <si>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</si>
  <si>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</si>
  <si>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</si>
  <si>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</si>
  <si>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</si>
  <si>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</si>
  <si>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</si>
  <si>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</si>
  <si>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</si>
  <si>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</si>
  <si>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</si>
  <si>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</si>
  <si>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</si>
  <si>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</si>
  <si>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</si>
  <si>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</si>
  <si>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</si>
  <si>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</si>
  <si>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</si>
  <si>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</si>
  <si>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</si>
  <si>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</si>
  <si>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</si>
  <si>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</si>
  <si>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</si>
  <si>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</si>
  <si>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</si>
  <si>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</si>
  <si>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</si>
  <si>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</si>
  <si>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</si>
  <si>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</si>
  <si>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</si>
  <si>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</si>
  <si>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</si>
  <si>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</si>
  <si>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</si>
  <si>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</si>
  <si>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</si>
  <si>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</si>
  <si>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</si>
  <si>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</si>
  <si>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</si>
  <si>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</si>
  <si>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</si>
  <si>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</si>
  <si>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</si>
  <si>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</si>
  <si>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</si>
  <si>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</si>
  <si>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</si>
  <si>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</si>
  <si>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</si>
  <si>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</si>
  <si>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</si>
  <si>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</si>
  <si>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</si>
  <si>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</si>
  <si>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</si>
  <si>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</si>
  <si>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</si>
  <si>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</si>
  <si>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</si>
  <si>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</si>
  <si>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</si>
  <si>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</si>
  <si>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</si>
  <si>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</si>
  <si>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</si>
  <si>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</si>
  <si>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</si>
  <si>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</si>
  <si>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</si>
  <si>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</si>
  <si>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</si>
  <si>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</si>
  <si>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</si>
  <si>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</si>
  <si>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</si>
  <si>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</si>
  <si>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</si>
  <si>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</si>
  <si>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</si>
  <si>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</si>
  <si>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</si>
  <si>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</si>
  <si>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</si>
  <si>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</si>
  <si>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</si>
  <si>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</si>
  <si>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</si>
  <si>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</si>
  <si>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</si>
  <si>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</si>
  <si>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</si>
  <si>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</si>
  <si>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</si>
  <si>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</si>
  <si>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</si>
  <si>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</si>
  <si>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</si>
  <si>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</si>
  <si>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</si>
  <si>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</si>
  <si>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</si>
  <si>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</si>
  <si>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</si>
  <si>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</si>
  <si>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</si>
  <si>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</si>
  <si>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</si>
  <si>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</si>
  <si>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</si>
  <si>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</si>
  <si>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</si>
  <si>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</si>
  <si>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</si>
  <si>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</si>
  <si>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</si>
  <si>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</si>
  <si>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</si>
  <si>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</si>
  <si>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</si>
  <si>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</si>
  <si>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</si>
  <si>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</si>
  <si>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</si>
  <si>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</si>
  <si>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</si>
  <si>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</si>
  <si>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</si>
  <si>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</si>
  <si>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</si>
  <si>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</si>
  <si>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</si>
  <si>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</si>
  <si>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</si>
  <si>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</si>
  <si>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</si>
  <si>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</si>
  <si>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</si>
  <si>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</si>
  <si>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</si>
  <si>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</si>
  <si>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</si>
  <si>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</si>
  <si>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</si>
  <si>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</si>
  <si>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</si>
  <si>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</si>
  <si>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</si>
  <si>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</si>
  <si>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</si>
  <si>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</si>
  <si>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</si>
  <si>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</si>
  <si>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</si>
  <si>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</si>
  <si>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</si>
  <si>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</si>
  <si>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</si>
  <si>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</si>
  <si>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</si>
  <si>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</si>
  <si>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</si>
  <si>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</si>
  <si>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</si>
  <si>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</si>
  <si>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</si>
  <si>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</si>
  <si>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</si>
  <si>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</si>
  <si>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</si>
  <si>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</si>
  <si>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</si>
  <si>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</si>
  <si>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</si>
  <si>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</si>
  <si>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</si>
  <si>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</si>
  <si>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</si>
  <si>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</si>
  <si>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</si>
  <si>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</si>
  <si>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</si>
  <si>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</si>
  <si>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</si>
  <si>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</si>
  <si>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</si>
  <si>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</si>
  <si>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</si>
  <si>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</si>
  <si>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</si>
  <si>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</si>
  <si>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</si>
  <si>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</si>
  <si>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</si>
  <si>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</si>
  <si>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</si>
  <si>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</si>
  <si>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</si>
  <si>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</si>
  <si>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</si>
  <si>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</si>
  <si>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</si>
  <si>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</si>
  <si>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</si>
  <si>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</si>
  <si>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</si>
  <si>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</si>
  <si>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</si>
  <si>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</si>
  <si>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</si>
  <si>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</si>
  <si>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</si>
  <si>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</si>
  <si>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</si>
  <si>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</si>
  <si>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</si>
  <si>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</si>
  <si>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</si>
  <si>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</si>
  <si>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</si>
  <si>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</si>
  <si>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</si>
  <si>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</si>
  <si>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</si>
  <si>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</si>
  <si>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</si>
  <si>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</si>
  <si>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</si>
  <si>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</si>
  <si>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</si>
  <si>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</si>
  <si>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</si>
  <si>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</si>
  <si>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</si>
  <si>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</si>
  <si>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</si>
  <si>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</si>
  <si>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</si>
  <si>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</si>
  <si>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</si>
  <si>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</si>
  <si>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</si>
  <si>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</si>
  <si>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</si>
  <si>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</si>
  <si>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</si>
  <si>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</si>
  <si>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</si>
  <si>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</si>
  <si>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</si>
  <si>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</si>
  <si>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</si>
  <si>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</si>
  <si>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</si>
  <si>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</si>
  <si>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</si>
  <si>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</si>
  <si>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</si>
  <si>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</si>
  <si>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</si>
  <si>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</si>
  <si>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</si>
  <si>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</si>
  <si>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</si>
  <si>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</si>
  <si>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</si>
  <si>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</si>
  <si>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</si>
  <si>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</si>
  <si>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</si>
  <si>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</si>
  <si>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</si>
  <si>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</si>
  <si>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</si>
  <si>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</si>
  <si>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</si>
  <si>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</si>
  <si>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</si>
  <si>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Noxen</t>
  </si>
  <si>
    <t>2660012</t>
  </si>
  <si>
    <t>VEOLIA - Noxen</t>
  </si>
  <si>
    <t>matthew.bloom@veolia.com</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</si>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</sst>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37.80821917808219</c:v>
                </c:pt>
                <c:pt idx="1">
                  <c:v>2.0024160337996988</c:v>
                </c:pt>
                <c:pt idx="2">
                  <c:v>210.49136901308043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1.3434404636459432</c:v>
                </c:pt>
                <c:pt idx="1">
                  <c:v>0.26113598867139654</c:v>
                </c:pt>
                <c:pt idx="2">
                  <c:v>31.037422131607229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9.6187785533653862</c:v>
                </c:pt>
                <c:pt idx="1">
                  <c:v>0.92482240795754933</c:v>
                </c:pt>
                <c:pt idx="2">
                  <c:v>105.05920003337073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4.0307244230769239</c:v>
                </c:pt>
                <c:pt idx="1">
                  <c:v>0.38772920688421864</c:v>
                </c:pt>
                <c:pt idx="2">
                  <c:v>44.047697230566186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5.5880541302884614</c:v>
                </c:pt>
                <c:pt idx="1">
                  <c:v>0.56875750335916142</c:v>
                </c:pt>
                <c:pt idx="2">
                  <c:v>64.937876286247558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3.1E-2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7.9970000000000006E-3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1.3842030000000001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$1,005/Yr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5.0382000000000007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98.64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254.82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65.735340000000022</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581.15762955000002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2.3175514365514349</c:v>
                </c:pt>
                <c:pt idx="1">
                  <c:v>9.0856271993300333E-2</c:v>
                </c:pt>
                <c:pt idx="2">
                  <c:v>8.9486262906178062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36.46477871443625</c:v>
                </c:pt>
                <c:pt idx="1">
                  <c:v>1.8469276802355887</c:v>
                </c:pt>
                <c:pt idx="2">
                  <c:v>192.55425363477676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2118.6240146935029</c:v>
                </c:pt>
                <c:pt idx="1">
                  <c:v>97.186039594358903</c:v>
                </c:pt>
                <c:pt idx="2" formatCode="_(* #,##0_);_(* \(#,##0\);_(* &quot;-&quot;??_);_(@_)">
                  <c:v>9932.444895007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04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04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04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04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046"/>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04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048"/>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049"/>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05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051"/>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052"/>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05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054"/>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055"/>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056"/>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057"/>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058"/>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059"/>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060"/>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H18" sqref="H18"/>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15" sqref="BF15"/>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1278</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1272</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1279</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1273</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1274</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v>44957</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2022</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2022</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44562</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44926</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1277</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1275</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1275</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44" activePane="bottomLeft" state="frozen"/>
      <selection pane="bottomLeft" activeCell="AU57" sqref="AU57"/>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Noxen</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4.6459999999999999</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4.6459999999999999</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4.6459999999999999</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4.6459999999999999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3.1987999999999999</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13.999999999999998</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3.1987999999999999</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1.2E-2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1.2E-2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3.2107999999999999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1.4352</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7.9970000000000006E-3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3.1E-2</v>
      </c>
      <c r="I41" s="280"/>
      <c r="J41" s="270" t="str">
        <f>IF('Start Page'!$AB$22="million gallons (US)","MG/Yr",IF('Start Page'!$AB$22="Megalitres (thousand cubic metres)","ML/Yr",IF('Start Page'!$AB$22="acre-feet","Acre-ft/Yr","")))</f>
        <v>MG/Yr</v>
      </c>
      <c r="K41" s="270"/>
      <c r="L41" s="270"/>
      <c r="M41" s="270"/>
      <c r="N41" s="270"/>
      <c r="O41" s="530"/>
      <c r="P41" s="582" t="s">
        <v>790</v>
      </c>
      <c r="Q41" s="1013">
        <v>3.1E-2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1.2E-2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1.2E-2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5.0997000000000001E-2</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3.1E-2</v>
      </c>
      <c r="Y50" s="135">
        <f>IFERROR(IF(W41=1,((H25)/(1-(O41*X41)))-(H25),Q41*H25/(H23+H25)),0)</f>
        <v>0</v>
      </c>
      <c r="Z50" s="923">
        <f>SUM(X50:Y50)</f>
        <v>3.1E-2</v>
      </c>
      <c r="AA50" s="1011"/>
      <c r="AB50" s="1011"/>
      <c r="AC50" s="1011"/>
    </row>
    <row r="51" spans="1:29">
      <c r="A51" s="91"/>
      <c r="B51" s="562"/>
      <c r="C51" s="1017" t="s">
        <v>664</v>
      </c>
      <c r="D51" s="1017"/>
      <c r="E51" s="1017"/>
      <c r="F51" s="1017"/>
      <c r="G51" s="869"/>
      <c r="H51" s="868">
        <f>IFERROR(H35-H46,"")</f>
        <v>1.3842030000000001</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1.4352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1.4472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1.79</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104</v>
      </c>
      <c r="I62" s="291"/>
      <c r="J62" s="292"/>
      <c r="K62" s="101"/>
      <c r="L62" s="101"/>
      <c r="M62" s="292" t="s">
        <v>904</v>
      </c>
      <c r="N62" s="101"/>
      <c r="U62" s="256"/>
      <c r="V62" s="91"/>
    </row>
    <row r="63" spans="1:29">
      <c r="A63" s="91"/>
      <c r="B63" s="562"/>
      <c r="C63" s="529" t="s">
        <v>167</v>
      </c>
      <c r="D63" s="53"/>
      <c r="E63" s="512"/>
      <c r="F63" s="273"/>
      <c r="G63" s="53"/>
      <c r="H63" s="500">
        <f>IF(ISERROR(H62/H61),"",H62/H61)</f>
        <v>58.100558659217874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18126065</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8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Noxen</v>
      </c>
      <c r="C1" s="611"/>
      <c r="D1" s="612"/>
      <c r="E1" s="892" t="s">
        <v>1159</v>
      </c>
    </row>
    <row r="2" spans="1:20" ht="30.6" customHeight="1">
      <c r="A2" s="468"/>
      <c r="B2" s="891">
        <f>IF(ISBLANK('Start Page'!AB18),"",'Start Page'!AB18)</f>
        <v>2022</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Noxen</v>
      </c>
      <c r="Q3" s="676"/>
      <c r="R3" s="676"/>
      <c r="S3" s="676"/>
      <c r="T3" s="676"/>
      <c r="U3" s="676"/>
      <c r="V3" s="676"/>
      <c r="W3" s="676"/>
      <c r="X3" s="676"/>
      <c r="Y3" s="676"/>
      <c r="Z3" s="676"/>
      <c r="AA3" s="676"/>
      <c r="AB3" s="676"/>
      <c r="AC3" s="673"/>
      <c r="AD3" s="674"/>
      <c r="AE3" s="675"/>
      <c r="AF3" s="672" t="s">
        <v>716</v>
      </c>
      <c r="AG3" s="1087">
        <f>IF(ISBLANK('Start Page'!AB18),"",'Start Page'!AB18)</f>
        <v>2022</v>
      </c>
      <c r="AH3" s="1087"/>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9.6187785533653862</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9.6187785533653862</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9.6187785533653862</v>
      </c>
      <c r="AB18" s="1082"/>
      <c r="AC18" s="1082"/>
      <c r="AD18" s="871" t="str">
        <f>BD13</f>
        <v>$/conn/year</v>
      </c>
      <c r="AE18" s="872"/>
      <c r="AF18" s="873"/>
      <c r="AG18" s="873"/>
      <c r="AH18" s="874"/>
      <c r="AI18" s="874"/>
      <c r="AJ18" s="872"/>
      <c r="AK18" s="1082">
        <f>BS22</f>
        <v>4.0307244230769239</v>
      </c>
      <c r="AL18" s="1082"/>
      <c r="AM18" s="1082"/>
      <c r="AN18" s="871" t="str">
        <f>BD13</f>
        <v>$/conn/year</v>
      </c>
      <c r="AO18" s="872"/>
      <c r="AP18" s="872"/>
      <c r="AQ18" s="872"/>
      <c r="AR18" s="872"/>
      <c r="AS18" s="872"/>
      <c r="AT18" s="872"/>
      <c r="AU18" s="1082">
        <f>BS29</f>
        <v>5.5880541302884614</v>
      </c>
      <c r="AV18" s="1082"/>
      <c r="AW18" s="1082"/>
      <c r="AX18" s="871" t="str">
        <f>BD13</f>
        <v>$/conn/year</v>
      </c>
      <c r="AY18" s="701"/>
      <c r="AZ18" s="247"/>
      <c r="BA18" s="247"/>
      <c r="BB18" s="342"/>
      <c r="BC18" s="109"/>
      <c r="BD18" s="58" t="s">
        <v>708</v>
      </c>
      <c r="BE18" s="234">
        <f>(((5.41*Worksheet!H61)+(0.15*Worksheet!H62)+(7.5*(Worksheet!H62*Worksheet!W67/5280)))*Worksheet!H68)/1000000*365</f>
        <v>0.59726959159090909</v>
      </c>
      <c r="BN18" s="659"/>
      <c r="BO18" s="716" t="s">
        <v>1041</v>
      </c>
      <c r="BP18" s="718">
        <f>BQ18-BQ17</f>
        <v>8.9525318444022357</v>
      </c>
      <c r="BQ18" s="900">
        <f t="shared" si="0"/>
        <v>18.283980813778896</v>
      </c>
      <c r="BR18" s="716" t="s">
        <v>781</v>
      </c>
      <c r="BS18" s="720">
        <f>SUM(BP16:BP20)-SUM(BS16,BS17)</f>
        <v>105.05920003337073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1.8329506691015196</v>
      </c>
      <c r="BF19" s="233">
        <f>BE19*325851.427242/Worksheet!H62/365</f>
        <v>15.73418312937063</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5.0986485000000004</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4.0307244230769239</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4.0307244230769239</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44.047697230566186</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37.80821917808219</v>
      </c>
      <c r="AB29" s="1083"/>
      <c r="AC29" s="1083"/>
      <c r="AD29" s="870" t="str">
        <f>BD10</f>
        <v>gal/conn/day</v>
      </c>
      <c r="AE29" s="870"/>
      <c r="AF29" s="875"/>
      <c r="AG29" s="875"/>
      <c r="AH29" s="700"/>
      <c r="AI29" s="700"/>
      <c r="AJ29" s="700"/>
      <c r="AK29" s="1083">
        <f>BS43</f>
        <v>1.3434404636459432</v>
      </c>
      <c r="AL29" s="1083"/>
      <c r="AM29" s="1083"/>
      <c r="AN29" s="871" t="str">
        <f>BD10</f>
        <v>gal/conn/day</v>
      </c>
      <c r="AO29" s="700"/>
      <c r="AP29" s="700"/>
      <c r="AQ29" s="700"/>
      <c r="AR29" s="700"/>
      <c r="AS29" s="700"/>
      <c r="AT29" s="700"/>
      <c r="AU29" s="1078">
        <f>BS55</f>
        <v>36.46477871443625</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5.5880541302884614</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5.5880541302884614</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45</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64.937876286247558</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AOP is below 10th %ile</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37.80821917808219</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37.80821917808219</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210.49136901308043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2.3175514365514349</v>
      </c>
      <c r="AI41" s="1077"/>
      <c r="AJ41" s="1077"/>
      <c r="AK41" s="870" t="s">
        <v>1050</v>
      </c>
      <c r="AL41" s="799"/>
      <c r="AM41" s="800"/>
      <c r="AN41" s="796"/>
      <c r="AO41" s="796"/>
      <c r="AP41" s="796"/>
      <c r="AQ41" s="796"/>
      <c r="AR41" s="796"/>
      <c r="AS41" s="1076">
        <f>BS69</f>
        <v>2118.6240146935029</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0.59726959159090909</v>
      </c>
      <c r="AL43" s="1075"/>
      <c r="AM43" s="1075"/>
      <c r="AN43" s="1075"/>
      <c r="AO43" s="916" t="str">
        <f>BD7</f>
        <v>MG/Yr</v>
      </c>
      <c r="AP43" s="700"/>
      <c r="AQ43" s="700"/>
      <c r="AR43" s="700"/>
      <c r="AS43" s="1075">
        <f>IF(BG19=1,BF19,IFERROR(AK43*1000000/Worksheet!H62/365,""))</f>
        <v>15.73418312937063</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1.3434404636459432</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1.3434404636459432</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31.037422131607229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5.0997000000000001E-2</v>
      </c>
      <c r="J49" s="1070"/>
      <c r="K49" s="1070"/>
      <c r="L49" s="1070"/>
      <c r="M49" s="683"/>
      <c r="N49" s="1071">
        <f>IF(OR(ISBLANK('Start Page'!$AB$22),ISBLANK(Worksheet!J76)),"",(SUM(Worksheet!H43+Worksheet!H39+Worksheet!X50)*Worksheet!H76)*INDEX(Sheet1!B2:D4,MATCH('Start Page'!AB22,Sheet1!A2:A4,0),MATCH(Worksheet!J76,Sheet1!B1:D1,0))+Worksheet!Y50*Worksheet!H77)</f>
        <v>419.19534000000004</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1.3842030000000001</v>
      </c>
      <c r="J50" s="1070"/>
      <c r="K50" s="1070"/>
      <c r="L50" s="1070"/>
      <c r="M50" s="683"/>
      <c r="N50" s="1071">
        <f>IFERROR(IF(Worksheet!H41="Select under/over","",IF(ISBLANK('Start Page'!AB22),"",Worksheet!H51*(IF(BD29=FALSE,Worksheet!H77,IF(BD29=TRUE,Worksheet!H76*INDEX(Sheet1!B2:D4,MATCH('Start Page'!AB22,Sheet1!A2:A4,0),MATCH(Worksheet!J76,Sheet1!B1:D1,0)),""))))),"")</f>
        <v>581.15762955000002</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1.2E-2</v>
      </c>
      <c r="J51" s="1070"/>
      <c r="K51" s="1070"/>
      <c r="L51" s="1070"/>
      <c r="M51" s="683"/>
      <c r="N51" s="1071">
        <f>IFERROR(IF(SUM(Sheet1!D90:D91)=0,"",SUM(Sheet1!D90:D91)),"")</f>
        <v>5.0382000000000007</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1.4472</v>
      </c>
      <c r="J52" s="1070"/>
      <c r="K52" s="1070"/>
      <c r="L52" s="1070"/>
      <c r="M52" s="683"/>
      <c r="N52" s="1071">
        <f>IF(SUM(N49:N51)=0,"",SUM(N49:N51))</f>
        <v>1005.3911695500001</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36.46477871443625</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36.46477871443625</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192.55425363477676</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2.3175514365514349</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2.3175514365514349</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8.9486262906178062</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2118.6240146935029</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2118.6240146935029</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9932.444895007</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43" activePane="bottomLeft" state="frozen"/>
      <selection activeCell="F138" sqref="F138"/>
      <selection pane="bottomLeft" activeCell="G46" sqref="G46:G4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Noxen</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1"/>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t="s">
        <v>1280</v>
      </c>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 MG/Yr</v>
      </c>
    </row>
    <row r="79" spans="1:6" ht="16.5">
      <c r="B79" s="52"/>
      <c r="C79" s="52"/>
      <c r="D79" s="52"/>
      <c r="E79" s="9" t="str">
        <f>IFERROR("Total Cost of NRW = $"&amp;TEXT(SUM(D90,D91,D94,D95,D96,D98),"#,###")&amp;"/Yr","")</f>
        <v>Total Cost of NRW = $1,005/Yr</v>
      </c>
      <c r="F79" s="52"/>
    </row>
    <row r="80" spans="1:6">
      <c r="A80"/>
      <c r="B80"/>
      <c r="C80" s="53" t="str">
        <f>"Volume ("&amp;Worksheet!J15&amp;")"</f>
        <v>Volume (MG/Yr)</v>
      </c>
      <c r="D80" s="53" t="s">
        <v>149</v>
      </c>
      <c r="E80" s="94" t="s">
        <v>1087</v>
      </c>
      <c r="F80"/>
    </row>
    <row r="81" spans="1:6">
      <c r="A81" s="46" t="s">
        <v>129</v>
      </c>
      <c r="B81" s="46"/>
      <c r="C81" s="122">
        <f>IF(Dashboard!BO$2&gt;0,"",Worksheet!H15)</f>
        <v>4.6459999999999999</v>
      </c>
      <c r="D81" s="123">
        <f>IF(Dashboard!BO$2&gt;0,"",C81*(Worksheet!$H$77))</f>
        <v>1950.6231</v>
      </c>
      <c r="E81" s="605">
        <f>D81</f>
        <v>1950.6231</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4.6459999999999999</v>
      </c>
      <c r="D87" s="123">
        <f>IF(Dashboard!BO$2&gt;0,"",C87*(Worksheet!$H$77))</f>
        <v>1950.6231</v>
      </c>
      <c r="E87" s="605">
        <f t="shared" si="0"/>
        <v>1950.6231</v>
      </c>
      <c r="F87"/>
    </row>
    <row r="88" spans="1:6">
      <c r="A88" t="s">
        <v>55</v>
      </c>
      <c r="B88"/>
      <c r="C88" s="122">
        <f>IF(Dashboard!BO$2&gt;0,"",Worksheet!H23)</f>
        <v>3.1987999999999999</v>
      </c>
      <c r="D88" s="123">
        <f>IF(Dashboard!BO$2&gt;0,"",C88*(Worksheet!$H$76*1000))</f>
        <v>26294.135999999999</v>
      </c>
      <c r="E88" s="605">
        <f t="shared" si="0"/>
        <v>26294.135999999999</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1.2E-2</v>
      </c>
      <c r="D91" s="127">
        <f>IF(Dashboard!BO$2&gt;0,"",IF(ISBLANK('Start Page'!AB22),"",IF(AND(ISBLANK(Worksheet!H77),Worksheet!Z77&lt;&gt;1),"",Worksheet!H26*(IF(Dashboard!BD29=FALSE,Worksheet!H77,IF(Dashboard!BD29=TRUE,Worksheet!H76*INDEX(Sheet1!B2:D4,MATCH('Start Page'!AB22,Sheet1!A2:A4,0),MATCH(Worksheet!J76,Sheet1!B1:D1,0)),""))))))</f>
        <v>5.0382000000000007</v>
      </c>
      <c r="E91" s="606">
        <f t="shared" si="0"/>
        <v>5.0382000000000007</v>
      </c>
      <c r="F91"/>
    </row>
    <row r="92" spans="1:6">
      <c r="A92" s="158" t="s">
        <v>2</v>
      </c>
      <c r="B92" s="125" t="s">
        <v>241</v>
      </c>
      <c r="C92" s="122">
        <f>IF(Dashboard!BO$2&gt;0,"",Worksheet!H30)</f>
        <v>3.2107999999999999</v>
      </c>
      <c r="D92" s="123">
        <f>IF(Dashboard!BO$2&gt;0,"",C92*(Worksheet!$H$76*1000))</f>
        <v>26392.775999999998</v>
      </c>
      <c r="E92" s="605">
        <f t="shared" si="0"/>
        <v>26392.775999999998</v>
      </c>
      <c r="F92"/>
    </row>
    <row r="93" spans="1:6">
      <c r="A93" t="s">
        <v>51</v>
      </c>
      <c r="B93"/>
      <c r="C93" s="122">
        <f>IF(Dashboard!BO$2&gt;0,"",Worksheet!H35)</f>
        <v>1.4352</v>
      </c>
      <c r="D93" s="123"/>
      <c r="E93" s="605">
        <f t="shared" si="0"/>
        <v>0</v>
      </c>
      <c r="F93"/>
    </row>
    <row r="94" spans="1:6">
      <c r="A94" s="223" t="s">
        <v>680</v>
      </c>
      <c r="B94" s="46"/>
      <c r="C94" s="126">
        <f>IF(Dashboard!BO$2&gt;0,"",Worksheet!H43)</f>
        <v>1.2E-2</v>
      </c>
      <c r="D94" s="127">
        <f>IF(Dashboard!BO$2&gt;0,"",IF(ISBLANK('Start Page'!AB22),"",IF(AND(ISBLANK(Worksheet!H77),Worksheet!Z77&lt;&gt;1),"",C94*Worksheet!H76*INDEX(Sheet1!B2:D4,MATCH('Start Page'!AB22,Sheet1!A2:A4,0),MATCH(Worksheet!J76,Sheet1!B1:D1,0)))))</f>
        <v>98.64</v>
      </c>
      <c r="E94" s="606">
        <f t="shared" si="0"/>
        <v>98.64</v>
      </c>
      <c r="F94" s="128"/>
    </row>
    <row r="95" spans="1:6">
      <c r="A95" s="223" t="s">
        <v>681</v>
      </c>
      <c r="B95" s="46"/>
      <c r="C95" s="126">
        <f>IF(Dashboard!BO$2&gt;0,"",Worksheet!H41)</f>
        <v>3.1E-2</v>
      </c>
      <c r="D95" s="127">
        <f>IF(Dashboard!BO$2&gt;0,"",IF(ISBLANK('Start Page'!AB22),"",IF(AND(ISBLANK(Worksheet!H77),Worksheet!Z77&lt;&gt;1),"",C95*Worksheet!H76*INDEX(Sheet1!B2:D4,MATCH('Start Page'!AB22,Sheet1!A2:A4,0),MATCH(Worksheet!J76,Sheet1!B1:D1,0)))))</f>
        <v>254.82</v>
      </c>
      <c r="E95" s="606">
        <f t="shared" si="0"/>
        <v>254.82</v>
      </c>
      <c r="F95" s="128"/>
    </row>
    <row r="96" spans="1:6">
      <c r="A96" s="223" t="s">
        <v>682</v>
      </c>
      <c r="B96" s="46"/>
      <c r="C96" s="126">
        <f>IF(Dashboard!BO$2&gt;0,"",Worksheet!H39)</f>
        <v>7.9970000000000006E-3</v>
      </c>
      <c r="D96" s="127">
        <f>IF(Dashboard!BO$2&gt;0,"",IF(ISBLANK('Start Page'!AB22),"",IF(AND(ISBLANK(Worksheet!H77),Worksheet!Z77&lt;&gt;1),"",C96*Worksheet!H76*INDEX(Sheet1!B2:D4,MATCH('Start Page'!AB22,Sheet1!A2:A4,0),MATCH(Worksheet!J76,Sheet1!B1:D1,0)))))</f>
        <v>65.735340000000022</v>
      </c>
      <c r="E96" s="606">
        <f t="shared" si="0"/>
        <v>65.735340000000022</v>
      </c>
      <c r="F96" s="128"/>
    </row>
    <row r="97" spans="1:7">
      <c r="A97" t="s">
        <v>42</v>
      </c>
      <c r="B97"/>
      <c r="C97" s="122">
        <f>IF(Dashboard!BO$2&gt;0,"",Worksheet!H46)</f>
        <v>5.0997000000000001E-2</v>
      </c>
      <c r="D97" s="123">
        <f>IF(Dashboard!BO$2&gt;0,"",SUM(D94:D96))</f>
        <v>419.19533999999999</v>
      </c>
      <c r="E97" s="605">
        <f t="shared" si="0"/>
        <v>419.19533999999999</v>
      </c>
      <c r="F97"/>
    </row>
    <row r="98" spans="1:7">
      <c r="A98" s="54" t="str">
        <f>"Real Losses valued at "&amp;A76&amp;""</f>
        <v xml:space="preserve">Real Losses valued at </v>
      </c>
      <c r="B98" s="46"/>
      <c r="C98" s="126">
        <f>IF(Dashboard!BO$2&gt;0,"",Worksheet!H51)</f>
        <v>1.3842030000000001</v>
      </c>
      <c r="D98" s="127">
        <f>IF(Dashboard!BO$2&gt;0,"",Dashboard!N50)</f>
        <v>581.15762955000002</v>
      </c>
      <c r="E98" s="606">
        <f t="shared" si="0"/>
        <v>581.15762955000002</v>
      </c>
      <c r="F98" s="605"/>
    </row>
    <row r="99" spans="1:7">
      <c r="A99" t="s">
        <v>74</v>
      </c>
      <c r="B99"/>
      <c r="C99" s="122">
        <f>IF(Dashboard!BO$2&gt;0,"",Worksheet!H57)</f>
        <v>1.4472</v>
      </c>
      <c r="D99" s="124">
        <f>IF(Dashboard!BO$2&gt;0,"",D97+D98+D90+D91)</f>
        <v>1005.39116955</v>
      </c>
      <c r="E99" s="605">
        <f t="shared" si="0"/>
        <v>1005.39116955</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Noxen</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3.1987999999999999</v>
      </c>
      <c r="H12" s="362"/>
      <c r="I12" s="5"/>
      <c r="K12" s="898"/>
    </row>
    <row r="13" spans="2:16" ht="22.5" customHeight="1">
      <c r="B13" s="1113"/>
      <c r="C13" s="363"/>
      <c r="D13" s="360"/>
      <c r="E13" s="1122"/>
      <c r="F13" s="365">
        <f>Worksheet!H23+Worksheet!H24</f>
        <v>3.1987999999999999</v>
      </c>
      <c r="G13" s="366" t="s">
        <v>1092</v>
      </c>
      <c r="H13" s="367">
        <f>SUM(G12+G14)</f>
        <v>3.1987999999999999</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3.2107999999999999</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4.6459999999999999</v>
      </c>
      <c r="C17" s="378"/>
      <c r="D17" s="379"/>
      <c r="E17" s="250"/>
      <c r="F17" s="380">
        <f>Worksheet!H25+Worksheet!H26</f>
        <v>1.2E-2</v>
      </c>
      <c r="G17" s="364" t="s">
        <v>1094</v>
      </c>
      <c r="H17" s="362"/>
      <c r="I17" s="5"/>
      <c r="K17" s="46"/>
      <c r="L17" s="121"/>
      <c r="M17" s="121"/>
      <c r="N17" s="121"/>
      <c r="O17" s="121"/>
      <c r="P17" s="121"/>
    </row>
    <row r="18" spans="2:16" ht="15.75" customHeight="1">
      <c r="B18" s="375"/>
      <c r="C18" s="1134" t="s">
        <v>765</v>
      </c>
      <c r="D18" s="360"/>
      <c r="E18" s="381"/>
      <c r="F18" s="370"/>
      <c r="G18" s="382">
        <f>Worksheet!H26</f>
        <v>1.2E-2</v>
      </c>
      <c r="H18" s="362"/>
      <c r="I18" s="5"/>
      <c r="K18" s="46"/>
    </row>
    <row r="19" spans="2:16" ht="22.5" customHeight="1">
      <c r="B19" s="375"/>
      <c r="C19" s="1134"/>
      <c r="D19" s="383" t="s">
        <v>118</v>
      </c>
      <c r="E19" s="356"/>
      <c r="F19" s="384"/>
      <c r="G19" s="600" t="s">
        <v>697</v>
      </c>
      <c r="H19" s="385">
        <f>Worksheet!H25+Worksheet!H26+Worksheet!H46+Worksheet!H51</f>
        <v>1.4472</v>
      </c>
      <c r="I19" s="5"/>
      <c r="K19" s="46"/>
      <c r="L19" s="121"/>
      <c r="M19" s="121"/>
      <c r="N19" s="121"/>
      <c r="O19" s="121"/>
      <c r="P19" s="121"/>
    </row>
    <row r="20" spans="2:16" ht="15.75" customHeight="1">
      <c r="B20" s="375"/>
      <c r="C20" s="386">
        <f>B17+B27</f>
        <v>4.6459999999999999</v>
      </c>
      <c r="D20" s="360"/>
      <c r="E20" s="250"/>
      <c r="F20" s="387" t="s">
        <v>52</v>
      </c>
      <c r="G20" s="376">
        <f>Worksheet!H39</f>
        <v>7.9970000000000006E-3</v>
      </c>
      <c r="H20" s="362"/>
      <c r="I20" s="5"/>
      <c r="K20" s="46"/>
    </row>
    <row r="21" spans="2:16" ht="14.25" customHeight="1">
      <c r="B21" s="388"/>
      <c r="C21" s="389"/>
      <c r="D21" s="386">
        <f>Worksheet!H19</f>
        <v>4.6459999999999999</v>
      </c>
      <c r="E21" s="390"/>
      <c r="F21" s="380">
        <f>Worksheet!H46</f>
        <v>5.0997000000000001E-2</v>
      </c>
      <c r="G21" s="364" t="s">
        <v>696</v>
      </c>
      <c r="H21" s="362"/>
      <c r="I21" s="5"/>
      <c r="K21" s="46"/>
      <c r="L21" s="121"/>
      <c r="M21" s="121"/>
      <c r="N21" s="121"/>
      <c r="O21" s="121"/>
      <c r="P21" s="121"/>
    </row>
    <row r="22" spans="2:16" ht="15.75" customHeight="1">
      <c r="B22" s="375"/>
      <c r="C22" s="359"/>
      <c r="D22" s="360"/>
      <c r="E22" s="250"/>
      <c r="F22" s="390"/>
      <c r="G22" s="391">
        <f>Worksheet!H41</f>
        <v>3.1E-2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1.2E-2</v>
      </c>
      <c r="H24" s="362"/>
      <c r="I24" s="5"/>
      <c r="K24" s="46"/>
    </row>
    <row r="25" spans="2:16" ht="26.25" customHeight="1">
      <c r="B25" s="1112" t="s">
        <v>1089</v>
      </c>
      <c r="C25" s="363"/>
      <c r="D25" s="360"/>
      <c r="E25" s="393">
        <f>Worksheet!H53</f>
        <v>1.4352</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1.3842030000000001</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Noxen</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13.999999999999998</v>
      </c>
      <c r="AF104" s="75">
        <f t="shared" ref="AF104:AF117" si="8">AE104/$AE$120</f>
        <v>17.169811320754715</v>
      </c>
      <c r="AG104" s="75">
        <f t="shared" si="3"/>
        <v>1.7169811320754715</v>
      </c>
      <c r="AH104" s="75">
        <f t="shared" ref="AH104:AH117" si="9">AD104*AG104</f>
        <v>13.735849056603772</v>
      </c>
      <c r="AI104" s="75">
        <f t="shared" si="1"/>
        <v>3.4339622641509422</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61.292452830188672</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df5a1bbb-24dc-472d-b5b2-ad007ec20f6c"/>
    <ds:schemaRef ds:uri="6b11e1cc-f8f4-4753-8eb9-82c6086f7ab0"/>
    <ds:schemaRef ds:uri="http://www.w3.org/XML/1998/namespace"/>
    <ds:schemaRef ds:uri="http://purl.org/dc/dcmitype/"/>
  </ds:schemaRefs>
</ds:datastoreItem>
</file>

<file path=customXml/itemProps2.xml><?xml version="1.0" encoding="utf-8"?>
<ds:datastoreItem xmlns:ds="http://schemas.openxmlformats.org/officeDocument/2006/customXml" ds:itemID="{CB8A9B8B-EBC2-44EE-9235-4E16F4E481E6}"/>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