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3FE3A385-E018-40FD-9C14-BC5E9A0F3726}" xr6:coauthVersionLast="47" xr6:coauthVersionMax="47" xr10:uidLastSave="{00000000-0000-0000-0000-000000000000}"/>
  <workbookProtection workbookPassword="FDB7" lockStructure="1"/>
  <bookViews>
    <workbookView xWindow="2868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71" i="53" s="1"/>
  <c r="BS57"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<sst xmlns="http://schemas.openxmlformats.org/spreadsheetml/2006/main" count="2532" uniqueCount="1283">
  <si>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</si>
  <si>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</si>
  <si>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</si>
  <si>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</si>
  <si>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</si>
  <si>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</si>
  <si>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</si>
  <si>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</si>
  <si>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</si>
  <si>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</si>
  <si>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</si>
  <si>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</si>
  <si>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</si>
  <si>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</si>
  <si>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</si>
  <si>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</si>
  <si>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</si>
  <si>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</si>
  <si>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</si>
  <si>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</si>
  <si>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</si>
  <si>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</si>
  <si>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</si>
  <si>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</si>
  <si>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</si>
  <si>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</si>
  <si>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</si>
  <si>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</si>
  <si>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</si>
  <si>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</si>
  <si>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</si>
  <si>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</si>
  <si>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</si>
  <si>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</si>
  <si>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</si>
  <si>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</si>
  <si>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</si>
  <si>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</si>
  <si>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</si>
  <si>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</si>
  <si>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</si>
  <si>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</si>
  <si>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</si>
  <si>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</si>
  <si>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</si>
  <si>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</si>
  <si>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</si>
  <si>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</si>
  <si>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</si>
  <si>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</si>
  <si>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</si>
  <si>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</si>
  <si>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</si>
  <si>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</si>
  <si>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</si>
  <si>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</si>
  <si>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</si>
  <si>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</si>
  <si>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</si>
  <si>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</si>
  <si>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</si>
  <si>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</si>
  <si>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</si>
  <si>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</si>
  <si>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</si>
  <si>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</si>
  <si>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</si>
  <si>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</si>
  <si>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</si>
  <si>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</si>
  <si>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</si>
  <si>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</si>
  <si>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</si>
  <si>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</si>
  <si>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</si>
  <si>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</si>
  <si>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</si>
  <si>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</si>
  <si>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</si>
  <si>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</si>
  <si>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</si>
  <si>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</si>
  <si>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</si>
  <si>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</si>
  <si>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</si>
  <si>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</si>
  <si>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</si>
  <si>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</si>
  <si>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</si>
  <si>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</si>
  <si>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</si>
  <si>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</si>
  <si>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</si>
  <si>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</si>
  <si>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</si>
  <si>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</si>
  <si>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</si>
  <si>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</si>
  <si>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</si>
  <si>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</si>
  <si>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</si>
  <si>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</si>
  <si>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</si>
  <si>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</si>
  <si>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</si>
  <si>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</si>
  <si>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</si>
  <si>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</si>
  <si>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</si>
  <si>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</si>
  <si>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</si>
  <si>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</si>
  <si>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</si>
  <si>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</si>
  <si>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</si>
  <si>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</si>
  <si>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</si>
  <si>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</si>
  <si>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</si>
  <si>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</si>
  <si>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</si>
  <si>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</si>
  <si>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</si>
  <si>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</si>
  <si>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</si>
  <si>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</si>
  <si>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</si>
  <si>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</si>
  <si>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</si>
  <si>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</si>
  <si>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</si>
  <si>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</si>
  <si>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</si>
  <si>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</si>
  <si>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</si>
  <si>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</si>
  <si>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</si>
  <si>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</si>
  <si>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</si>
  <si>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</si>
  <si>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</si>
  <si>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</si>
  <si>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</si>
  <si>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</si>
  <si>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</si>
  <si>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</si>
  <si>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</si>
  <si>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</si>
  <si>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</si>
  <si>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</si>
  <si>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</si>
  <si>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</si>
  <si>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</si>
  <si>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</si>
  <si>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</si>
  <si>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</si>
  <si>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</si>
  <si>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</si>
  <si>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</si>
  <si>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</si>
  <si>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</si>
  <si>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</si>
  <si>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</si>
  <si>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</si>
  <si>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</si>
  <si>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</si>
  <si>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</si>
  <si>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</si>
  <si>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</si>
  <si>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</si>
  <si>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</si>
  <si>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</si>
  <si>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</si>
  <si>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</si>
  <si>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</si>
  <si>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</si>
  <si>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</si>
  <si>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</si>
  <si>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</si>
  <si>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</si>
  <si>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</si>
  <si>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</si>
  <si>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</si>
  <si>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</si>
  <si>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</si>
  <si>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</si>
  <si>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</si>
  <si>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</si>
  <si>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</si>
  <si>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</si>
  <si>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</si>
  <si>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</si>
  <si>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</si>
  <si>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</si>
  <si>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</si>
  <si>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</si>
  <si>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</si>
  <si>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</si>
  <si>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</si>
  <si>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</si>
  <si>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</si>
  <si>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</si>
  <si>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</si>
  <si>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</si>
  <si>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</si>
  <si>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</si>
  <si>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</si>
  <si>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</si>
  <si>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</si>
  <si>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</si>
  <si>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</si>
  <si>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</si>
  <si>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</si>
  <si>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</si>
  <si>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</si>
  <si>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</si>
  <si>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</si>
  <si>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</si>
  <si>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</si>
  <si>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</si>
  <si>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</si>
  <si>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</si>
  <si>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</si>
  <si>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</si>
  <si>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</si>
  <si>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</si>
  <si>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</si>
  <si>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</si>
  <si>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</si>
  <si>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</si>
  <si>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</si>
  <si>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</si>
  <si>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</si>
  <si>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</si>
  <si>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</si>
  <si>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</si>
  <si>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</si>
  <si>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</si>
  <si>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</si>
  <si>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</si>
  <si>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</si>
  <si>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</si>
  <si>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</si>
  <si>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</si>
  <si>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</si>
  <si>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</si>
  <si>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</si>
  <si>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</si>
  <si>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</si>
  <si>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</si>
  <si>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</si>
  <si>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</si>
  <si>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</si>
  <si>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</si>
  <si>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</si>
  <si>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</si>
  <si>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</si>
  <si>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</si>
  <si>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</si>
  <si>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</si>
  <si>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</si>
  <si>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</si>
  <si>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</si>
  <si>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</si>
  <si>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</si>
  <si>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</si>
  <si>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</si>
  <si>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</si>
  <si>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</si>
  <si>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</si>
  <si>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</si>
  <si>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</si>
  <si>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</si>
  <si>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</si>
  <si>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</si>
  <si>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</si>
  <si>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</si>
  <si>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</si>
  <si>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</si>
  <si>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</si>
  <si>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</si>
  <si>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</si>
  <si>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</si>
  <si>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</si>
  <si>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</si>
  <si>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</si>
  <si>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</si>
  <si>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</si>
  <si>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</si>
  <si>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</si>
  <si>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</si>
  <si>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</si>
  <si>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</si>
  <si>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</si>
  <si>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</si>
  <si>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</si>
  <si>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</si>
  <si>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</si>
  <si>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</si>
  <si>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</si>
  <si>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</si>
  <si>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</si>
  <si>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</si>
  <si>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</si>
  <si>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</si>
  <si>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</si>
  <si>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</si>
  <si>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</si>
  <si>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</si>
  <si>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</si>
  <si>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</si>
  <si>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</si>
  <si>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</si>
  <si>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</si>
  <si>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</si>
  <si>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</si>
  <si>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</si>
  <si>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</si>
  <si>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</si>
  <si>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</si>
  <si>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</si>
  <si>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</si>
  <si>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</si>
  <si>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</si>
  <si>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</si>
  <si>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</si>
  <si>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</si>
  <si>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</si>
  <si>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</si>
  <si>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</si>
  <si>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</si>
  <si>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</si>
  <si>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</si>
  <si>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</si>
  <si>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</si>
  <si>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</si>
  <si>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</si>
  <si>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</si>
  <si>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</si>
  <si>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</si>
  <si>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</si>
  <si>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</si>
  <si>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</si>
  <si>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</si>
  <si>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</si>
  <si>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</si>
  <si>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</si>
  <si>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</si>
  <si>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</si>
  <si>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</si>
  <si>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</si>
  <si>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</si>
  <si>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</si>
  <si>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</si>
  <si>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</si>
  <si>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</si>
  <si>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</si>
  <si>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</si>
  <si>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</si>
  <si>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</si>
  <si>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</si>
  <si>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</si>
  <si>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</si>
  <si>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</si>
  <si>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</si>
  <si>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</si>
  <si>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</si>
  <si>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</si>
  <si>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</si>
  <si>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</si>
  <si>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</si>
  <si>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</si>
  <si>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</si>
  <si>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</si>
  <si>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</si>
  <si>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</si>
  <si>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</si>
  <si>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</si>
  <si>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</si>
  <si>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</si>
  <si>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</si>
  <si>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</si>
  <si>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</si>
  <si>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</si>
  <si>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</si>
  <si>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</si>
  <si>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</si>
  <si>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</si>
  <si>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</si>
  <si>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</si>
  <si>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</si>
  <si>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</si>
  <si>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</si>
  <si>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</si>
  <si>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</si>
  <si>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</si>
  <si>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</si>
  <si>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</si>
  <si>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</si>
  <si>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</si>
  <si>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</si>
  <si>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</si>
  <si>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</si>
  <si>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</si>
  <si>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</si>
  <si>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</si>
  <si>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</si>
  <si>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</si>
  <si>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</si>
  <si>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</si>
  <si>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</si>
  <si>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</si>
  <si>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</si>
  <si>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</si>
  <si>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</si>
  <si>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</si>
  <si>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</si>
  <si>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</si>
  <si>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</si>
  <si>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</si>
  <si>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</si>
  <si>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</si>
  <si>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</si>
  <si>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</si>
  <si>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</si>
  <si>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</si>
  <si>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</si>
  <si>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</si>
  <si>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</si>
  <si>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</si>
  <si>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</si>
  <si>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</si>
  <si>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</si>
  <si>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</si>
  <si>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</si>
  <si>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</si>
  <si>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</si>
  <si>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</si>
  <si>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</si>
  <si>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</si>
  <si>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</si>
  <si>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</si>
  <si>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</si>
  <si>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</si>
  <si>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</si>
  <si>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</si>
  <si>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</si>
  <si>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</si>
  <si>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</si>
  <si>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</si>
  <si>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</si>
  <si>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</si>
  <si>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</si>
  <si>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</si>
  <si>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</si>
  <si>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</si>
  <si>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</si>
  <si>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</si>
  <si>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</si>
  <si>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</si>
  <si>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</si>
  <si>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</si>
  <si>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</si>
  <si>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</si>
  <si>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</si>
  <si>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</si>
  <si>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</si>
  <si>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</si>
  <si>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</si>
  <si>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</si>
  <si>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</si>
  <si>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</si>
  <si>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</si>
  <si>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</si>
  <si>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</si>
  <si>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</si>
  <si>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</si>
  <si>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</si>
  <si>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</si>
  <si>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</si>
  <si>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</si>
  <si>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</si>
  <si>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</si>
  <si>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</si>
  <si>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</si>
  <si>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</si>
  <si>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</si>
  <si>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</si>
  <si>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</si>
  <si>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</si>
  <si>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</si>
  <si>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</si>
  <si>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</si>
  <si>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</si>
  <si>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</si>
  <si>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</si>
  <si>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</si>
  <si>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</si>
  <si>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</si>
  <si>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</si>
  <si>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</si>
  <si>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</si>
  <si>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</si>
  <si>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</si>
  <si>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</si>
  <si>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</si>
  <si>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</si>
  <si>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</si>
  <si>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</si>
  <si>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</si>
  <si>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</si>
  <si>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</si>
  <si>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</si>
  <si>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</si>
  <si>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</si>
  <si>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</si>
  <si>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</si>
  <si>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</si>
  <si>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</si>
  <si>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</si>
  <si>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</si>
  <si>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</si>
  <si>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</si>
  <si>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</si>
  <si>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</si>
  <si>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</si>
  <si>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</si>
  <si>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</si>
  <si>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</si>
  <si>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</si>
  <si>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</si>
  <si>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</si>
  <si>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</si>
  <si>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</si>
  <si>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</si>
  <si>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</si>
  <si>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</si>
  <si>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</si>
  <si>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</si>
  <si>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</si>
  <si>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</si>
  <si>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</si>
  <si>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</si>
  <si>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</si>
  <si>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</si>
  <si>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</si>
  <si>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</si>
  <si>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</si>
  <si>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</si>
  <si>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</si>
  <si>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</si>
  <si>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</si>
  <si>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</si>
  <si>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</si>
  <si>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</si>
  <si>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</si>
  <si>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</si>
  <si>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</si>
  <si>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</si>
  <si>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</si>
  <si>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</si>
  <si>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</si>
  <si>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</si>
  <si>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</si>
  <si>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</si>
  <si>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</si>
  <si>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</si>
  <si>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</si>
  <si>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</si>
  <si>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</si>
  <si>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</si>
  <si>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</si>
  <si>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</si>
  <si>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</si>
  <si>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</si>
  <si>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</si>
  <si>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</si>
  <si>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</si>
  <si>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</si>
  <si>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</si>
  <si>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</si>
  <si>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</si>
  <si>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</si>
  <si>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</si>
  <si>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</si>
  <si>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</si>
  <si>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</si>
  <si>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</si>
  <si>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</si>
  <si>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</si>
  <si>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</si>
  <si>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</si>
  <si>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</si>
  <si>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</si>
  <si>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</si>
  <si>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</si>
  <si>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</si>
  <si>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</si>
  <si>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</si>
  <si>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</si>
  <si>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</si>
  <si>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</si>
  <si>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</si>
  <si>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</si>
  <si>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</si>
  <si>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</si>
  <si>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</si>
  <si>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</si>
  <si>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</si>
  <si>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</si>
  <si>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</si>
  <si>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</si>
  <si>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</si>
  <si>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</si>
  <si>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</si>
  <si>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</si>
  <si>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</si>
  <si>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</si>
  <si>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</si>
  <si>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</si>
  <si>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</si>
  <si>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</si>
  <si>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</si>
  <si>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</si>
  <si>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</si>
  <si>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</si>
  <si>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</si>
  <si>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</si>
  <si>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</si>
  <si>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</si>
  <si>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</si>
  <si>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</si>
  <si>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</si>
  <si>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</si>
  <si>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</si>
  <si>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</si>
  <si>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</si>
  <si>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</si>
  <si>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</si>
  <si>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</si>
  <si>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</si>
  <si>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</si>
  <si>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</si>
  <si>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</si>
  <si>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</si>
  <si>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</si>
  <si>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</si>
  <si>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</si>
  <si>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</si>
  <si>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</si>
  <si>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</si>
  <si>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</si>
  <si>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</si>
  <si>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</si>
  <si>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</si>
  <si>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</si>
  <si>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</si>
  <si>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</si>
  <si>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</si>
  <si>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</si>
  <si>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</si>
  <si>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</si>
  <si>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</si>
  <si>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</si>
  <si>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</si>
  <si>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</si>
  <si>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</si>
  <si>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</si>
  <si>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</si>
  <si>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</si>
  <si>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</si>
  <si>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</si>
  <si>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</si>
  <si>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</si>
  <si>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</si>
  <si>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</si>
  <si>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</si>
  <si>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</si>
  <si>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</si>
  <si>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</si>
  <si>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</si>
  <si>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</si>
  <si>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</si>
  <si>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</si>
  <si>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</si>
  <si>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</si>
  <si>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</si>
  <si>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</si>
  <si>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</si>
  <si>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</si>
  <si>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</si>
  <si>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</si>
  <si>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</si>
  <si>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</si>
  <si>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</si>
  <si>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</si>
  <si>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</si>
  <si>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</si>
  <si>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</si>
  <si>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</si>
  <si>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</si>
  <si>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</si>
  <si>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</si>
  <si>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</si>
  <si>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</si>
  <si>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</si>
  <si>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</si>
  <si>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</si>
  <si>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</si>
  <si>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</si>
  <si>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</si>
  <si>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</si>
  <si>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</si>
  <si>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</si>
  <si>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</si>
  <si>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</si>
  <si>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</si>
  <si>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</si>
  <si>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</si>
  <si>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</si>
  <si>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</si>
  <si>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</si>
  <si>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</si>
  <si>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</si>
  <si>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</si>
  <si>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</si>
  <si>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</si>
  <si>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</si>
  <si>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</si>
  <si>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</si>
  <si>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</si>
  <si>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</si>
  <si>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</si>
  <si>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</si>
  <si>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</si>
  <si>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</si>
  <si>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</si>
  <si>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</si>
  <si>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</si>
  <si>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</si>
  <si>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</si>
  <si>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</si>
  <si>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</si>
  <si>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</si>
  <si>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</si>
  <si>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</si>
  <si>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</si>
  <si>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</si>
  <si>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</si>
  <si>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</si>
  <si>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</si>
  <si>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</si>
  <si>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</si>
  <si>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</si>
  <si>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</si>
  <si>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</si>
  <si>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</si>
  <si>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</si>
  <si>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</si>
  <si>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</si>
  <si>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</si>
  <si>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</si>
  <si>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</si>
  <si>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</si>
  <si>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</si>
  <si>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</si>
  <si>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</si>
  <si>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</si>
  <si>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</si>
  <si>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</si>
  <si>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</si>
  <si>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</si>
  <si>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</si>
  <si>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</si>
  <si>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</si>
  <si>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</si>
  <si>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</si>
  <si>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</si>
  <si>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</si>
  <si>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</si>
  <si>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</si>
  <si>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</si>
  <si>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</si>
  <si>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</si>
  <si>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</si>
  <si>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</si>
  <si>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</si>
  <si>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</si>
  <si>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</si>
  <si>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</si>
  <si>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</si>
  <si>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</si>
  <si>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</si>
  <si>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</si>
  <si>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</si>
  <si>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</si>
  <si>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</si>
  <si>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</si>
  <si>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</si>
  <si>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</si>
  <si>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</si>
  <si>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</si>
  <si>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</si>
  <si>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</si>
  <si>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</si>
  <si>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</si>
  <si>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</si>
  <si>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</si>
  <si>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</si>
  <si>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</si>
  <si>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</si>
  <si>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</si>
  <si>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</si>
  <si>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</si>
  <si>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</si>
  <si>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</si>
  <si>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</si>
  <si>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</si>
  <si>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</si>
  <si>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</si>
  <si>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</si>
  <si>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</si>
  <si>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</si>
  <si>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</si>
  <si>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</si>
  <si>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</si>
  <si>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</si>
  <si>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</si>
  <si>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</si>
  <si>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</si>
  <si>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</si>
  <si>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</si>
  <si>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</si>
  <si>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</si>
  <si>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</si>
  <si>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</si>
  <si>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</si>
  <si>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</si>
  <si>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</si>
  <si>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</si>
  <si>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</si>
  <si>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</si>
  <si>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</si>
  <si>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</si>
  <si>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</si>
  <si>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</si>
  <si>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</si>
  <si>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</si>
  <si>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</si>
  <si>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</si>
  <si>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</si>
  <si>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</si>
  <si>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</si>
  <si>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</si>
  <si>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</si>
  <si>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</si>
  <si>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</si>
  <si>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</si>
  <si>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</si>
  <si>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</si>
  <si>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</si>
  <si>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</si>
  <si>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</si>
  <si>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</si>
  <si>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</si>
  <si>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</si>
  <si>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</si>
  <si>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</si>
  <si>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</si>
  <si>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</si>
  <si>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</si>
  <si>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</si>
  <si>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</si>
  <si>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</si>
  <si>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</si>
  <si>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</si>
  <si>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</si>
  <si>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</si>
  <si>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</si>
  <si>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</si>
  <si>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</si>
  <si>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</si>
  <si>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</si>
  <si>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</si>
  <si>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</si>
  <si>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</si>
  <si>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</si>
  <si>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</si>
  <si>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</si>
  <si>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</si>
  <si>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</si>
  <si>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</si>
  <si>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</si>
  <si>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</si>
  <si>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</si>
  <si>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</si>
  <si>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</si>
  <si>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</si>
  <si>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</si>
  <si>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</si>
  <si>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</si>
  <si>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</si>
  <si>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</si>
  <si>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</si>
  <si>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</si>
  <si>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</si>
  <si>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</si>
  <si>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</si>
  <si>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</si>
  <si>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</si>
  <si>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</si>
  <si>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</si>
  <si>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</si>
  <si>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</si>
  <si>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</si>
  <si>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</si>
  <si>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</si>
  <si>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</si>
  <si>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</si>
  <si>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</si>
  <si>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</si>
  <si>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</si>
  <si>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</si>
  <si>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</si>
  <si>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</si>
  <si>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</si>
  <si>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</si>
  <si>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</si>
  <si>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</si>
  <si>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</si>
  <si>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</si>
  <si>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</si>
  <si>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</si>
  <si>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</si>
  <si>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</si>
  <si>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</si>
  <si>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</si>
  <si>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</si>
  <si>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</si>
  <si>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</si>
  <si>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</si>
  <si>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</si>
  <si>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</si>
  <si>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</si>
  <si>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</si>
  <si>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</si>
  <si>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</si>
  <si>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</si>
  <si>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</si>
  <si>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</si>
  <si>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</si>
  <si>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</si>
  <si>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</si>
  <si>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</si>
  <si>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</si>
  <si>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</si>
  <si>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</si>
  <si>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</si>
  <si>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</si>
  <si>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</si>
  <si>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</si>
  <si>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</si>
  <si>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</si>
  <si>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</si>
  <si>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</si>
  <si>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</si>
  <si>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</si>
  <si>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</si>
  <si>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</si>
  <si>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</si>
  <si>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</si>
  <si>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</si>
  <si>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</si>
  <si>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</si>
  <si>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</si>
  <si>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</si>
  <si>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</si>
  <si>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</si>
  <si>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</si>
  <si>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</si>
  <si>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</si>
  <si>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</si>
  <si>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</si>
  <si>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</si>
  <si>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</si>
  <si>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</si>
  <si>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</si>
  <si>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</si>
  <si>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</si>
  <si>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</si>
  <si>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</si>
  <si>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</si>
  <si>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</si>
  <si>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</si>
  <si>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</si>
  <si>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</si>
  <si>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</si>
  <si>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</si>
  <si>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</si>
  <si>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</si>
  <si>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</si>
  <si>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</si>
  <si>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</si>
  <si>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</si>
  <si>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</si>
  <si>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</si>
  <si>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</si>
  <si>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</si>
  <si>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</si>
  <si>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</si>
  <si>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</si>
  <si>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</si>
  <si>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</si>
  <si>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</si>
  <si>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</si>
  <si>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</si>
  <si>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</si>
  <si>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</si>
  <si>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</si>
  <si>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</si>
  <si>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</si>
  <si>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</si>
  <si>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</si>
  <si>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</si>
  <si>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</si>
  <si>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</si>
  <si>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</si>
  <si>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</si>
  <si>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</si>
  <si>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</si>
  <si>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</si>
  <si>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</si>
  <si>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</si>
  <si>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</si>
  <si>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</si>
  <si>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</si>
  <si>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</si>
  <si>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</si>
  <si>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</si>
  <si>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</si>
  <si>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</si>
  <si>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</si>
  <si>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</si>
  <si>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</si>
  <si>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</si>
  <si>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</si>
  <si>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</si>
  <si>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</si>
  <si>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</si>
  <si>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</si>
  <si>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</si>
  <si>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</si>
  <si>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</si>
  <si>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</si>
  <si>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</si>
  <si>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</si>
  <si>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</si>
  <si>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</si>
  <si>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</si>
  <si>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</si>
  <si>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</si>
  <si>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</si>
  <si>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</si>
  <si>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</si>
  <si>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</si>
  <si>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</si>
  <si>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</si>
  <si>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</si>
  <si>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</si>
  <si>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</si>
  <si>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</si>
  <si>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</si>
  <si>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</si>
  <si>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</si>
  <si>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</si>
  <si>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</si>
  <si>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</si>
  <si>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</si>
  <si>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</si>
  <si>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</si>
  <si>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</si>
  <si>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</si>
  <si>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</si>
  <si>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</si>
  <si>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</si>
  <si>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</si>
  <si>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</si>
  <si>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</si>
  <si>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</si>
  <si>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</si>
  <si>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</si>
  <si>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</si>
  <si>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</si>
  <si>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</si>
  <si>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</si>
  <si>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</si>
  <si>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</si>
  <si>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</si>
  <si>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</si>
  <si>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</si>
  <si>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</si>
  <si>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</si>
  <si>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</si>
  <si>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</si>
  <si>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</si>
  <si>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</si>
  <si>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</si>
  <si>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</si>
  <si>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</si>
  <si>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</si>
  <si>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</si>
  <si>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</si>
  <si>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</si>
  <si>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</si>
  <si>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</si>
  <si>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</si>
  <si>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</si>
  <si>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</si>
  <si>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</si>
  <si>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</si>
  <si>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</si>
  <si>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</si>
  <si>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</si>
  <si>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</si>
  <si>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</si>
  <si>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</si>
  <si>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</si>
  <si>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</si>
  <si>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</si>
  <si>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</si>
  <si>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</si>
  <si>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</si>
  <si>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</si>
  <si>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</si>
  <si>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</si>
  <si>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</si>
  <si>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</si>
  <si>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</si>
  <si>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</si>
  <si>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</si>
  <si>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</si>
  <si>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</si>
  <si>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</si>
  <si>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</si>
  <si>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</si>
  <si>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</si>
  <si>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</si>
  <si>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</si>
  <si>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</si>
  <si>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</si>
  <si>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</si>
  <si>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</si>
  <si>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</si>
  <si>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</si>
  <si>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</si>
  <si>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</si>
  <si>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</si>
  <si>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</si>
  <si>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</si>
  <si>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</si>
  <si>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</si>
  <si>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</si>
  <si>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</si>
  <si>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</si>
  <si>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</si>
  <si>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</si>
  <si>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</si>
  <si>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</si>
  <si>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</si>
  <si>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</si>
  <si>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</si>
  <si>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</si>
  <si>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</si>
  <si>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</si>
  <si>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</si>
  <si>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</si>
  <si>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</si>
  <si>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</si>
  <si>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</si>
  <si>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</si>
  <si>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</si>
  <si>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</si>
  <si>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</si>
  <si>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</si>
  <si>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</si>
  <si>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</si>
  <si>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</si>
  <si>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</si>
  <si>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</si>
  <si>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</si>
  <si>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</si>
  <si>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</si>
  <si>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</si>
  <si>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</si>
  <si>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</si>
  <si>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</si>
  <si>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</si>
  <si>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</si>
  <si>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</si>
  <si>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</si>
  <si>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</si>
  <si>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</si>
  <si>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</si>
  <si>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</si>
  <si>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</si>
  <si>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</si>
  <si>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</si>
  <si>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</si>
  <si>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</si>
  <si>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</si>
  <si>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</si>
  <si>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</si>
  <si>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</si>
  <si>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</si>
  <si>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</si>
  <si>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</si>
  <si>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</si>
  <si>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</si>
  <si>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</si>
  <si>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</si>
  <si>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</si>
  <si>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</si>
  <si>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</si>
  <si>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</si>
  <si>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</si>
  <si>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</si>
  <si>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</si>
  <si>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</si>
  <si>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</si>
  <si>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</si>
  <si>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</si>
  <si>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</si>
  <si>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</si>
  <si>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</si>
  <si>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</si>
  <si>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</si>
  <si>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</si>
  <si>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</si>
  <si>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</si>
  <si>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</si>
  <si>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</si>
  <si>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</si>
  <si>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</si>
  <si>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</si>
  <si>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</si>
  <si>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</si>
  <si>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</si>
  <si>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</si>
  <si>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</si>
  <si>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</si>
  <si>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</si>
  <si>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</si>
  <si>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</si>
  <si>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</si>
  <si>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</si>
  <si>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</si>
  <si>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</si>
  <si>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</si>
  <si>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</si>
  <si>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</si>
  <si>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</si>
  <si>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</si>
  <si>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</si>
  <si>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</si>
  <si>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</si>
  <si>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</si>
  <si>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</si>
  <si>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</si>
  <si>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</si>
  <si>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</si>
  <si>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</si>
  <si>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</si>
  <si>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Brown Manor</t>
  </si>
  <si>
    <t>Matthew Bloom</t>
  </si>
  <si>
    <t>matthew.bloom@veolia.com</t>
  </si>
  <si>
    <t>717-901-6332</t>
  </si>
  <si>
    <t>Brown Manor</t>
  </si>
  <si>
    <t>USA</t>
  </si>
  <si>
    <t>Jan 31 2024</t>
  </si>
  <si>
    <t>24700073</t>
  </si>
  <si>
    <t>NA</t>
  </si>
  <si>
    <t>Very small system. Larger than average billing period or overestimated customer usage most likely caused negative water loss.</t>
  </si>
  <si>
    <t>Very small system of 28 customers. Entire water system was replaced in 2022 so system is very tight. Larger than average billing period or overestimated customer usage most likely caused negative water loss because sales are from middle of Dec to the middle of Nov and production is Jan to 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</si>
</sst>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1.7842465753424659</c:v>
                </c:pt>
                <c:pt idx="1">
                  <c:v>0.26113598867139654</c:v>
                </c:pt>
                <c:pt idx="2">
                  <c:v>30.596616019910705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0</c:v>
                </c:pt>
                <c:pt idx="1">
                  <c:v>0.92482240795754933</c:v>
                </c:pt>
                <c:pt idx="2">
                  <c:v>114.67797858673612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5.3663000000000007</c:v>
                </c:pt>
                <c:pt idx="1">
                  <c:v>0.38772920688421864</c:v>
                </c:pt>
                <c:pt idx="2">
                  <c:v>42.712121653643109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62</c:v>
                </c:pt>
                <c:pt idx="1">
                  <c:v>1.2666666666666666</c:v>
                </c:pt>
                <c:pt idx="2" formatCode="General">
                  <c:v>136.73333333333335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1.2E-2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3.1175000000000005E-3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1.2E-2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3.1175000000000005E-3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-3.8235000000000019E-2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$135/Yr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7.0595999999999997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25.688200000000005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98.88000000000001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25.688200000000005</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-22.493650500000008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-11.334191473572488</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95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95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95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96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961"/>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962"/>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1963"/>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1964"/>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1965"/>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1966"/>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1967"/>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1968"/>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1969"/>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1970"/>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1971"/>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1972"/>
                  </a:ext>
                </a:extLst>
              </xdr:cNvPicPr>
            </xdr:nvPicPr>
            <xdr:blipFill rotWithShape="1">
              <a:blip xmlns:r="http://schemas.openxmlformats.org/officeDocument/2006/relationships" r:embed="rId20"/>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1973"/>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1974"/>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1975"/>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19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G30" sqref="BG30"/>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1272</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1273</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1274</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1275</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1277</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t="s">
        <v>1278</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2023</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2023</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44927</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45291</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1279</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1280</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1280</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R28" sqref="AR28"/>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Brown Manor</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2023</v>
      </c>
      <c r="E5" s="1053"/>
      <c r="F5" s="1053"/>
      <c r="G5" s="1054"/>
      <c r="H5" s="1046" t="str">
        <f>IF(ISBLANK('Start Page'!AB20),"",TEXT('Start Page'!AB20,"mmm dd yyyy")&amp;" - "&amp;TEXT('Start Page'!AB21,"mmm dd yyyy"))</f>
        <v>Jan 01 2023 - Dec 31 2023</v>
      </c>
      <c r="I5" s="1047"/>
      <c r="J5" s="1048"/>
      <c r="K5" s="1050">
        <f>IF(ISBLANK('Start Page'!AB19),"",'Start Page'!AB19)</f>
        <v>2023</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1.2390000000000001</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1.2390000000000001</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1.2390000000000001</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1.2390000000000001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1.2470000000000001</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1.2470000000000001</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1.2E-2</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1.2E-2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1.2590000000000001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xml:space="preserve">               Check input values; WATER SUPPLIED should be greater than AUTHORIZED CONSUMPTION</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-2.0000000000000018E-2</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3.1175000000000005E-3</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1.2E-2</v>
      </c>
      <c r="I41" s="280"/>
      <c r="J41" s="270" t="str">
        <f>IF('Start Page'!$AB$22="million gallons (US)","MG/Yr",IF('Start Page'!$AB$22="Megalitres (thousand cubic metres)","ML/Yr",IF('Start Page'!$AB$22="acre-feet","Acre-ft/Yr","")))</f>
        <v>MG/Yr</v>
      </c>
      <c r="K41" s="270"/>
      <c r="L41" s="270"/>
      <c r="M41" s="270"/>
      <c r="N41" s="270"/>
      <c r="O41" s="530"/>
      <c r="P41" s="582" t="s">
        <v>790</v>
      </c>
      <c r="Q41" s="1013">
        <v>1.2E-2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3</v>
      </c>
      <c r="G43" s="204"/>
      <c r="H43" s="498">
        <f>IF(OR(W43=1,AND(W43=2,Q43=0)),O43*SUM(H23:H24),Q43)</f>
        <v>3.1175000000000005E-3</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Enter a positive value, otherwise a default of 0.25% x (BMAC+BUAC) is applied with grading of 3</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1.8235000000000001E-2</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Check input values; APPARENT LOSSES should be less than WATER LOSSES</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1.2E-2</v>
      </c>
      <c r="Y50" s="135">
        <f>IFERROR(IF(W41=1,((H25)/(1-(O41*X41)))-(H25),Q41*H25/(H23+H25)),0)</f>
        <v>0</v>
      </c>
      <c r="Z50" s="923">
        <f>SUM(X50:Y50)</f>
        <v>1.2E-2</v>
      </c>
      <c r="AA50" s="1011"/>
      <c r="AB50" s="1011"/>
      <c r="AC50" s="1011"/>
    </row>
    <row r="51" spans="1:29">
      <c r="A51" s="91"/>
      <c r="B51" s="562"/>
      <c r="C51" s="1017" t="s">
        <v>664</v>
      </c>
      <c r="D51" s="1017"/>
      <c r="E51" s="1017"/>
      <c r="F51" s="1017"/>
      <c r="G51" s="869"/>
      <c r="H51" s="868">
        <f>IFERROR(H35-H46,"")</f>
        <v>-3.8235000000000019E-2</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-2.0000000000000018E-2</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-8.0000000000000175E-3</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0.66</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28</v>
      </c>
      <c r="I62" s="291"/>
      <c r="J62" s="292"/>
      <c r="K62" s="101"/>
      <c r="L62" s="101"/>
      <c r="M62" s="292" t="s">
        <v>904</v>
      </c>
      <c r="N62" s="101"/>
      <c r="U62" s="256"/>
      <c r="V62" s="91"/>
    </row>
    <row r="63" spans="1:29">
      <c r="A63" s="91"/>
      <c r="B63" s="562"/>
      <c r="C63" s="529" t="s">
        <v>167</v>
      </c>
      <c r="D63" s="53"/>
      <c r="E63" s="512"/>
      <c r="F63" s="273"/>
      <c r="G63" s="53"/>
      <c r="H63" s="500">
        <f>IF(ISERROR(H62/H61),"",H62/H61)</f>
        <v>42.424242424242422</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41</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21312543</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45" activePane="bottomLeft" state="frozen"/>
      <selection activeCell="B15" sqref="B15:F17"/>
      <selection pane="bottomLeft" activeCell="A166" sqref="A166:D192"/>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Brown Manor</v>
      </c>
      <c r="C1" s="611"/>
      <c r="D1" s="612"/>
      <c r="E1" s="892" t="s">
        <v>1159</v>
      </c>
    </row>
    <row r="2" spans="1:20" ht="30.6" customHeight="1">
      <c r="A2" s="468"/>
      <c r="B2" s="891">
        <f>IF(ISBLANK('Start Page'!AB18),"",'Start Page'!AB18)</f>
        <v>2023</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838</v>
      </c>
    </row>
    <row r="320" spans="1:18" ht="27.6" customHeight="1">
      <c r="A320" s="215"/>
      <c r="B320" s="555" t="s">
        <v>490</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491</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315</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Brown Manor</v>
      </c>
      <c r="Q3" s="676"/>
      <c r="R3" s="676"/>
      <c r="S3" s="676"/>
      <c r="T3" s="676"/>
      <c r="U3" s="676"/>
      <c r="V3" s="676"/>
      <c r="W3" s="676"/>
      <c r="X3" s="676"/>
      <c r="Y3" s="676"/>
      <c r="Z3" s="676"/>
      <c r="AA3" s="676"/>
      <c r="AB3" s="676"/>
      <c r="AC3" s="673"/>
      <c r="AD3" s="674"/>
      <c r="AE3" s="675"/>
      <c r="AF3" s="672" t="s">
        <v>716</v>
      </c>
      <c r="AG3" s="1087">
        <f>IF(ISBLANK('Start Page'!AB18),"",'Start Page'!AB18)</f>
        <v>2023</v>
      </c>
      <c r="AH3" s="1087"/>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62</v>
      </c>
      <c r="BS6" s="710"/>
      <c r="BT6" s="709"/>
      <c r="BU6" s="711"/>
      <c r="BV6" s="711"/>
      <c r="BW6" s="711"/>
      <c r="BX6" s="58"/>
      <c r="BY6" s="58"/>
    </row>
    <row r="7" spans="1:77" s="244" customFormat="1" ht="12.95" customHeight="1">
      <c r="A7" s="243"/>
      <c r="B7" s="335"/>
      <c r="C7" s="58"/>
      <c r="D7" s="247"/>
      <c r="E7" s="852"/>
      <c r="F7" s="247"/>
      <c r="G7" s="247"/>
      <c r="H7" s="678"/>
      <c r="I7" s="792" t="s">
        <v>239</v>
      </c>
      <c r="J7" s="1089">
        <f>BR6</f>
        <v>62</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62</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136.73333333333335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result is below 10th %ile</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negative result check inputs</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4.5629553392857147</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0</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4.5629553392857147</v>
      </c>
      <c r="AB18" s="1082"/>
      <c r="AC18" s="1082"/>
      <c r="AD18" s="871" t="str">
        <f>BD13</f>
        <v>$/conn/year</v>
      </c>
      <c r="AE18" s="872"/>
      <c r="AF18" s="873"/>
      <c r="AG18" s="873"/>
      <c r="AH18" s="874"/>
      <c r="AI18" s="874"/>
      <c r="AJ18" s="872"/>
      <c r="AK18" s="1082">
        <f>BS22</f>
        <v>5.3663000000000007</v>
      </c>
      <c r="AL18" s="1082"/>
      <c r="AM18" s="1082"/>
      <c r="AN18" s="871" t="str">
        <f>BD13</f>
        <v>$/conn/year</v>
      </c>
      <c r="AO18" s="872"/>
      <c r="AP18" s="872"/>
      <c r="AQ18" s="872"/>
      <c r="AR18" s="872"/>
      <c r="AS18" s="872"/>
      <c r="AT18" s="872"/>
      <c r="AU18" s="1082">
        <f>BS29</f>
        <v>-0.80334466071428601</v>
      </c>
      <c r="AV18" s="1082"/>
      <c r="AW18" s="1082"/>
      <c r="AX18" s="871" t="str">
        <f>BD13</f>
        <v>$/conn/year</v>
      </c>
      <c r="AY18" s="701"/>
      <c r="AZ18" s="247"/>
      <c r="BA18" s="247"/>
      <c r="BB18" s="342"/>
      <c r="BC18" s="109"/>
      <c r="BD18" s="58" t="s">
        <v>708</v>
      </c>
      <c r="BE18" s="234">
        <f>(((5.41*Worksheet!H61)+(0.15*Worksheet!H62)+(7.5*(Worksheet!H62*Worksheet!W67/5280)))*Worksheet!H68)/1000000*365</f>
        <v>0.16092694377272726</v>
      </c>
      <c r="BN18" s="659"/>
      <c r="BO18" s="716" t="s">
        <v>1041</v>
      </c>
      <c r="BP18" s="718">
        <f>BQ18-BQ17</f>
        <v>8.9525318444022357</v>
      </c>
      <c r="BQ18" s="900">
        <f t="shared" si="0"/>
        <v>18.283980813778896</v>
      </c>
      <c r="BR18" s="716" t="s">
        <v>781</v>
      </c>
      <c r="BS18" s="720">
        <f>SUM(BP16:BP20)-SUM(BS16,BS17)</f>
        <v>114.67797858673612</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0.49386600861260521</v>
      </c>
      <c r="BF19" s="233">
        <f>BE19*325851.427242/Worksheet!H62/365</f>
        <v>15.746276298701298</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1.2986626999999999</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5.3663000000000007</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5.3663000000000007</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negative result check inputs</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negative result check inputs</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42.712121653643109</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-1.9569471624266168</v>
      </c>
      <c r="AB29" s="1083"/>
      <c r="AC29" s="1083"/>
      <c r="AD29" s="870" t="str">
        <f>BD10</f>
        <v>gal/conn/day</v>
      </c>
      <c r="AE29" s="870"/>
      <c r="AF29" s="875"/>
      <c r="AG29" s="875"/>
      <c r="AH29" s="700"/>
      <c r="AI29" s="700"/>
      <c r="AJ29" s="700"/>
      <c r="AK29" s="1083">
        <f>BS43</f>
        <v>1.7842465753424659</v>
      </c>
      <c r="AL29" s="1083"/>
      <c r="AM29" s="1083"/>
      <c r="AN29" s="871" t="str">
        <f>BD10</f>
        <v>gal/conn/day</v>
      </c>
      <c r="AO29" s="700"/>
      <c r="AP29" s="700"/>
      <c r="AQ29" s="700"/>
      <c r="AR29" s="700"/>
      <c r="AS29" s="700"/>
      <c r="AT29" s="700"/>
      <c r="AU29" s="1078">
        <f>BS55</f>
        <v>-3.7411937377690827</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-0.80334466071428601</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0</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41</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70.525930416536013</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AOP is below 10th %ile</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-1.9569471624266168</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negative result check inputs</v>
      </c>
      <c r="AJ37" s="1074"/>
      <c r="AK37" s="1074"/>
      <c r="AL37" s="1074"/>
      <c r="AM37" s="247"/>
      <c r="AN37" s="247"/>
      <c r="AO37" s="247"/>
      <c r="AP37" s="247"/>
      <c r="AQ37" s="247"/>
      <c r="AR37" s="247"/>
      <c r="AS37" s="247"/>
      <c r="AT37" s="1074" t="str">
        <f>IF(BS69&lt;0,"negative result check inputs",IF($BS$70=0,"result is below 10th %ile",IF($BS$69&gt;$BS$70,"result is above 90th %ile","")))</f>
        <v>negative result check inputs</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0</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248.29958819116263</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-0.23759228320397527</v>
      </c>
      <c r="AI41" s="1077"/>
      <c r="AJ41" s="1077"/>
      <c r="AK41" s="870" t="s">
        <v>1050</v>
      </c>
      <c r="AL41" s="799"/>
      <c r="AM41" s="800"/>
      <c r="AN41" s="796"/>
      <c r="AO41" s="796"/>
      <c r="AP41" s="796"/>
      <c r="AQ41" s="796"/>
      <c r="AR41" s="796"/>
      <c r="AS41" s="1076">
        <f>BS69</f>
        <v>-158.71731008717319</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0.16092694377272726</v>
      </c>
      <c r="AL43" s="1075"/>
      <c r="AM43" s="1075"/>
      <c r="AN43" s="1075"/>
      <c r="AO43" s="916" t="str">
        <f>BD7</f>
        <v>MG/Yr</v>
      </c>
      <c r="AP43" s="700"/>
      <c r="AQ43" s="700"/>
      <c r="AR43" s="700"/>
      <c r="AS43" s="1075">
        <f>IF(BG19=1,BF19,IFERROR(AK43*1000000/Worksheet!H62/365,""))</f>
        <v>15.746276298701298</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1.7842465753424659</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1.7842465753424659</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30.596616019910705</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1.8235000000000001E-2</v>
      </c>
      <c r="J49" s="1070"/>
      <c r="K49" s="1070"/>
      <c r="L49" s="1070"/>
      <c r="M49" s="683"/>
      <c r="N49" s="1071">
        <f>IF(OR(ISBLANK('Start Page'!$AB$22),ISBLANK(Worksheet!J76)),"",(SUM(Worksheet!H43+Worksheet!H39+Worksheet!X50)*Worksheet!H76)*INDEX(Sheet1!B2:D4,MATCH('Start Page'!AB22,Sheet1!A2:A4,0),MATCH(Worksheet!J76,Sheet1!B1:D1,0))+Worksheet!Y50*Worksheet!H77)</f>
        <v>150.25640000000001</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-3.8235000000000019E-2</v>
      </c>
      <c r="J50" s="1070"/>
      <c r="K50" s="1070"/>
      <c r="L50" s="1070"/>
      <c r="M50" s="683"/>
      <c r="N50" s="1071">
        <f>IFERROR(IF(Worksheet!H41="Select under/over","",IF(ISBLANK('Start Page'!AB22),"",Worksheet!H51*(IF(BD29=FALSE,Worksheet!H77,IF(BD29=TRUE,Worksheet!H76*INDEX(Sheet1!B2:D4,MATCH('Start Page'!AB22,Sheet1!A2:A4,0),MATCH(Worksheet!J76,Sheet1!B1:D1,0)),""))))),"")</f>
        <v>-22.493650500000008</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1.2E-2</v>
      </c>
      <c r="J51" s="1070"/>
      <c r="K51" s="1070"/>
      <c r="L51" s="1070"/>
      <c r="M51" s="683"/>
      <c r="N51" s="1071">
        <f>IFERROR(IF(SUM(Sheet1!D90:D91)=0,"",SUM(Sheet1!D90:D91)),"")</f>
        <v>7.0595999999999997</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-8.0000000000000175E-3</v>
      </c>
      <c r="J52" s="1070"/>
      <c r="K52" s="1070"/>
      <c r="L52" s="1070"/>
      <c r="M52" s="683"/>
      <c r="N52" s="1071">
        <f>IF(SUM(N49:N51)=0,"",SUM(N49:N51))</f>
        <v>134.8223495</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-3.7411937377690827</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0</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229.01903234921301</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-0.23759228320397527</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0</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11.266177727169243</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-158.71731008717319</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0</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12051.068909700503</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-11.334191473572488</v>
      </c>
      <c r="BQ83" s="733">
        <f>BP83+BQ78</f>
        <v>41</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I12" sqref="I12"/>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Brown Manor</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10" t="s">
        <v>1282</v>
      </c>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1"/>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1"/>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7" t="s">
        <v>1281</v>
      </c>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1"/>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MG/Yr</v>
      </c>
    </row>
    <row r="79" spans="1:6" ht="16.5">
      <c r="B79" s="52"/>
      <c r="C79" s="52"/>
      <c r="D79" s="52"/>
      <c r="E79" s="9" t="str">
        <f>IFERROR("Total Cost of NRW = $"&amp;TEXT(SUM(D90,D91,D94,D95,D96,D98),"#,###")&amp;"/Yr","")</f>
        <v>Total Cost of NRW = $135/Yr</v>
      </c>
      <c r="F79" s="52"/>
    </row>
    <row r="80" spans="1:6">
      <c r="A80"/>
      <c r="B80"/>
      <c r="C80" s="53" t="str">
        <f>"Volume ("&amp;Worksheet!J15&amp;")"</f>
        <v>Volume (MG/Yr)</v>
      </c>
      <c r="D80" s="53" t="s">
        <v>149</v>
      </c>
      <c r="E80" s="94" t="s">
        <v>1087</v>
      </c>
      <c r="F80"/>
    </row>
    <row r="81" spans="1:6">
      <c r="A81" s="46" t="s">
        <v>129</v>
      </c>
      <c r="B81" s="46"/>
      <c r="C81" s="122">
        <f>IF(Dashboard!BO$2&gt;0,"",Worksheet!H15)</f>
        <v>1.2390000000000001</v>
      </c>
      <c r="D81" s="123">
        <f>IF(Dashboard!BO$2&gt;0,"",C81*(Worksheet!$H$77))</f>
        <v>728.90369999999996</v>
      </c>
      <c r="E81" s="605">
        <f>D81</f>
        <v>728.90369999999996</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1.2390000000000001</v>
      </c>
      <c r="D87" s="123">
        <f>IF(Dashboard!BO$2&gt;0,"",C87*(Worksheet!$H$77))</f>
        <v>728.90369999999996</v>
      </c>
      <c r="E87" s="605">
        <f t="shared" si="0"/>
        <v>728.90369999999996</v>
      </c>
      <c r="F87"/>
    </row>
    <row r="88" spans="1:6">
      <c r="A88" t="s">
        <v>55</v>
      </c>
      <c r="B88"/>
      <c r="C88" s="122">
        <f>IF(Dashboard!BO$2&gt;0,"",Worksheet!H23)</f>
        <v>1.2470000000000001</v>
      </c>
      <c r="D88" s="123">
        <f>IF(Dashboard!BO$2&gt;0,"",C88*(Worksheet!$H$76*1000))</f>
        <v>10275.280000000001</v>
      </c>
      <c r="E88" s="605">
        <f t="shared" si="0"/>
        <v>10275.280000000001</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1.2E-2</v>
      </c>
      <c r="D91" s="127">
        <f>IF(Dashboard!BO$2&gt;0,"",IF(ISBLANK('Start Page'!AB22),"",IF(AND(ISBLANK(Worksheet!H77),Worksheet!Z77&lt;&gt;1),"",Worksheet!H26*(IF(Dashboard!BD29=FALSE,Worksheet!H77,IF(Dashboard!BD29=TRUE,Worksheet!H76*INDEX(Sheet1!B2:D4,MATCH('Start Page'!AB22,Sheet1!A2:A4,0),MATCH(Worksheet!J76,Sheet1!B1:D1,0)),""))))))</f>
        <v>7.0595999999999997</v>
      </c>
      <c r="E91" s="606">
        <f t="shared" si="0"/>
        <v>7.0595999999999997</v>
      </c>
      <c r="F91"/>
    </row>
    <row r="92" spans="1:6">
      <c r="A92" s="158" t="s">
        <v>2</v>
      </c>
      <c r="B92" s="125" t="s">
        <v>241</v>
      </c>
      <c r="C92" s="122">
        <f>IF(Dashboard!BO$2&gt;0,"",Worksheet!H30)</f>
        <v>1.2590000000000001</v>
      </c>
      <c r="D92" s="123">
        <f>IF(Dashboard!BO$2&gt;0,"",C92*(Worksheet!$H$76*1000))</f>
        <v>10374.160000000002</v>
      </c>
      <c r="E92" s="605">
        <f t="shared" si="0"/>
        <v>10374.160000000002</v>
      </c>
      <c r="F92"/>
    </row>
    <row r="93" spans="1:6">
      <c r="A93" t="s">
        <v>51</v>
      </c>
      <c r="B93"/>
      <c r="C93" s="122">
        <f>IF(Dashboard!BO$2&gt;0,"",Worksheet!H35)</f>
        <v>-2.0000000000000018E-2</v>
      </c>
      <c r="D93" s="123"/>
      <c r="E93" s="605">
        <f t="shared" si="0"/>
        <v>0</v>
      </c>
      <c r="F93"/>
    </row>
    <row r="94" spans="1:6">
      <c r="A94" s="223" t="s">
        <v>680</v>
      </c>
      <c r="B94" s="46"/>
      <c r="C94" s="126">
        <f>IF(Dashboard!BO$2&gt;0,"",Worksheet!H43)</f>
        <v>3.1175000000000005E-3</v>
      </c>
      <c r="D94" s="127">
        <f>IF(Dashboard!BO$2&gt;0,"",IF(ISBLANK('Start Page'!AB22),"",IF(AND(ISBLANK(Worksheet!H77),Worksheet!Z77&lt;&gt;1),"",C94*Worksheet!H76*INDEX(Sheet1!B2:D4,MATCH('Start Page'!AB22,Sheet1!A2:A4,0),MATCH(Worksheet!J76,Sheet1!B1:D1,0)))))</f>
        <v>25.688200000000005</v>
      </c>
      <c r="E94" s="606">
        <f t="shared" si="0"/>
        <v>25.688200000000005</v>
      </c>
      <c r="F94" s="128"/>
    </row>
    <row r="95" spans="1:6">
      <c r="A95" s="223" t="s">
        <v>681</v>
      </c>
      <c r="B95" s="46"/>
      <c r="C95" s="126">
        <f>IF(Dashboard!BO$2&gt;0,"",Worksheet!H41)</f>
        <v>1.2E-2</v>
      </c>
      <c r="D95" s="127">
        <f>IF(Dashboard!BO$2&gt;0,"",IF(ISBLANK('Start Page'!AB22),"",IF(AND(ISBLANK(Worksheet!H77),Worksheet!Z77&lt;&gt;1),"",C95*Worksheet!H76*INDEX(Sheet1!B2:D4,MATCH('Start Page'!AB22,Sheet1!A2:A4,0),MATCH(Worksheet!J76,Sheet1!B1:D1,0)))))</f>
        <v>98.88000000000001</v>
      </c>
      <c r="E95" s="606">
        <f t="shared" si="0"/>
        <v>98.88000000000001</v>
      </c>
      <c r="F95" s="128"/>
    </row>
    <row r="96" spans="1:6">
      <c r="A96" s="223" t="s">
        <v>682</v>
      </c>
      <c r="B96" s="46"/>
      <c r="C96" s="126">
        <f>IF(Dashboard!BO$2&gt;0,"",Worksheet!H39)</f>
        <v>3.1175000000000005E-3</v>
      </c>
      <c r="D96" s="127">
        <f>IF(Dashboard!BO$2&gt;0,"",IF(ISBLANK('Start Page'!AB22),"",IF(AND(ISBLANK(Worksheet!H77),Worksheet!Z77&lt;&gt;1),"",C96*Worksheet!H76*INDEX(Sheet1!B2:D4,MATCH('Start Page'!AB22,Sheet1!A2:A4,0),MATCH(Worksheet!J76,Sheet1!B1:D1,0)))))</f>
        <v>25.688200000000005</v>
      </c>
      <c r="E96" s="606">
        <f t="shared" si="0"/>
        <v>25.688200000000005</v>
      </c>
      <c r="F96" s="128"/>
    </row>
    <row r="97" spans="1:7">
      <c r="A97" t="s">
        <v>42</v>
      </c>
      <c r="B97"/>
      <c r="C97" s="122">
        <f>IF(Dashboard!BO$2&gt;0,"",Worksheet!H46)</f>
        <v>1.8235000000000001E-2</v>
      </c>
      <c r="D97" s="123">
        <f>IF(Dashboard!BO$2&gt;0,"",SUM(D94:D96))</f>
        <v>150.25640000000001</v>
      </c>
      <c r="E97" s="605">
        <f t="shared" si="0"/>
        <v>150.25640000000001</v>
      </c>
      <c r="F97"/>
    </row>
    <row r="98" spans="1:7">
      <c r="A98" s="54" t="str">
        <f>"Real Losses valued at "&amp;A76&amp;""</f>
        <v xml:space="preserve">Real Losses valued at </v>
      </c>
      <c r="B98" s="46"/>
      <c r="C98" s="126">
        <f>IF(Dashboard!BO$2&gt;0,"",Worksheet!H51)</f>
        <v>-3.8235000000000019E-2</v>
      </c>
      <c r="D98" s="127">
        <f>IF(Dashboard!BO$2&gt;0,"",Dashboard!N50)</f>
        <v>-22.493650500000008</v>
      </c>
      <c r="E98" s="606">
        <f t="shared" si="0"/>
        <v>-22.493650500000008</v>
      </c>
      <c r="F98" s="605"/>
    </row>
    <row r="99" spans="1:7">
      <c r="A99" t="s">
        <v>74</v>
      </c>
      <c r="B99"/>
      <c r="C99" s="122">
        <f>IF(Dashboard!BO$2&gt;0,"",Worksheet!H57)</f>
        <v>-8.0000000000000175E-3</v>
      </c>
      <c r="D99" s="124">
        <f>IF(Dashboard!BO$2&gt;0,"",D97+D98+D90+D91)</f>
        <v>134.8223495</v>
      </c>
      <c r="E99" s="605">
        <f t="shared" si="0"/>
        <v>134.8223495</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Brown Manor</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1.2470000000000001</v>
      </c>
      <c r="H12" s="362"/>
      <c r="I12" s="5"/>
      <c r="K12" s="898"/>
    </row>
    <row r="13" spans="2:16" ht="22.5" customHeight="1">
      <c r="B13" s="1113"/>
      <c r="C13" s="363"/>
      <c r="D13" s="360"/>
      <c r="E13" s="1122"/>
      <c r="F13" s="365">
        <f>Worksheet!H23+Worksheet!H24</f>
        <v>1.2470000000000001</v>
      </c>
      <c r="G13" s="366" t="s">
        <v>1092</v>
      </c>
      <c r="H13" s="367">
        <f>SUM(G12+G14)</f>
        <v>1.2470000000000001</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1.2590000000000001</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1.2390000000000001</v>
      </c>
      <c r="C17" s="378"/>
      <c r="D17" s="379"/>
      <c r="E17" s="250"/>
      <c r="F17" s="380">
        <f>Worksheet!H25+Worksheet!H26</f>
        <v>1.2E-2</v>
      </c>
      <c r="G17" s="364" t="s">
        <v>1094</v>
      </c>
      <c r="H17" s="362"/>
      <c r="I17" s="5"/>
      <c r="K17" s="46"/>
      <c r="L17" s="121"/>
      <c r="M17" s="121"/>
      <c r="N17" s="121"/>
      <c r="O17" s="121"/>
      <c r="P17" s="121"/>
    </row>
    <row r="18" spans="2:16" ht="15.75" customHeight="1">
      <c r="B18" s="375"/>
      <c r="C18" s="1134" t="s">
        <v>765</v>
      </c>
      <c r="D18" s="360"/>
      <c r="E18" s="381"/>
      <c r="F18" s="370"/>
      <c r="G18" s="382">
        <f>Worksheet!H26</f>
        <v>1.2E-2</v>
      </c>
      <c r="H18" s="362"/>
      <c r="I18" s="5"/>
      <c r="K18" s="46"/>
    </row>
    <row r="19" spans="2:16" ht="22.5" customHeight="1">
      <c r="B19" s="375"/>
      <c r="C19" s="1134"/>
      <c r="D19" s="383" t="s">
        <v>118</v>
      </c>
      <c r="E19" s="356"/>
      <c r="F19" s="384"/>
      <c r="G19" s="600" t="s">
        <v>697</v>
      </c>
      <c r="H19" s="385">
        <f>Worksheet!H25+Worksheet!H26+Worksheet!H46+Worksheet!H51</f>
        <v>-8.0000000000000175E-3</v>
      </c>
      <c r="I19" s="5"/>
      <c r="K19" s="46"/>
      <c r="L19" s="121"/>
      <c r="M19" s="121"/>
      <c r="N19" s="121"/>
      <c r="O19" s="121"/>
      <c r="P19" s="121"/>
    </row>
    <row r="20" spans="2:16" ht="15.75" customHeight="1">
      <c r="B20" s="375"/>
      <c r="C20" s="386">
        <f>B17+B27</f>
        <v>1.2390000000000001</v>
      </c>
      <c r="D20" s="360"/>
      <c r="E20" s="250"/>
      <c r="F20" s="387" t="s">
        <v>52</v>
      </c>
      <c r="G20" s="376">
        <f>Worksheet!H39</f>
        <v>3.1175000000000005E-3</v>
      </c>
      <c r="H20" s="362"/>
      <c r="I20" s="5"/>
      <c r="K20" s="46"/>
    </row>
    <row r="21" spans="2:16" ht="14.25" customHeight="1">
      <c r="B21" s="388"/>
      <c r="C21" s="389"/>
      <c r="D21" s="386">
        <f>Worksheet!H19</f>
        <v>1.2390000000000001</v>
      </c>
      <c r="E21" s="390"/>
      <c r="F21" s="380">
        <f>Worksheet!H46</f>
        <v>1.8235000000000001E-2</v>
      </c>
      <c r="G21" s="364" t="s">
        <v>696</v>
      </c>
      <c r="H21" s="362"/>
      <c r="I21" s="5"/>
      <c r="K21" s="46"/>
      <c r="L21" s="121"/>
      <c r="M21" s="121"/>
      <c r="N21" s="121"/>
      <c r="O21" s="121"/>
      <c r="P21" s="121"/>
    </row>
    <row r="22" spans="2:16" ht="15.75" customHeight="1">
      <c r="B22" s="375"/>
      <c r="C22" s="359"/>
      <c r="D22" s="360"/>
      <c r="E22" s="250"/>
      <c r="F22" s="390"/>
      <c r="G22" s="391">
        <f>Worksheet!H41</f>
        <v>1.2E-2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3.1175000000000005E-3</v>
      </c>
      <c r="H24" s="362"/>
      <c r="I24" s="5"/>
      <c r="K24" s="46"/>
    </row>
    <row r="25" spans="2:16" ht="26.25" customHeight="1">
      <c r="B25" s="1112" t="s">
        <v>1089</v>
      </c>
      <c r="C25" s="363"/>
      <c r="D25" s="360"/>
      <c r="E25" s="393">
        <f>Worksheet!H53</f>
        <v>-2.0000000000000018E-2</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-3.8235000000000019E-2</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Brown Manor</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2023</v>
      </c>
      <c r="H5" s="1154" t="str">
        <f>IF(ISBLANK('Start Page'!AB20),"",TEXT('Start Page'!AB20,"mmm dd yyyy")&amp;" - "&amp;TEXT('Start Page'!AB21,"mmm dd yyyy"))</f>
        <v>Jan 01 2023 - Dec 31 2023</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4</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6</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5</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62.150943396226417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9835133F-FFB1-40E9-B5CB-1F0C964C986C}"/>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2024-02-27T12:55:12Z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