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CE769940-D293-4145-9B09-C9F5C2C4DE37}" xr6:coauthVersionLast="47" xr6:coauthVersionMax="47" xr10:uidLastSave="{00000000-0000-0000-0000-000000000000}"/>
  <workbookProtection workbookPassword="FDB7" lockStructure="1"/>
  <bookViews>
    <workbookView xWindow="2868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71" i="53" s="1"/>
  <c r="BS57"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I350" i="56" l="1" a="1"/>
  <c r="I350" i="56" s="1"/>
  <c r="D350" i="56" s="1"/>
  <c r="F61" i="22" s="1"/>
  <c r="E396" i="56"/>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<sst xmlns="http://schemas.openxmlformats.org/spreadsheetml/2006/main" count="2545" uniqueCount="1282">
  <si>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</si>
  <si>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</si>
  <si>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</si>
  <si>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</si>
  <si>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</si>
  <si>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</si>
  <si>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</si>
  <si>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</si>
  <si>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</si>
  <si>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</si>
  <si>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</si>
  <si>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</si>
  <si>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</si>
  <si>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</si>
  <si>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</si>
  <si>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</si>
  <si>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</si>
  <si>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</si>
  <si>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</si>
  <si>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</si>
  <si>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</si>
  <si>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</si>
  <si>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</si>
  <si>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</si>
  <si>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</si>
  <si>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</si>
  <si>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</si>
  <si>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</si>
  <si>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</si>
  <si>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</si>
  <si>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</si>
  <si>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</si>
  <si>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</si>
  <si>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</si>
  <si>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</si>
  <si>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</si>
  <si>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</si>
  <si>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</si>
  <si>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</si>
  <si>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</si>
  <si>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</si>
  <si>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</si>
  <si>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</si>
  <si>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</si>
  <si>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</si>
  <si>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</si>
  <si>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</si>
  <si>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</si>
  <si>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</si>
  <si>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</si>
  <si>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</si>
  <si>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</si>
  <si>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</si>
  <si>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</si>
  <si>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</si>
  <si>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</si>
  <si>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</si>
  <si>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</si>
  <si>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</si>
  <si>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</si>
  <si>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</si>
  <si>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</si>
  <si>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</si>
  <si>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</si>
  <si>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</si>
  <si>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</si>
  <si>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</si>
  <si>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</si>
  <si>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</si>
  <si>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</si>
  <si>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</si>
  <si>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</si>
  <si>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</si>
  <si>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</si>
  <si>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</si>
  <si>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</si>
  <si>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</si>
  <si>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</si>
  <si>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</si>
  <si>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</si>
  <si>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</si>
  <si>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</si>
  <si>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</si>
  <si>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</si>
  <si>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</si>
  <si>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</si>
  <si>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</si>
  <si>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</si>
  <si>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</si>
  <si>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</si>
  <si>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</si>
  <si>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</si>
  <si>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</si>
  <si>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</si>
  <si>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</si>
  <si>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</si>
  <si>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</si>
  <si>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</si>
  <si>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</si>
  <si>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</si>
  <si>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</si>
  <si>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</si>
  <si>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</si>
  <si>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</si>
  <si>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</si>
  <si>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</si>
  <si>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</si>
  <si>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</si>
  <si>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</si>
  <si>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</si>
  <si>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</si>
  <si>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</si>
  <si>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</si>
  <si>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</si>
  <si>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</si>
  <si>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</si>
  <si>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</si>
  <si>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</si>
  <si>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</si>
  <si>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</si>
  <si>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</si>
  <si>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</si>
  <si>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</si>
  <si>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</si>
  <si>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</si>
  <si>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</si>
  <si>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</si>
  <si>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</si>
  <si>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</si>
  <si>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</si>
  <si>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</si>
  <si>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</si>
  <si>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</si>
  <si>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</si>
  <si>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</si>
  <si>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</si>
  <si>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</si>
  <si>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</si>
  <si>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</si>
  <si>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</si>
  <si>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</si>
  <si>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</si>
  <si>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</si>
  <si>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</si>
  <si>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</si>
  <si>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</si>
  <si>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</si>
  <si>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</si>
  <si>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</si>
  <si>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</si>
  <si>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</si>
  <si>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</si>
  <si>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</si>
  <si>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</si>
  <si>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</si>
  <si>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</si>
  <si>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</si>
  <si>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</si>
  <si>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</si>
  <si>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</si>
  <si>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</si>
  <si>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</si>
  <si>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</si>
  <si>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</si>
  <si>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</si>
  <si>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</si>
  <si>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</si>
  <si>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</si>
  <si>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</si>
  <si>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</si>
  <si>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</si>
  <si>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</si>
  <si>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</si>
  <si>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</si>
  <si>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</si>
  <si>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</si>
  <si>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</si>
  <si>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</si>
  <si>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</si>
  <si>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</si>
  <si>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</si>
  <si>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</si>
  <si>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</si>
  <si>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</si>
  <si>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</si>
  <si>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</si>
  <si>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</si>
  <si>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</si>
  <si>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</si>
  <si>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</si>
  <si>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</si>
  <si>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</si>
  <si>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</si>
  <si>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</si>
  <si>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</si>
  <si>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</si>
  <si>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</si>
  <si>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</si>
  <si>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</si>
  <si>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</si>
  <si>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</si>
  <si>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</si>
  <si>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</si>
  <si>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</si>
  <si>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</si>
  <si>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</si>
  <si>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</si>
  <si>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</si>
  <si>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</si>
  <si>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</si>
  <si>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</si>
  <si>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</si>
  <si>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</si>
  <si>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</si>
  <si>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</si>
  <si>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</si>
  <si>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</si>
  <si>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</si>
  <si>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</si>
  <si>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</si>
  <si>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</si>
  <si>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</si>
  <si>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</si>
  <si>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</si>
  <si>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</si>
  <si>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</si>
  <si>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</si>
  <si>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</si>
  <si>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</si>
  <si>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</si>
  <si>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</si>
  <si>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</si>
  <si>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</si>
  <si>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</si>
  <si>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</si>
  <si>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</si>
  <si>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</si>
  <si>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</si>
  <si>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</si>
  <si>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</si>
  <si>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</si>
  <si>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</si>
  <si>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</si>
  <si>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</si>
  <si>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</si>
  <si>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</si>
  <si>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</si>
  <si>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</si>
  <si>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</si>
  <si>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</si>
  <si>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</si>
  <si>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</si>
  <si>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</si>
  <si>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</si>
  <si>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</si>
  <si>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</si>
  <si>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</si>
  <si>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</si>
  <si>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</si>
  <si>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</si>
  <si>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</si>
  <si>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</si>
  <si>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</si>
  <si>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</si>
  <si>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</si>
  <si>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</si>
  <si>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</si>
  <si>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</si>
  <si>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</si>
  <si>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</si>
  <si>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</si>
  <si>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</si>
  <si>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</si>
  <si>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</si>
  <si>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</si>
  <si>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</si>
  <si>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</si>
  <si>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</si>
  <si>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</si>
  <si>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</si>
  <si>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</si>
  <si>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</si>
  <si>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</si>
  <si>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</si>
  <si>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</si>
  <si>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</si>
  <si>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</si>
  <si>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</si>
  <si>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</si>
  <si>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</si>
  <si>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</si>
  <si>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</si>
  <si>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</si>
  <si>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</si>
  <si>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</si>
  <si>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</si>
  <si>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</si>
  <si>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</si>
  <si>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</si>
  <si>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</si>
  <si>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</si>
  <si>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</si>
  <si>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</si>
  <si>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</si>
  <si>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</si>
  <si>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</si>
  <si>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</si>
  <si>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</si>
  <si>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</si>
  <si>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</si>
  <si>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</si>
  <si>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</si>
  <si>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</si>
  <si>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</si>
  <si>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</si>
  <si>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</si>
  <si>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</si>
  <si>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</si>
  <si>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</si>
  <si>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</si>
  <si>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</si>
  <si>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</si>
  <si>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</si>
  <si>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</si>
  <si>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</si>
  <si>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</si>
  <si>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</si>
  <si>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</si>
  <si>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</si>
  <si>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</si>
  <si>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</si>
  <si>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</si>
  <si>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</si>
  <si>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</si>
  <si>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</si>
  <si>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</si>
  <si>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</si>
  <si>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</si>
  <si>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</si>
  <si>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</si>
  <si>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</si>
  <si>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</si>
  <si>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</si>
  <si>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</si>
  <si>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</si>
  <si>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</si>
  <si>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</si>
  <si>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</si>
  <si>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</si>
  <si>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</si>
  <si>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</si>
  <si>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</si>
  <si>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</si>
  <si>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</si>
  <si>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</si>
  <si>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</si>
  <si>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</si>
  <si>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</si>
  <si>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</si>
  <si>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</si>
  <si>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</si>
  <si>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</si>
  <si>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</si>
  <si>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</si>
  <si>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</si>
  <si>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</si>
  <si>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</si>
  <si>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</si>
  <si>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</si>
  <si>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</si>
  <si>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</si>
  <si>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</si>
  <si>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</si>
  <si>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</si>
  <si>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</si>
  <si>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</si>
  <si>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</si>
  <si>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</si>
  <si>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</si>
  <si>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</si>
  <si>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</si>
  <si>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</si>
  <si>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</si>
  <si>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</si>
  <si>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</si>
  <si>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</si>
  <si>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</si>
  <si>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</si>
  <si>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</si>
  <si>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</si>
  <si>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</si>
  <si>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</si>
  <si>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</si>
  <si>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</si>
  <si>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</si>
  <si>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</si>
  <si>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</si>
  <si>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</si>
  <si>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</si>
  <si>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</si>
  <si>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</si>
  <si>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</si>
  <si>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</si>
  <si>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</si>
  <si>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</si>
  <si>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</si>
  <si>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</si>
  <si>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</si>
  <si>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</si>
  <si>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</si>
  <si>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</si>
  <si>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</si>
  <si>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</si>
  <si>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</si>
  <si>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</si>
  <si>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</si>
  <si>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</si>
  <si>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</si>
  <si>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</si>
  <si>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</si>
  <si>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</si>
  <si>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</si>
  <si>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</si>
  <si>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</si>
  <si>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</si>
  <si>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</si>
  <si>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</si>
  <si>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</si>
  <si>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</si>
  <si>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</si>
  <si>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</si>
  <si>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</si>
  <si>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</si>
  <si>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</si>
  <si>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</si>
  <si>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</si>
  <si>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</si>
  <si>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</si>
  <si>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</si>
  <si>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</si>
  <si>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</si>
  <si>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</si>
  <si>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</si>
  <si>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</si>
  <si>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</si>
  <si>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</si>
  <si>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</si>
  <si>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</si>
  <si>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</si>
  <si>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</si>
  <si>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</si>
  <si>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</si>
  <si>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</si>
  <si>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</si>
  <si>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</si>
  <si>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</si>
  <si>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</si>
  <si>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</si>
  <si>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</si>
  <si>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</si>
  <si>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</si>
  <si>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</si>
  <si>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</si>
  <si>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</si>
  <si>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</si>
  <si>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</si>
  <si>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</si>
  <si>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</si>
  <si>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</si>
  <si>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</si>
  <si>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</si>
  <si>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</si>
  <si>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</si>
  <si>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</si>
  <si>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</si>
  <si>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</si>
  <si>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</si>
  <si>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</si>
  <si>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</si>
  <si>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</si>
  <si>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</si>
  <si>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</si>
  <si>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</si>
  <si>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</si>
  <si>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</si>
  <si>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</si>
  <si>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</si>
  <si>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</si>
  <si>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</si>
  <si>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</si>
  <si>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</si>
  <si>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</si>
  <si>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</si>
  <si>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</si>
  <si>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</si>
  <si>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</si>
  <si>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</si>
  <si>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</si>
  <si>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</si>
  <si>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</si>
  <si>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</si>
  <si>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</si>
  <si>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</si>
  <si>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</si>
  <si>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</si>
  <si>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</si>
  <si>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</si>
  <si>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</si>
  <si>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</si>
  <si>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</si>
  <si>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</si>
  <si>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</si>
  <si>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</si>
  <si>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</si>
  <si>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</si>
  <si>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</si>
  <si>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</si>
  <si>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</si>
  <si>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</si>
  <si>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</si>
  <si>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</si>
  <si>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</si>
  <si>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</si>
  <si>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</si>
  <si>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</si>
  <si>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</si>
  <si>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</si>
  <si>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</si>
  <si>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</si>
  <si>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</si>
  <si>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</si>
  <si>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</si>
  <si>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</si>
  <si>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</si>
  <si>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</si>
  <si>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</si>
  <si>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</si>
  <si>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</si>
  <si>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</si>
  <si>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</si>
  <si>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</si>
  <si>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</si>
  <si>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</si>
  <si>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</si>
  <si>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</si>
  <si>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</si>
  <si>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</si>
  <si>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</si>
  <si>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</si>
  <si>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</si>
  <si>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</si>
  <si>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</si>
  <si>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</si>
  <si>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</si>
  <si>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</si>
  <si>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</si>
  <si>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</si>
  <si>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</si>
  <si>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</si>
  <si>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</si>
  <si>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</si>
  <si>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</si>
  <si>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</si>
  <si>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</si>
  <si>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</si>
  <si>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</si>
  <si>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</si>
  <si>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</si>
  <si>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</si>
  <si>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</si>
  <si>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</si>
  <si>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</si>
  <si>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</si>
  <si>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</si>
  <si>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</si>
  <si>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</si>
  <si>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</si>
  <si>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</si>
  <si>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</si>
  <si>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</si>
  <si>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</si>
  <si>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</si>
  <si>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</si>
  <si>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</si>
  <si>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</si>
  <si>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</si>
  <si>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</si>
  <si>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</si>
  <si>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</si>
  <si>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</si>
  <si>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</si>
  <si>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</si>
  <si>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</si>
  <si>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</si>
  <si>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</si>
  <si>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</si>
  <si>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</si>
  <si>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</si>
  <si>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</si>
  <si>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</si>
  <si>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</si>
  <si>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</si>
  <si>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</si>
  <si>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</si>
  <si>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</si>
  <si>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</si>
  <si>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</si>
  <si>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</si>
  <si>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</si>
  <si>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</si>
  <si>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</si>
  <si>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</si>
  <si>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</si>
  <si>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</si>
  <si>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</si>
  <si>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</si>
  <si>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</si>
  <si>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</si>
  <si>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</si>
  <si>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</si>
  <si>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</si>
  <si>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</si>
  <si>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</si>
  <si>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</si>
  <si>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</si>
  <si>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</si>
  <si>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</si>
  <si>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</si>
  <si>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</si>
  <si>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</si>
  <si>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</si>
  <si>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</si>
  <si>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</si>
  <si>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</si>
  <si>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</si>
  <si>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</si>
  <si>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</si>
  <si>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</si>
  <si>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</si>
  <si>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</si>
  <si>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</si>
  <si>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</si>
  <si>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</si>
  <si>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</si>
  <si>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</si>
  <si>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</si>
  <si>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</si>
  <si>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</si>
  <si>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</si>
  <si>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</si>
  <si>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</si>
  <si>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</si>
  <si>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</si>
  <si>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</si>
  <si>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</si>
  <si>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</si>
  <si>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</si>
  <si>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</si>
  <si>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</si>
  <si>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</si>
  <si>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</si>
  <si>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</si>
  <si>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</si>
  <si>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</si>
  <si>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</si>
  <si>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</si>
  <si>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</si>
  <si>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</si>
  <si>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</si>
  <si>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</si>
  <si>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</si>
  <si>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</si>
  <si>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</si>
  <si>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</si>
  <si>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</si>
  <si>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</si>
  <si>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</si>
  <si>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</si>
  <si>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</si>
  <si>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</si>
  <si>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</si>
  <si>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</si>
  <si>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</si>
  <si>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</si>
  <si>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</si>
  <si>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</si>
  <si>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</si>
  <si>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</si>
  <si>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</si>
  <si>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</si>
  <si>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</si>
  <si>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</si>
  <si>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</si>
  <si>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</si>
  <si>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</si>
  <si>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</si>
  <si>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</si>
  <si>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</si>
  <si>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</si>
  <si>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</si>
  <si>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</si>
  <si>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</si>
  <si>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</si>
  <si>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</si>
  <si>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</si>
  <si>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</si>
  <si>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</si>
  <si>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</si>
  <si>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</si>
  <si>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</si>
  <si>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</si>
  <si>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</si>
  <si>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</si>
  <si>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</si>
  <si>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</si>
  <si>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</si>
  <si>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</si>
  <si>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</si>
  <si>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</si>
  <si>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</si>
  <si>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</si>
  <si>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</si>
  <si>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</si>
  <si>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</si>
  <si>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</si>
  <si>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</si>
  <si>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</si>
  <si>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</si>
  <si>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</si>
  <si>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</si>
  <si>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</si>
  <si>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</si>
  <si>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</si>
  <si>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</si>
  <si>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</si>
  <si>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</si>
  <si>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</si>
  <si>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</si>
  <si>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</si>
  <si>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</si>
  <si>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</si>
  <si>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</si>
  <si>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</si>
  <si>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</si>
  <si>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</si>
  <si>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</si>
  <si>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</si>
  <si>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</si>
  <si>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</si>
  <si>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</si>
  <si>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</si>
  <si>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</si>
  <si>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</si>
  <si>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</si>
  <si>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</si>
  <si>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</si>
  <si>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</si>
  <si>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</si>
  <si>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</si>
  <si>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</si>
  <si>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</si>
  <si>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</si>
  <si>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</si>
  <si>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</si>
  <si>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</si>
  <si>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</si>
  <si>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</si>
  <si>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</si>
  <si>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</si>
  <si>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</si>
  <si>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</si>
  <si>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</si>
  <si>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</si>
  <si>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</si>
  <si>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</si>
  <si>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</si>
  <si>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</si>
  <si>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</si>
  <si>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</si>
  <si>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</si>
  <si>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</si>
  <si>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</si>
  <si>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</si>
  <si>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</si>
  <si>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</si>
  <si>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</si>
  <si>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</si>
  <si>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</si>
  <si>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</si>
  <si>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</si>
  <si>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</si>
  <si>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</si>
  <si>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</si>
  <si>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</si>
  <si>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</si>
  <si>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</si>
  <si>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</si>
  <si>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</si>
  <si>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</si>
  <si>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</si>
  <si>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</si>
  <si>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</si>
  <si>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</si>
  <si>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</si>
  <si>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</si>
  <si>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</si>
  <si>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</si>
  <si>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</si>
  <si>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</si>
  <si>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</si>
  <si>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</si>
  <si>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</si>
  <si>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</si>
  <si>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</si>
  <si>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</si>
  <si>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</si>
  <si>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</si>
  <si>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</si>
  <si>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</si>
  <si>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</si>
  <si>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</si>
  <si>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</si>
  <si>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</si>
  <si>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</si>
  <si>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</si>
  <si>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</si>
  <si>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</si>
  <si>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</si>
  <si>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</si>
  <si>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</si>
  <si>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</si>
  <si>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</si>
  <si>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</si>
  <si>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</si>
  <si>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</si>
  <si>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</si>
  <si>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</si>
  <si>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</si>
  <si>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</si>
  <si>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</si>
  <si>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</si>
  <si>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</si>
  <si>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</si>
  <si>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</si>
  <si>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</si>
  <si>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</si>
  <si>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</si>
  <si>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</si>
  <si>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</si>
  <si>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</si>
  <si>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</si>
  <si>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</si>
  <si>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</si>
  <si>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</si>
  <si>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</si>
  <si>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</si>
  <si>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</si>
  <si>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</si>
  <si>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</si>
  <si>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</si>
  <si>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</si>
  <si>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</si>
  <si>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</si>
  <si>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</si>
  <si>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</si>
  <si>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</si>
  <si>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</si>
  <si>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</si>
  <si>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</si>
  <si>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</si>
  <si>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</si>
  <si>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</si>
  <si>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</si>
  <si>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</si>
  <si>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</si>
  <si>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</si>
  <si>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</si>
  <si>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</si>
  <si>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</si>
  <si>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</si>
  <si>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</si>
  <si>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</si>
  <si>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</si>
  <si>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</si>
  <si>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</si>
  <si>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</si>
  <si>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</si>
  <si>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</si>
  <si>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</si>
  <si>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</si>
  <si>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</si>
  <si>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</si>
  <si>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</si>
  <si>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</si>
  <si>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</si>
  <si>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</si>
  <si>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</si>
  <si>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</si>
  <si>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</si>
  <si>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</si>
  <si>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</si>
  <si>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</si>
  <si>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</si>
  <si>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</si>
  <si>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</si>
  <si>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</si>
  <si>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</si>
  <si>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</si>
  <si>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</si>
  <si>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</si>
  <si>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</si>
  <si>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</si>
  <si>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</si>
  <si>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</si>
  <si>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</si>
  <si>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</si>
  <si>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</si>
  <si>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</si>
  <si>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</si>
  <si>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</si>
  <si>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</si>
  <si>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</si>
  <si>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</si>
  <si>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</si>
  <si>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</si>
  <si>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</si>
  <si>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</si>
  <si>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</si>
  <si>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</si>
  <si>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</si>
  <si>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</si>
  <si>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</si>
  <si>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</si>
  <si>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</si>
  <si>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</si>
  <si>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</si>
  <si>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</si>
  <si>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</si>
  <si>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</si>
  <si>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</si>
  <si>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</si>
  <si>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</si>
  <si>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</si>
  <si>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</si>
  <si>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</si>
  <si>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</si>
  <si>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</si>
  <si>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</si>
  <si>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</si>
  <si>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</si>
  <si>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</si>
  <si>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</si>
  <si>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</si>
  <si>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</si>
  <si>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</si>
  <si>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</si>
  <si>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</si>
  <si>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</si>
  <si>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</si>
  <si>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</si>
  <si>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</si>
  <si>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</si>
  <si>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</si>
  <si>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</si>
  <si>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</si>
  <si>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</si>
  <si>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</si>
  <si>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</si>
  <si>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</si>
  <si>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</si>
  <si>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</si>
  <si>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</si>
  <si>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</si>
  <si>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</si>
  <si>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</si>
  <si>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</si>
  <si>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</si>
  <si>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</si>
  <si>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</si>
  <si>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</si>
  <si>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</si>
  <si>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</si>
  <si>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</si>
  <si>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</si>
  <si>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</si>
  <si>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</si>
  <si>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</si>
  <si>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</si>
  <si>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</si>
  <si>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</si>
  <si>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</si>
  <si>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</si>
  <si>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</si>
  <si>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</si>
  <si>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</si>
  <si>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</si>
  <si>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</si>
  <si>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</si>
  <si>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</si>
  <si>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</si>
  <si>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</si>
  <si>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</si>
  <si>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</si>
  <si>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</si>
  <si>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</si>
  <si>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</si>
  <si>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</si>
  <si>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</si>
  <si>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</si>
  <si>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</si>
  <si>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</si>
  <si>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</si>
  <si>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</si>
  <si>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</si>
  <si>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</si>
  <si>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</si>
  <si>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</si>
  <si>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</si>
  <si>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</si>
  <si>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</si>
  <si>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</si>
  <si>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</si>
  <si>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</si>
  <si>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</si>
  <si>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</si>
  <si>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</si>
  <si>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</si>
  <si>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</si>
  <si>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</si>
  <si>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</si>
  <si>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</si>
  <si>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</si>
  <si>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</si>
  <si>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</si>
  <si>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</si>
  <si>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</si>
  <si>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</si>
  <si>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</si>
  <si>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</si>
  <si>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</si>
  <si>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</si>
  <si>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</si>
  <si>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</si>
  <si>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</si>
  <si>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</si>
  <si>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</si>
  <si>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</si>
  <si>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</si>
  <si>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</si>
  <si>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</si>
  <si>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</si>
  <si>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</si>
  <si>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</si>
  <si>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</si>
  <si>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</si>
  <si>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</si>
  <si>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</si>
  <si>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</si>
  <si>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</si>
  <si>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</si>
  <si>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</si>
  <si>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</si>
  <si>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</si>
  <si>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</si>
  <si>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</si>
  <si>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</si>
  <si>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</si>
  <si>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</si>
  <si>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</si>
  <si>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</si>
  <si>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</si>
  <si>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</si>
  <si>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</si>
  <si>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</si>
  <si>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</si>
  <si>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</si>
  <si>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</si>
  <si>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</si>
  <si>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</si>
  <si>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</si>
  <si>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</si>
  <si>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</si>
  <si>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</si>
  <si>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</si>
  <si>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</si>
  <si>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</si>
  <si>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</si>
  <si>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</si>
  <si>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</si>
  <si>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</si>
  <si>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</si>
  <si>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</si>
  <si>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</si>
  <si>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</si>
  <si>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</si>
  <si>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</si>
  <si>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</si>
  <si>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</si>
  <si>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</si>
  <si>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</si>
  <si>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</si>
  <si>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</si>
  <si>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</si>
  <si>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</si>
  <si>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</si>
  <si>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</si>
  <si>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</si>
  <si>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</si>
  <si>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</si>
  <si>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</si>
  <si>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</si>
  <si>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</si>
  <si>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</si>
  <si>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</si>
  <si>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</si>
  <si>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</si>
  <si>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</si>
  <si>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</si>
  <si>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</si>
  <si>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</si>
  <si>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</si>
  <si>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</si>
  <si>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</si>
  <si>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</si>
  <si>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</si>
  <si>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</si>
  <si>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</si>
  <si>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</si>
  <si>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</si>
  <si>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</si>
  <si>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</si>
  <si>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</si>
  <si>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</si>
  <si>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</si>
  <si>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</si>
  <si>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</si>
  <si>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</si>
  <si>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</si>
  <si>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</si>
  <si>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</si>
  <si>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</si>
  <si>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</si>
  <si>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</si>
  <si>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</si>
  <si>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</si>
  <si>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</si>
  <si>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</si>
  <si>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</si>
  <si>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</si>
  <si>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</si>
  <si>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</si>
  <si>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</si>
  <si>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</si>
  <si>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</si>
  <si>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</si>
  <si>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</si>
  <si>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</si>
  <si>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</si>
  <si>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</si>
  <si>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</si>
  <si>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</si>
  <si>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</si>
  <si>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</si>
  <si>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</si>
  <si>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</si>
  <si>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</si>
  <si>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</si>
  <si>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</si>
  <si>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</si>
  <si>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</si>
  <si>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</si>
  <si>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</si>
  <si>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</si>
  <si>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</si>
  <si>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</si>
  <si>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</si>
  <si>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</si>
  <si>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</si>
  <si>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</si>
  <si>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</si>
  <si>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</si>
  <si>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</si>
  <si>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</si>
  <si>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</si>
  <si>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</si>
  <si>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</si>
  <si>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</si>
  <si>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</si>
  <si>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</si>
  <si>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</si>
  <si>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</si>
  <si>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</si>
  <si>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</si>
  <si>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</si>
  <si>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</si>
  <si>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</si>
  <si>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</si>
  <si>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</si>
  <si>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</si>
  <si>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</si>
  <si>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</si>
  <si>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</si>
  <si>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</si>
  <si>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</si>
  <si>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</si>
  <si>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</si>
  <si>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</si>
  <si>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</si>
  <si>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</si>
  <si>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</si>
  <si>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</si>
  <si>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</si>
  <si>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</si>
  <si>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</si>
  <si>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</si>
  <si>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</si>
  <si>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</si>
  <si>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</si>
  <si>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</si>
  <si>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</si>
  <si>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</si>
  <si>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</si>
  <si>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</si>
  <si>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</si>
  <si>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</si>
  <si>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</si>
  <si>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</si>
  <si>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</si>
  <si>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</si>
  <si>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</si>
  <si>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</si>
  <si>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</si>
  <si>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</si>
  <si>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</si>
  <si>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</si>
  <si>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</si>
  <si>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</si>
  <si>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</si>
  <si>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</si>
  <si>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</si>
  <si>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</si>
  <si>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</si>
  <si>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</si>
  <si>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</si>
  <si>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</si>
  <si>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</si>
  <si>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</si>
  <si>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</si>
  <si>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</si>
  <si>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</si>
  <si>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</si>
  <si>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</si>
  <si>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</si>
  <si>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</si>
  <si>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</si>
  <si>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</si>
  <si>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</si>
  <si>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</si>
  <si>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</si>
  <si>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</si>
  <si>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</si>
  <si>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</si>
  <si>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</si>
  <si>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</si>
  <si>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</si>
  <si>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</si>
  <si>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</si>
  <si>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</si>
  <si>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</si>
  <si>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</si>
  <si>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</si>
  <si>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</si>
  <si>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Harrisburg</t>
  </si>
  <si>
    <t>Matthew Bloom</t>
  </si>
  <si>
    <t>matthew.bloom@veolia.com</t>
  </si>
  <si>
    <t>717-901-6332</t>
  </si>
  <si>
    <t>Harrisburg</t>
  </si>
  <si>
    <t>USA</t>
  </si>
  <si>
    <t>Jan 31 2024</t>
  </si>
  <si>
    <t>7220015</t>
  </si>
  <si>
    <t>NA</t>
  </si>
  <si>
    <t>Includes temporary meter sales (Contractors were billed for water used for new main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</si>
</sst>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74.568410714070879</c:v>
                </c:pt>
                <c:pt idx="1">
                  <c:v>2.0024160337996988</c:v>
                </c:pt>
                <c:pt idx="2">
                  <c:v>173.73117747709176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3.128520627197573</c:v>
                </c:pt>
                <c:pt idx="1">
                  <c:v>0.26113598867139654</c:v>
                </c:pt>
                <c:pt idx="2">
                  <c:v>29.2523419680556</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24.749590516768681</c:v>
                </c:pt>
                <c:pt idx="1">
                  <c:v>0.92482240795754933</c:v>
                </c:pt>
                <c:pt idx="2">
                  <c:v>89.92838806996744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9.4093386383594204</c:v>
                </c:pt>
                <c:pt idx="1">
                  <c:v>0.38772920688421864</c:v>
                </c:pt>
                <c:pt idx="2">
                  <c:v>38.66908301528369</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15.340251878409259</c:v>
                </c:pt>
                <c:pt idx="1">
                  <c:v>0.56875750335916142</c:v>
                </c:pt>
                <c:pt idx="2">
                  <c:v>55.185678538126758</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1,091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36.896999999999998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9.641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27.657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6.9144725000000005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1009.5935274999996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$979,961/Yr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21706.505099999998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79441.84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227893.68000000002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56975.253400000009</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593943.87222824967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17.665808526427512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3.0779052493280727</c:v>
                </c:pt>
                <c:pt idx="1">
                  <c:v>9.0856271993300333E-2</c:v>
                </c:pt>
                <c:pt idx="2">
                  <c:v>8.1882724778411689</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71.439890086873305</c:v>
                </c:pt>
                <c:pt idx="1">
                  <c:v>1.8469276802355887</c:v>
                </c:pt>
                <c:pt idx="2">
                  <c:v>157.5791422623397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5150.0887472696077</c:v>
                </c:pt>
                <c:pt idx="1">
                  <c:v>97.186039594358903</c:v>
                </c:pt>
                <c:pt idx="2" formatCode="_(* #,##0_);_(* \(#,##0\);_(* &quot;-&quot;??_);_(@_)">
                  <c:v>6900.9801624308957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WI"/><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image" Target="../media/image10.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737"/>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738"/>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739"/>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740"/>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741"/>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742"/>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743"/>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744"/>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745"/>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746"/>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747"/>
                  </a:ext>
                </a:extLst>
              </xdr:cNvPicPr>
            </xdr:nvPicPr>
            <xdr:blipFill rotWithShape="1">
              <a:blip xmlns:r="http://schemas.openxmlformats.org/officeDocument/2006/relationships" r:embed="rId14"/>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748"/>
                  </a:ext>
                </a:extLst>
              </xdr:cNvPicPr>
            </xdr:nvPicPr>
            <xdr:blipFill rotWithShape="1">
              <a:blip xmlns:r="http://schemas.openxmlformats.org/officeDocument/2006/relationships" r:embed="rId1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749"/>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750"/>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751"/>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752"/>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753"/>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754"/>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755"/>
                  </a:ext>
                </a:extLst>
              </xdr:cNvPicPr>
            </xdr:nvPicPr>
            <xdr:blipFill rotWithShape="1">
              <a:blip xmlns:r="http://schemas.openxmlformats.org/officeDocument/2006/relationships" r:embed="rId14"/>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5"/>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G19" sqref="BG19"/>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1272</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1273</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1274</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1275</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1277</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t="s">
        <v>1278</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2023</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2023</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44927</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45291</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1279</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1280</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1280</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Q39" sqref="AQ39"/>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Harrisburg</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2023</v>
      </c>
      <c r="E5" s="1028"/>
      <c r="F5" s="1028"/>
      <c r="G5" s="1029"/>
      <c r="H5" s="1021" t="str">
        <f>IF(ISBLANK('Start Page'!AB20),"",TEXT('Start Page'!AB20,"mmm dd yyyy")&amp;" - "&amp;TEXT('Start Page'!AB21,"mmm dd yyyy"))</f>
        <v>Jan 01 2023 - Dec 31 2023</v>
      </c>
      <c r="I5" s="1022"/>
      <c r="J5" s="1023"/>
      <c r="K5" s="1025">
        <f>IF(ISBLANK('Start Page'!AB19),"",'Start Page'!AB19)</f>
        <v>2023</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3856.444</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34.999564370936078</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3856.444</v>
      </c>
    </row>
    <row r="16" spans="1:33">
      <c r="A16" s="91"/>
      <c r="B16" s="562" t="s">
        <v>910</v>
      </c>
      <c r="C16" s="529" t="s">
        <v>40</v>
      </c>
      <c r="D16" s="841" t="s">
        <v>883</v>
      </c>
      <c r="E16" s="577" t="s">
        <v>884</v>
      </c>
      <c r="F16" s="492">
        <f>'Interactive Data Grading'!D74</f>
        <v>3</v>
      </c>
      <c r="G16" s="94"/>
      <c r="H16" s="532">
        <v>4.8000000000000001E-2</v>
      </c>
      <c r="I16" s="269"/>
      <c r="J16" s="270" t="str">
        <f>IF('Start Page'!$AB$22="million gallons (US)","MG/Yr",IF('Start Page'!$AB$22="Megalitres (thousand cubic metres)","ML/Yr",IF('Start Page'!$AB$22="acre-feet","Acre-ft/Yr","")))</f>
        <v>MG/Yr</v>
      </c>
      <c r="K16" s="844" t="s">
        <v>883</v>
      </c>
      <c r="L16" s="607" t="s">
        <v>884</v>
      </c>
      <c r="M16" s="492">
        <f>'Interactive Data Grading'!D96</f>
        <v>4</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4.3562906392649071E-4</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4.8000000000000001E-2</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3856.4919999999997</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3856.4919999999997</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2765.7890000000002</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2765.7890000000002</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36.896999999999998</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36.896999999999998</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2802.6860000000001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1053.8059999999996</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6.9144725000000005</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27.657</v>
      </c>
      <c r="I41" s="280"/>
      <c r="J41" s="270" t="str">
        <f>IF('Start Page'!$AB$22="million gallons (US)","MG/Yr",IF('Start Page'!$AB$22="Megalitres (thousand cubic metres)","ML/Yr",IF('Start Page'!$AB$22="acre-feet","Acre-ft/Yr","")))</f>
        <v>MG/Yr</v>
      </c>
      <c r="K41" s="270"/>
      <c r="L41" s="270"/>
      <c r="M41" s="270"/>
      <c r="N41" s="270"/>
      <c r="O41" s="530"/>
      <c r="P41" s="582" t="s">
        <v>790</v>
      </c>
      <c r="Q41" s="1013">
        <v>27.657</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9.641</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9.641</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44.212472499999997</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27.657</v>
      </c>
      <c r="Y50" s="135">
        <f>IFERROR(IF(W41=1,((H25)/(1-(O41*X41)))-(H25),Q41*H25/(H23+H25)),0)</f>
        <v>0</v>
      </c>
      <c r="Z50" s="923">
        <f>SUM(X50:Y50)</f>
        <v>27.657</v>
      </c>
      <c r="AA50" s="1050"/>
      <c r="AB50" s="1050"/>
      <c r="AC50" s="1050"/>
    </row>
    <row r="51" spans="1:29">
      <c r="A51" s="91"/>
      <c r="B51" s="562"/>
      <c r="C51" s="1030" t="s">
        <v>664</v>
      </c>
      <c r="D51" s="1030"/>
      <c r="E51" s="1030"/>
      <c r="F51" s="1030"/>
      <c r="G51" s="869"/>
      <c r="H51" s="868">
        <f>IFERROR(H35-H46,"")</f>
        <v>1009.5935274999996</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1053.8059999999996</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1090.7029999999995</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537.08000000000004</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38718</v>
      </c>
      <c r="I62" s="291"/>
      <c r="J62" s="292"/>
      <c r="K62" s="101"/>
      <c r="L62" s="101"/>
      <c r="M62" s="292" t="s">
        <v>904</v>
      </c>
      <c r="N62" s="101"/>
      <c r="U62" s="256"/>
      <c r="V62" s="91"/>
    </row>
    <row r="63" spans="1:29">
      <c r="A63" s="91"/>
      <c r="B63" s="562"/>
      <c r="C63" s="529" t="s">
        <v>167</v>
      </c>
      <c r="D63" s="53"/>
      <c r="E63" s="512"/>
      <c r="F63" s="273"/>
      <c r="G63" s="53"/>
      <c r="H63" s="500">
        <f>IF(ISERROR(H62/H61),"",H62/H61)</f>
        <v>72.089819021374836</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70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21312543</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5"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Harrisburg</v>
      </c>
      <c r="C1" s="611"/>
      <c r="D1" s="612"/>
      <c r="E1" s="892" t="s">
        <v>1159</v>
      </c>
    </row>
    <row r="2" spans="1:20" ht="30.6" customHeight="1">
      <c r="A2" s="468"/>
      <c r="B2" s="891">
        <f>IF(ISBLANK('Start Page'!AB18),"",'Start Page'!AB18)</f>
        <v>2023</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f>VLOOKUP(D63,$P$7:$Q$15,2,FALSE)</f>
        <v>1</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262</v>
      </c>
      <c r="E62" s="753"/>
      <c r="F62" s="327"/>
      <c r="I62" s="817"/>
      <c r="J62" s="810" t="s">
        <v>793</v>
      </c>
    </row>
    <row r="63" spans="1:18" ht="17.45" customHeight="1">
      <c r="A63" s="215"/>
      <c r="B63" s="555" t="s">
        <v>347</v>
      </c>
      <c r="C63" s="884" t="str">
        <f>WI!B35</f>
        <v>What percent of water imported is metered?</v>
      </c>
      <c r="D63" s="329" t="s">
        <v>293</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t="s">
        <v>268</v>
      </c>
      <c r="E65" s="753" t="str">
        <f>IFERROR(IF(OR($D$74=10,NOT(ISNUMBER($D$74))),"",IF(I65=$I$74,"Limiting","")),"")</f>
        <v/>
      </c>
      <c r="F65" s="327"/>
      <c r="G65" s="810">
        <f>IFERROR(IF(H63&lt;7,1,IF(LEN(D65)&gt;0,1,0)),"")</f>
        <v>1</v>
      </c>
      <c r="H65" s="818">
        <f>VLOOKUP('Interactive Data Grading'!D65,WI!$D$6:$M$16,10,FALSE)</f>
        <v>5</v>
      </c>
      <c r="I65" s="819">
        <f>IF(AND(H65&gt;=7,H68&gt;=7),MAX(H65,9),IF(AND(H65&gt;3,H65&lt;7,H68&gt;3,H68&lt;7),MAX(H65,H68),IF(H68&gt;=7,MAX(7,H65),H65)))</f>
        <v>5</v>
      </c>
    </row>
    <row r="66" spans="1:18" ht="26.45" customHeight="1">
      <c r="A66" s="215"/>
      <c r="B66" s="555" t="s">
        <v>349</v>
      </c>
      <c r="C66" s="884" t="str">
        <f>WI!B37</f>
        <v>What level of data transfer errors are checked as part of the electronic calibration process?</v>
      </c>
      <c r="D66" s="334" t="s">
        <v>807</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348</v>
      </c>
    </row>
    <row r="67" spans="1:18" ht="18" customHeight="1">
      <c r="A67" s="215"/>
      <c r="B67" s="555" t="s">
        <v>350</v>
      </c>
      <c r="C67" s="884" t="str">
        <f>WI!B38</f>
        <v>Is the most recent electronic calibration documentation available?</v>
      </c>
      <c r="D67" s="329" t="s">
        <v>269</v>
      </c>
      <c r="E67" s="753" t="str">
        <f t="shared" si="5"/>
        <v/>
      </c>
      <c r="F67" s="327"/>
      <c r="G67" s="810">
        <f>IFERROR(IF(H63&lt;7,1,IF(OR(D65=WI!D23,D65=WI!D27),1,IF(LEN(D67)&gt;0,1,0))),"")</f>
        <v>1</v>
      </c>
      <c r="H67" s="818">
        <f>VLOOKUP('Interactive Data Grading'!D67,WI!$F$6:$M$16,8,FALSE)</f>
        <v>5</v>
      </c>
      <c r="I67" s="819" t="e">
        <f>IF(D65=WI!D23,X,IF(AND(H67=5,H69=10),7,H67))</f>
        <v>#N/A</v>
      </c>
      <c r="J67" s="810" t="s">
        <v>348</v>
      </c>
    </row>
    <row r="68" spans="1:18" ht="16.5" customHeight="1">
      <c r="A68" s="215"/>
      <c r="B68" s="555" t="s">
        <v>351</v>
      </c>
      <c r="C68" s="884" t="str">
        <f>WI!B39</f>
        <v>What is the frequency of in-situ flow accuracy testing?</v>
      </c>
      <c r="D68" s="329" t="s">
        <v>1186</v>
      </c>
      <c r="E68" s="753" t="str">
        <f t="shared" si="5"/>
        <v>Limiting</v>
      </c>
      <c r="F68" s="327"/>
      <c r="G68" s="810">
        <f>IFERROR(IF(H63&lt;7,1,IF(LEN(D68)&gt;0,1,0)),"")</f>
        <v>1</v>
      </c>
      <c r="H68" s="818">
        <f>VLOOKUP('Interactive Data Grading'!D68,WI!$G$6:$M$16,7,FALSE)</f>
        <v>3</v>
      </c>
      <c r="I68" s="819">
        <f>IF(AND(H65&gt;=7,H68&gt;=7),MAX(H68,9),IF(AND(H65&gt;3,H65&lt;7,H68&gt;3,H68&lt;7),MAX(H65,H68),IF(H65&gt;=7,MAX(7,H68),H68)))</f>
        <v>3</v>
      </c>
    </row>
    <row r="69" spans="1:18" ht="20.45" customHeight="1">
      <c r="A69" s="215"/>
      <c r="B69" s="555" t="s">
        <v>352</v>
      </c>
      <c r="C69" s="884" t="str">
        <f>WI!B40</f>
        <v>Is the most recent in-situ flow accuracy testing documentation available?</v>
      </c>
      <c r="D69" s="329"/>
      <c r="E69" s="753" t="str">
        <f t="shared" si="5"/>
        <v/>
      </c>
      <c r="F69" s="327"/>
      <c r="G69" s="810">
        <f>IFERROR(IF(H63&lt;7,1,IF(D68=WI!G23,1,IF(LEN(D69)&gt;0,1,0))),"")</f>
        <v>1</v>
      </c>
      <c r="H69" s="818" t="e">
        <f>VLOOKUP('Interactive Data Grading'!D69,WI!$H$6:$M$16,6,FALSE)</f>
        <v>#N/A</v>
      </c>
      <c r="I69" s="819" t="e">
        <f>IF(D68=WI!G23,X,IF(AND(H69=5,H67=10),7,H69))</f>
        <v>#NAME?</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f>IFERROR(IF(H63&lt;7,1,IF(OR(D68=WI!G23,D69=WI!H23),1,IF(LEN(D70)&gt;0,1,0))),"")</f>
        <v>1</v>
      </c>
      <c r="H70" s="818" t="e">
        <f>VLOOKUP('Interactive Data Grading'!D70,WI!$I$6:$M$16,5,FALSE)</f>
        <v>#N/A</v>
      </c>
      <c r="I70" s="819" t="e">
        <f>IF(OR(D68=WI!G23,D69=WI!H23),X,H70)</f>
        <v>#NAME?</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t="s">
        <v>269</v>
      </c>
      <c r="E71" s="753" t="str">
        <f t="shared" si="5"/>
        <v/>
      </c>
      <c r="F71" s="327"/>
      <c r="G71" s="810">
        <f>IFERROR(IF(H63&lt;7,1,IF(AND(OR(D65=WI!D23,D65=WI!D27),D68=WI!G23),1,IF(LEN(D71)&gt;0,1,0))),"")</f>
        <v>1</v>
      </c>
      <c r="H71" s="818">
        <f>VLOOKUP('Interactive Data Grading'!D71,WI!$J$6:$M$16,4,FALSE)</f>
        <v>9</v>
      </c>
      <c r="I71" s="819" t="e">
        <f>IF(OR(D68=WI!G23,D69=WI!H23),X,H71)</f>
        <v>#NAME?</v>
      </c>
      <c r="J71" s="820" t="s">
        <v>814</v>
      </c>
    </row>
    <row r="72" spans="1:18" ht="25.5" customHeight="1">
      <c r="A72" s="215"/>
      <c r="B72" s="555" t="s">
        <v>355</v>
      </c>
      <c r="C72" s="884" t="str">
        <f>WI!B43</f>
        <v>Which best describes the frequency of meter readings (data collection frequency as opposed to billing frequency)?</v>
      </c>
      <c r="D72" s="329" t="s">
        <v>324</v>
      </c>
      <c r="E72" s="753" t="str">
        <f t="shared" si="5"/>
        <v/>
      </c>
      <c r="F72" s="327"/>
      <c r="G72" s="810">
        <f>IFERROR(IF(H63&lt;7,1,IF(LEN(D72)&gt;0,1,0)),"")</f>
        <v>1</v>
      </c>
      <c r="H72" s="818">
        <f>VLOOKUP('Interactive Data Grading'!D72,WI!$K$6:$M$16,3,FALSE)</f>
        <v>10</v>
      </c>
      <c r="I72" s="818">
        <f>H72</f>
        <v>10</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723</v>
      </c>
      <c r="E73" s="753" t="str">
        <f t="shared" si="5"/>
        <v/>
      </c>
      <c r="F73" s="327"/>
      <c r="G73" s="810">
        <f>IFERROR(IF(H63&lt;7,1,IF(LEN(D73)&gt;0,1,0)),"")</f>
        <v>1</v>
      </c>
      <c r="H73" s="818">
        <f>VLOOKUP('Interactive Data Grading'!D73,WI!$L$6:$M$16,2,FALSE)</f>
        <v>10</v>
      </c>
      <c r="I73" s="818">
        <f>H73</f>
        <v>10</v>
      </c>
    </row>
    <row r="74" spans="1:18" ht="27.6" customHeight="1">
      <c r="A74" s="215"/>
      <c r="B74" s="215"/>
      <c r="C74" s="328" t="s">
        <v>315</v>
      </c>
      <c r="D74" s="756">
        <f>IF(D62="","",IF(D62="No","n/a",IF(G74=0,"",IF(R8=0,H63,I74))))</f>
        <v>3</v>
      </c>
      <c r="E74" s="753"/>
      <c r="F74" s="327"/>
      <c r="G74" s="810">
        <f>MIN(G63:G73)</f>
        <v>1</v>
      </c>
      <c r="H74" s="821" t="e">
        <f>MIN(H63:H73)</f>
        <v>#N/A</v>
      </c>
      <c r="I74" s="821">
        <f t="array" ref="I74">MIN(IF(ISNUMBER(I63:I73),I63:I73))</f>
        <v>3</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t="s">
        <v>374</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363</v>
      </c>
      <c r="C93" s="884" t="str">
        <f>WIEA!B35</f>
        <v>Are meter accuracy testing or electronic calibration requirements stipulated in the water purchase agreement?</v>
      </c>
      <c r="D93" s="329" t="s">
        <v>727</v>
      </c>
      <c r="E93" s="753" t="str">
        <f t="shared" ref="E93:E95" si="7">IFERROR(IF(OR($D$96="",$H93=10,NOT(ISNUMBER($H93))),"",IF(H93=$H$96,"Limiting","")),"")</f>
        <v/>
      </c>
      <c r="F93" s="327"/>
      <c r="G93" s="824">
        <f>IF(OR(LEN(D93)&gt;0,D92=WIEA!$C$23),1,0)</f>
        <v>1</v>
      </c>
      <c r="H93" s="818">
        <f>VLOOKUP('Interactive Data Grading'!D93,WIEA!$D$6:$G$16,4,FALSE)</f>
        <v>5</v>
      </c>
      <c r="I93" s="817"/>
      <c r="J93" s="810" t="s">
        <v>362</v>
      </c>
    </row>
    <row r="94" spans="1:18" ht="27.6" customHeight="1">
      <c r="A94" s="215"/>
      <c r="B94" s="555" t="s">
        <v>364</v>
      </c>
      <c r="C94" s="884" t="str">
        <f>WIEA!B36</f>
        <v>Are flow accuracy test and/or electronic calibration results used to inform the error adjustment input in the water audit?</v>
      </c>
      <c r="D94" s="329" t="s">
        <v>269</v>
      </c>
      <c r="E94" s="753" t="str">
        <f t="shared" si="7"/>
        <v>Limiting</v>
      </c>
      <c r="F94" s="327"/>
      <c r="G94" s="824">
        <f t="shared" ref="G94:G95" si="8">IF(LEN(D94)&gt;0,1,0)</f>
        <v>1</v>
      </c>
      <c r="H94" s="818">
        <f>VLOOKUP('Interactive Data Grading'!D94,WIEA!$E$6:$G$16,3,FALSE)</f>
        <v>4</v>
      </c>
      <c r="I94" s="817"/>
    </row>
    <row r="95" spans="1:18" ht="27.6" customHeight="1">
      <c r="A95" s="215"/>
      <c r="B95" s="555" t="s">
        <v>365</v>
      </c>
      <c r="C95" s="884" t="str">
        <f>WIEA!B37</f>
        <v>Who has access to the import meter readings including current and archived data?</v>
      </c>
      <c r="D95" s="329" t="s">
        <v>376</v>
      </c>
      <c r="E95" s="753" t="str">
        <f t="shared" si="7"/>
        <v/>
      </c>
      <c r="F95" s="327"/>
      <c r="G95" s="824">
        <f t="shared" si="8"/>
        <v>1</v>
      </c>
      <c r="H95" s="818">
        <f>VLOOKUP('Interactive Data Grading'!D95,WIEA!$F$6:$G$16,2,FALSE)</f>
        <v>10</v>
      </c>
      <c r="I95" s="817"/>
    </row>
    <row r="96" spans="1:18" ht="27.6" customHeight="1">
      <c r="A96" s="215"/>
      <c r="B96" s="215"/>
      <c r="C96" s="328" t="s">
        <v>315</v>
      </c>
      <c r="D96" s="895">
        <f>IF(D62="No","n/a",IF(G96=0,"",H96))</f>
        <v>4</v>
      </c>
      <c r="E96" s="753"/>
      <c r="F96" s="327"/>
      <c r="G96" s="824">
        <f>MIN(G92:G95)</f>
        <v>1</v>
      </c>
      <c r="H96" s="821">
        <f t="array" ref="H96">MIN(IF(ISNUMBER(H92:H95),H92:H95))</f>
        <v>4</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Harrisburg</v>
      </c>
      <c r="Q3" s="676"/>
      <c r="R3" s="676"/>
      <c r="S3" s="676"/>
      <c r="T3" s="676"/>
      <c r="U3" s="676"/>
      <c r="V3" s="676"/>
      <c r="W3" s="676"/>
      <c r="X3" s="676"/>
      <c r="Y3" s="676"/>
      <c r="Z3" s="676"/>
      <c r="AA3" s="676"/>
      <c r="AB3" s="676"/>
      <c r="AC3" s="673"/>
      <c r="AD3" s="674"/>
      <c r="AE3" s="675"/>
      <c r="AF3" s="672" t="s">
        <v>716</v>
      </c>
      <c r="AG3" s="1068">
        <f>IF(ISBLANK('Start Page'!AB18),"",'Start Page'!AB18)</f>
        <v>2023</v>
      </c>
      <c r="AH3" s="1068"/>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24.749590516768681</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24.749590516768681</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24.749590516768681</v>
      </c>
      <c r="AB18" s="1080"/>
      <c r="AC18" s="1080"/>
      <c r="AD18" s="871" t="str">
        <f>BD13</f>
        <v>$/conn/year</v>
      </c>
      <c r="AE18" s="872"/>
      <c r="AF18" s="873"/>
      <c r="AG18" s="873"/>
      <c r="AH18" s="874"/>
      <c r="AI18" s="874"/>
      <c r="AJ18" s="872"/>
      <c r="AK18" s="1080">
        <f>BS22</f>
        <v>9.4093386383594204</v>
      </c>
      <c r="AL18" s="1080"/>
      <c r="AM18" s="1080"/>
      <c r="AN18" s="871" t="str">
        <f>BD13</f>
        <v>$/conn/year</v>
      </c>
      <c r="AO18" s="872"/>
      <c r="AP18" s="872"/>
      <c r="AQ18" s="872"/>
      <c r="AR18" s="872"/>
      <c r="AS18" s="872"/>
      <c r="AT18" s="872"/>
      <c r="AU18" s="1080">
        <f>BS29</f>
        <v>15.340251878409259</v>
      </c>
      <c r="AV18" s="1080"/>
      <c r="AW18" s="1080"/>
      <c r="AX18" s="871" t="str">
        <f>BD13</f>
        <v>$/conn/year</v>
      </c>
      <c r="AY18" s="701"/>
      <c r="AZ18" s="247"/>
      <c r="BA18" s="247"/>
      <c r="BB18" s="342"/>
      <c r="BC18" s="109"/>
      <c r="BD18" s="58" t="s">
        <v>708</v>
      </c>
      <c r="BE18" s="234">
        <f>(((5.41*Worksheet!H61)+(0.15*Worksheet!H62)+(7.5*(Worksheet!H62*Worksheet!W67/5280)))*Worksheet!H68)/1000000*365</f>
        <v>328.0131926479545</v>
      </c>
      <c r="BN18" s="659"/>
      <c r="BO18" s="716" t="s">
        <v>1041</v>
      </c>
      <c r="BP18" s="718">
        <f>BQ18-BQ17</f>
        <v>8.9525318444022357</v>
      </c>
      <c r="BQ18" s="900">
        <f t="shared" si="0"/>
        <v>18.283980813778896</v>
      </c>
      <c r="BR18" s="716" t="s">
        <v>781</v>
      </c>
      <c r="BS18" s="720">
        <f>SUM(BP16:BP20)-SUM(BS16,BS17)</f>
        <v>89.92838806996744</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1006.6342057306658</v>
      </c>
      <c r="BF19" s="233">
        <f>BE19*325851.427242/Worksheet!H62/365</f>
        <v>23.210555328975477</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2893.2331995</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9.4093386383594204</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9.4093386383594204</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38.66908301528369</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74.568410714070879</v>
      </c>
      <c r="AB29" s="1084"/>
      <c r="AC29" s="1084"/>
      <c r="AD29" s="870" t="str">
        <f>BD10</f>
        <v>gal/conn/day</v>
      </c>
      <c r="AE29" s="870"/>
      <c r="AF29" s="875"/>
      <c r="AG29" s="875"/>
      <c r="AH29" s="700"/>
      <c r="AI29" s="700"/>
      <c r="AJ29" s="700"/>
      <c r="AK29" s="1084">
        <f>BS43</f>
        <v>3.128520627197573</v>
      </c>
      <c r="AL29" s="1084"/>
      <c r="AM29" s="1084"/>
      <c r="AN29" s="871" t="str">
        <f>BD10</f>
        <v>gal/conn/day</v>
      </c>
      <c r="AO29" s="700"/>
      <c r="AP29" s="700"/>
      <c r="AQ29" s="700"/>
      <c r="AR29" s="700"/>
      <c r="AS29" s="700"/>
      <c r="AT29" s="700"/>
      <c r="AU29" s="1090">
        <f>BS55</f>
        <v>71.439890086873305</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15.340251878409259</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15.340251878409259</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70</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55.185678538126758</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74.568410714070879</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74.568410714070879</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173.73117747709176</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3.0779052493280727</v>
      </c>
      <c r="AI41" s="1089"/>
      <c r="AJ41" s="1089"/>
      <c r="AK41" s="870" t="s">
        <v>1050</v>
      </c>
      <c r="AL41" s="799"/>
      <c r="AM41" s="800"/>
      <c r="AN41" s="796"/>
      <c r="AO41" s="796"/>
      <c r="AP41" s="796"/>
      <c r="AQ41" s="796"/>
      <c r="AR41" s="796"/>
      <c r="AS41" s="1088">
        <f>BS69</f>
        <v>5150.0887472696077</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328.0131926479545</v>
      </c>
      <c r="AL43" s="1086"/>
      <c r="AM43" s="1086"/>
      <c r="AN43" s="1086"/>
      <c r="AO43" s="916" t="str">
        <f>BD7</f>
        <v>MG/Yr</v>
      </c>
      <c r="AP43" s="700"/>
      <c r="AQ43" s="700"/>
      <c r="AR43" s="700"/>
      <c r="AS43" s="1086">
        <f>IF(BG19=1,BF19,IFERROR(AK43*1000000/Worksheet!H62/365,""))</f>
        <v>23.210555328975477</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3.128520627197573</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3.128520627197573</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29.2523419680556</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44.212472499999997</v>
      </c>
      <c r="J49" s="1095"/>
      <c r="K49" s="1095"/>
      <c r="L49" s="1095"/>
      <c r="M49" s="683"/>
      <c r="N49" s="1096">
        <f>IF(OR(ISBLANK('Start Page'!$AB$22),ISBLANK(Worksheet!J76)),"",(SUM(Worksheet!H43+Worksheet!H39+Worksheet!X50)*Worksheet!H76)*INDEX(Sheet1!B2:D4,MATCH('Start Page'!AB22,Sheet1!A2:A4,0),MATCH(Worksheet!J76,Sheet1!B1:D1,0))+Worksheet!Y50*Worksheet!H77)</f>
        <v>364310.77340000001</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1009.5935274999996</v>
      </c>
      <c r="J50" s="1095"/>
      <c r="K50" s="1095"/>
      <c r="L50" s="1095"/>
      <c r="M50" s="683"/>
      <c r="N50" s="1096">
        <f>IFERROR(IF(Worksheet!H41="Select under/over","",IF(ISBLANK('Start Page'!AB22),"",Worksheet!H51*(IF(BD29=FALSE,Worksheet!H77,IF(BD29=TRUE,Worksheet!H76*INDEX(Sheet1!B2:D4,MATCH('Start Page'!AB22,Sheet1!A2:A4,0),MATCH(Worksheet!J76,Sheet1!B1:D1,0)),""))))),"")</f>
        <v>593943.87222824967</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36.896999999999998</v>
      </c>
      <c r="J51" s="1095"/>
      <c r="K51" s="1095"/>
      <c r="L51" s="1095"/>
      <c r="M51" s="683"/>
      <c r="N51" s="1096">
        <f>IFERROR(IF(SUM(Sheet1!D90:D91)=0,"",SUM(Sheet1!D90:D91)),"")</f>
        <v>21706.505099999998</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1090.7029999999995</v>
      </c>
      <c r="J52" s="1095"/>
      <c r="K52" s="1095"/>
      <c r="L52" s="1095"/>
      <c r="M52" s="683"/>
      <c r="N52" s="1096">
        <f>IF(SUM(N49:N51)=0,"",SUM(N49:N51))</f>
        <v>979961.15072824969</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71.439890086873305</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71.439890086873305</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157.5791422623397</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3.0779052493280727</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3.0779052493280727</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8.1882724778411689</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5150.0887472696077</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5150.0887472696077</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6900.9801624308957</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17.665808526427512</v>
      </c>
      <c r="BQ83" s="733">
        <f>BP83+BQ78</f>
        <v>70</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28" sqref="G28:G30"/>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Harrisburg</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t="s">
        <v>1281</v>
      </c>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1,091 MG/Yr</v>
      </c>
    </row>
    <row r="79" spans="1:6" ht="16.5">
      <c r="B79" s="52"/>
      <c r="C79" s="52"/>
      <c r="D79" s="52"/>
      <c r="E79" s="9" t="str">
        <f>IFERROR("Total Cost of NRW = $"&amp;TEXT(SUM(D90,D91,D94,D95,D96,D98),"#,###")&amp;"/Yr","")</f>
        <v>Total Cost of NRW = $979,961/Yr</v>
      </c>
      <c r="F79" s="52"/>
    </row>
    <row r="80" spans="1:6">
      <c r="A80"/>
      <c r="B80"/>
      <c r="C80" s="53" t="str">
        <f>"Volume ("&amp;Worksheet!J15&amp;")"</f>
        <v>Volume (MG/Yr)</v>
      </c>
      <c r="D80" s="53" t="s">
        <v>149</v>
      </c>
      <c r="E80" s="94" t="s">
        <v>1087</v>
      </c>
      <c r="F80"/>
    </row>
    <row r="81" spans="1:6">
      <c r="A81" s="46" t="s">
        <v>129</v>
      </c>
      <c r="B81" s="46"/>
      <c r="C81" s="122">
        <f>IF(Dashboard!BO$2&gt;0,"",Worksheet!H15)</f>
        <v>3856.444</v>
      </c>
      <c r="D81" s="123">
        <f>IF(Dashboard!BO$2&gt;0,"",C81*(Worksheet!$H$77))</f>
        <v>2268746.0052</v>
      </c>
      <c r="E81" s="605">
        <f>D81</f>
        <v>2268746.0052</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4.8000000000000001E-2</v>
      </c>
      <c r="D83" s="123">
        <f>IF(Dashboard!BO$2&gt;0,"",C83*(Worksheet!$H$77))</f>
        <v>28.238399999999999</v>
      </c>
      <c r="E83" s="605">
        <f t="shared" si="0"/>
        <v>28.238399999999999</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3856.4919999999997</v>
      </c>
      <c r="D87" s="123">
        <f>IF(Dashboard!BO$2&gt;0,"",C87*(Worksheet!$H$77))</f>
        <v>2268774.2435999997</v>
      </c>
      <c r="E87" s="605">
        <f t="shared" si="0"/>
        <v>2268774.2435999997</v>
      </c>
      <c r="F87"/>
    </row>
    <row r="88" spans="1:6">
      <c r="A88" t="s">
        <v>55</v>
      </c>
      <c r="B88"/>
      <c r="C88" s="122">
        <f>IF(Dashboard!BO$2&gt;0,"",Worksheet!H23)</f>
        <v>2765.7890000000002</v>
      </c>
      <c r="D88" s="123">
        <f>IF(Dashboard!BO$2&gt;0,"",C88*(Worksheet!$H$76*1000))</f>
        <v>22790101.360000003</v>
      </c>
      <c r="E88" s="605">
        <f t="shared" si="0"/>
        <v>22790101.360000003</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36.896999999999998</v>
      </c>
      <c r="D91" s="127">
        <f>IF(Dashboard!BO$2&gt;0,"",IF(ISBLANK('Start Page'!AB22),"",IF(AND(ISBLANK(Worksheet!H77),Worksheet!Z77&lt;&gt;1),"",Worksheet!H26*(IF(Dashboard!BD29=FALSE,Worksheet!H77,IF(Dashboard!BD29=TRUE,Worksheet!H76*INDEX(Sheet1!B2:D4,MATCH('Start Page'!AB22,Sheet1!A2:A4,0),MATCH(Worksheet!J76,Sheet1!B1:D1,0)),""))))))</f>
        <v>21706.505099999998</v>
      </c>
      <c r="E91" s="606">
        <f t="shared" si="0"/>
        <v>21706.505099999998</v>
      </c>
      <c r="F91"/>
    </row>
    <row r="92" spans="1:6">
      <c r="A92" s="158" t="s">
        <v>2</v>
      </c>
      <c r="B92" s="125" t="s">
        <v>241</v>
      </c>
      <c r="C92" s="122">
        <f>IF(Dashboard!BO$2&gt;0,"",Worksheet!H30)</f>
        <v>2802.6860000000001</v>
      </c>
      <c r="D92" s="123">
        <f>IF(Dashboard!BO$2&gt;0,"",C92*(Worksheet!$H$76*1000))</f>
        <v>23094132.640000001</v>
      </c>
      <c r="E92" s="605">
        <f t="shared" si="0"/>
        <v>23094132.640000001</v>
      </c>
      <c r="F92"/>
    </row>
    <row r="93" spans="1:6">
      <c r="A93" t="s">
        <v>51</v>
      </c>
      <c r="B93"/>
      <c r="C93" s="122">
        <f>IF(Dashboard!BO$2&gt;0,"",Worksheet!H35)</f>
        <v>1053.8059999999996</v>
      </c>
      <c r="D93" s="123"/>
      <c r="E93" s="605">
        <f t="shared" si="0"/>
        <v>0</v>
      </c>
      <c r="F93"/>
    </row>
    <row r="94" spans="1:6">
      <c r="A94" s="223" t="s">
        <v>680</v>
      </c>
      <c r="B94" s="46"/>
      <c r="C94" s="126">
        <f>IF(Dashboard!BO$2&gt;0,"",Worksheet!H43)</f>
        <v>9.641</v>
      </c>
      <c r="D94" s="127">
        <f>IF(Dashboard!BO$2&gt;0,"",IF(ISBLANK('Start Page'!AB22),"",IF(AND(ISBLANK(Worksheet!H77),Worksheet!Z77&lt;&gt;1),"",C94*Worksheet!H76*INDEX(Sheet1!B2:D4,MATCH('Start Page'!AB22,Sheet1!A2:A4,0),MATCH(Worksheet!J76,Sheet1!B1:D1,0)))))</f>
        <v>79441.84</v>
      </c>
      <c r="E94" s="606">
        <f t="shared" si="0"/>
        <v>79441.84</v>
      </c>
      <c r="F94" s="128"/>
    </row>
    <row r="95" spans="1:6">
      <c r="A95" s="223" t="s">
        <v>681</v>
      </c>
      <c r="B95" s="46"/>
      <c r="C95" s="126">
        <f>IF(Dashboard!BO$2&gt;0,"",Worksheet!H41)</f>
        <v>27.657</v>
      </c>
      <c r="D95" s="127">
        <f>IF(Dashboard!BO$2&gt;0,"",IF(ISBLANK('Start Page'!AB22),"",IF(AND(ISBLANK(Worksheet!H77),Worksheet!Z77&lt;&gt;1),"",C95*Worksheet!H76*INDEX(Sheet1!B2:D4,MATCH('Start Page'!AB22,Sheet1!A2:A4,0),MATCH(Worksheet!J76,Sheet1!B1:D1,0)))))</f>
        <v>227893.68000000002</v>
      </c>
      <c r="E95" s="606">
        <f t="shared" si="0"/>
        <v>227893.68000000002</v>
      </c>
      <c r="F95" s="128"/>
    </row>
    <row r="96" spans="1:6">
      <c r="A96" s="223" t="s">
        <v>682</v>
      </c>
      <c r="B96" s="46"/>
      <c r="C96" s="126">
        <f>IF(Dashboard!BO$2&gt;0,"",Worksheet!H39)</f>
        <v>6.9144725000000005</v>
      </c>
      <c r="D96" s="127">
        <f>IF(Dashboard!BO$2&gt;0,"",IF(ISBLANK('Start Page'!AB22),"",IF(AND(ISBLANK(Worksheet!H77),Worksheet!Z77&lt;&gt;1),"",C96*Worksheet!H76*INDEX(Sheet1!B2:D4,MATCH('Start Page'!AB22,Sheet1!A2:A4,0),MATCH(Worksheet!J76,Sheet1!B1:D1,0)))))</f>
        <v>56975.253400000009</v>
      </c>
      <c r="E96" s="606">
        <f t="shared" si="0"/>
        <v>56975.253400000009</v>
      </c>
      <c r="F96" s="128"/>
    </row>
    <row r="97" spans="1:7">
      <c r="A97" t="s">
        <v>42</v>
      </c>
      <c r="B97"/>
      <c r="C97" s="122">
        <f>IF(Dashboard!BO$2&gt;0,"",Worksheet!H46)</f>
        <v>44.212472499999997</v>
      </c>
      <c r="D97" s="123">
        <f>IF(Dashboard!BO$2&gt;0,"",SUM(D94:D96))</f>
        <v>364310.77340000001</v>
      </c>
      <c r="E97" s="605">
        <f t="shared" si="0"/>
        <v>364310.77340000001</v>
      </c>
      <c r="F97"/>
    </row>
    <row r="98" spans="1:7">
      <c r="A98" s="54" t="str">
        <f>"Real Losses valued at "&amp;A76&amp;""</f>
        <v xml:space="preserve">Real Losses valued at </v>
      </c>
      <c r="B98" s="46"/>
      <c r="C98" s="126">
        <f>IF(Dashboard!BO$2&gt;0,"",Worksheet!H51)</f>
        <v>1009.5935274999996</v>
      </c>
      <c r="D98" s="127">
        <f>IF(Dashboard!BO$2&gt;0,"",Dashboard!N50)</f>
        <v>593943.87222824967</v>
      </c>
      <c r="E98" s="606">
        <f t="shared" si="0"/>
        <v>593943.87222824967</v>
      </c>
      <c r="F98" s="605"/>
    </row>
    <row r="99" spans="1:7">
      <c r="A99" t="s">
        <v>74</v>
      </c>
      <c r="B99"/>
      <c r="C99" s="122">
        <f>IF(Dashboard!BO$2&gt;0,"",Worksheet!H57)</f>
        <v>1090.7029999999995</v>
      </c>
      <c r="D99" s="124">
        <f>IF(Dashboard!BO$2&gt;0,"",D97+D98+D90+D91)</f>
        <v>979961.15072824969</v>
      </c>
      <c r="E99" s="605">
        <f t="shared" si="0"/>
        <v>979961.15072824969</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Harrisburg</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2765.7890000000002</v>
      </c>
      <c r="H12" s="362"/>
      <c r="I12" s="5"/>
      <c r="K12" s="898"/>
    </row>
    <row r="13" spans="2:16" ht="22.5" customHeight="1">
      <c r="B13" s="1113"/>
      <c r="C13" s="363"/>
      <c r="D13" s="360"/>
      <c r="E13" s="1122"/>
      <c r="F13" s="365">
        <f>Worksheet!H23+Worksheet!H24</f>
        <v>2765.7890000000002</v>
      </c>
      <c r="G13" s="366" t="s">
        <v>1092</v>
      </c>
      <c r="H13" s="367">
        <f>SUM(G12+G14)</f>
        <v>2765.7890000000002</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2802.6860000000001</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3856.444</v>
      </c>
      <c r="C17" s="378"/>
      <c r="D17" s="379"/>
      <c r="E17" s="250"/>
      <c r="F17" s="380">
        <f>Worksheet!H25+Worksheet!H26</f>
        <v>36.896999999999998</v>
      </c>
      <c r="G17" s="364" t="s">
        <v>1094</v>
      </c>
      <c r="H17" s="362"/>
      <c r="I17" s="5"/>
      <c r="K17" s="46"/>
      <c r="L17" s="121"/>
      <c r="M17" s="121"/>
      <c r="N17" s="121"/>
      <c r="O17" s="121"/>
      <c r="P17" s="121"/>
    </row>
    <row r="18" spans="2:16" ht="15.75" customHeight="1">
      <c r="B18" s="375"/>
      <c r="C18" s="1134" t="s">
        <v>765</v>
      </c>
      <c r="D18" s="360"/>
      <c r="E18" s="381"/>
      <c r="F18" s="370"/>
      <c r="G18" s="382">
        <f>Worksheet!H26</f>
        <v>36.896999999999998</v>
      </c>
      <c r="H18" s="362"/>
      <c r="I18" s="5"/>
      <c r="K18" s="46"/>
    </row>
    <row r="19" spans="2:16" ht="22.5" customHeight="1">
      <c r="B19" s="375"/>
      <c r="C19" s="1134"/>
      <c r="D19" s="383" t="s">
        <v>118</v>
      </c>
      <c r="E19" s="356"/>
      <c r="F19" s="384"/>
      <c r="G19" s="600" t="s">
        <v>697</v>
      </c>
      <c r="H19" s="385">
        <f>Worksheet!H25+Worksheet!H26+Worksheet!H46+Worksheet!H51</f>
        <v>1090.7029999999995</v>
      </c>
      <c r="I19" s="5"/>
      <c r="K19" s="46"/>
      <c r="L19" s="121"/>
      <c r="M19" s="121"/>
      <c r="N19" s="121"/>
      <c r="O19" s="121"/>
      <c r="P19" s="121"/>
    </row>
    <row r="20" spans="2:16" ht="15.75" customHeight="1">
      <c r="B20" s="375"/>
      <c r="C20" s="386">
        <f>B17+B27</f>
        <v>3856.4919999999997</v>
      </c>
      <c r="D20" s="360"/>
      <c r="E20" s="250"/>
      <c r="F20" s="387" t="s">
        <v>52</v>
      </c>
      <c r="G20" s="376">
        <f>Worksheet!H39</f>
        <v>6.9144725000000005</v>
      </c>
      <c r="H20" s="362"/>
      <c r="I20" s="5"/>
      <c r="K20" s="46"/>
    </row>
    <row r="21" spans="2:16" ht="14.25" customHeight="1">
      <c r="B21" s="388"/>
      <c r="C21" s="389"/>
      <c r="D21" s="386">
        <f>Worksheet!H19</f>
        <v>3856.4919999999997</v>
      </c>
      <c r="E21" s="390"/>
      <c r="F21" s="380">
        <f>Worksheet!H46</f>
        <v>44.212472499999997</v>
      </c>
      <c r="G21" s="364" t="s">
        <v>696</v>
      </c>
      <c r="H21" s="362"/>
      <c r="I21" s="5"/>
      <c r="K21" s="46"/>
      <c r="L21" s="121"/>
      <c r="M21" s="121"/>
      <c r="N21" s="121"/>
      <c r="O21" s="121"/>
      <c r="P21" s="121"/>
    </row>
    <row r="22" spans="2:16" ht="15.75" customHeight="1">
      <c r="B22" s="375"/>
      <c r="C22" s="359"/>
      <c r="D22" s="360"/>
      <c r="E22" s="250"/>
      <c r="F22" s="390"/>
      <c r="G22" s="391">
        <f>Worksheet!H41</f>
        <v>27.657</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9.641</v>
      </c>
      <c r="H24" s="362"/>
      <c r="I24" s="5"/>
      <c r="K24" s="46"/>
    </row>
    <row r="25" spans="2:16" ht="26.25" customHeight="1">
      <c r="B25" s="1112" t="s">
        <v>1089</v>
      </c>
      <c r="C25" s="363"/>
      <c r="D25" s="360"/>
      <c r="E25" s="393">
        <f>Worksheet!H53</f>
        <v>1053.8059999999996</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4.8000000000000001E-2</v>
      </c>
      <c r="C27" s="378"/>
      <c r="D27" s="360"/>
      <c r="E27" s="250"/>
      <c r="F27" s="380">
        <f>Worksheet!H51</f>
        <v>1009.5935274999996</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Harrisburg</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2023</v>
      </c>
      <c r="H5" s="1179" t="str">
        <f>IF(ISBLANK('Start Page'!AB20),"",TEXT('Start Page'!AB20,"mmm dd yyyy")&amp;" - "&amp;TEXT('Start Page'!AB21,"mmm dd yyyy"))</f>
        <v>Jan 01 2023 - Dec 31 2023</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34.999564370936078</v>
      </c>
      <c r="AF98" s="40">
        <f t="shared" ref="AF98:AF103" si="0">AE98</f>
        <v>34.999564370936078</v>
      </c>
      <c r="AG98" s="40">
        <f>IF(AE98&lt;&gt;0,AF98/10,0)</f>
        <v>3.4999564370936076</v>
      </c>
      <c r="AH98" s="40">
        <f>IFERROR(AD98*AG98,0)</f>
        <v>24.499695059655252</v>
      </c>
      <c r="AI98" s="40">
        <f t="shared" ref="AI98:AI117" si="1">IF(AG98=0,0,AF98-AH98)</f>
        <v>10.499869311280825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14</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3</v>
      </c>
      <c r="AE100" s="64">
        <f>Worksheet!Y16</f>
        <v>4.3562906392649071E-4</v>
      </c>
      <c r="AF100" s="40">
        <f t="shared" si="0"/>
        <v>4.3562906392649071E-4</v>
      </c>
      <c r="AG100" s="40">
        <f t="shared" si="3"/>
        <v>4.3562906392649074E-5</v>
      </c>
      <c r="AH100" s="40">
        <f t="shared" si="4"/>
        <v>1.3068871917794724E-4</v>
      </c>
      <c r="AI100" s="40">
        <f t="shared" si="1"/>
        <v>3.0494034474854348E-4</v>
      </c>
      <c r="AJ100">
        <f t="array" aca="1" ref="AJ100" ca="1">SUM(1*(AI100&lt;$AI$98:$AI$117))+1+IF(ROW(AI100)-ROW($AI$98)=0,0,SUM(1*(AI100=OFFSET($AI$98,0,0,INDEX(ROW(AI100)-ROW($AI$98)+1,1)-1,1))))</f>
        <v>13</v>
      </c>
      <c r="AK100" s="46" t="str">
        <f t="shared" si="5"/>
        <v>Water Imported (WI)</v>
      </c>
      <c r="AL100">
        <f t="shared" si="6"/>
        <v>1</v>
      </c>
      <c r="AM100">
        <f t="shared" si="7"/>
        <v>1</v>
      </c>
      <c r="AN100">
        <f t="shared" si="2"/>
        <v>0</v>
      </c>
    </row>
    <row r="101" spans="28:40">
      <c r="AC101" s="220" t="s">
        <v>704</v>
      </c>
      <c r="AD101" s="41">
        <f>IF(Worksheet!M16="n/a",0,Worksheet!M16)</f>
        <v>4</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1</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100.00000000000001</v>
      </c>
      <c r="AG118" s="39">
        <f>SUM(AG98:AG117)</f>
        <v>9.9999999999999982</v>
      </c>
      <c r="AH118" s="93">
        <f>SUM(AH98:AH117)</f>
        <v>61.292278578563106</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30B518E0-6FEC-47BA-BE04-B74FF9A36E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2024-02-27T12:53:43Z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