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2AB4880D-E58C-4F91-8B8C-CE69CC207F23}"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<sst xmlns="http://schemas.openxmlformats.org/spreadsheetml/2006/main" count="2532" uniqueCount="1281">
  <si>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</si>
  <si>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</si>
  <si>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</si>
  <si>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</si>
  <si>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</si>
  <si>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</si>
  <si>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</si>
  <si>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</si>
  <si>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</si>
  <si>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</si>
  <si>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</si>
  <si>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</si>
  <si>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</si>
  <si>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</si>
  <si>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</si>
  <si>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</si>
  <si>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</si>
  <si>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</si>
  <si>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</si>
  <si>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</si>
  <si>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</si>
  <si>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</si>
  <si>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</si>
  <si>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</si>
  <si>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</si>
  <si>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</si>
  <si>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</si>
  <si>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</si>
  <si>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</si>
  <si>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</si>
  <si>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</si>
  <si>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</si>
  <si>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</si>
  <si>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</si>
  <si>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</si>
  <si>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</si>
  <si>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</si>
  <si>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</si>
  <si>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</si>
  <si>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</si>
  <si>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</si>
  <si>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</si>
  <si>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</si>
  <si>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</si>
  <si>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</si>
  <si>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</si>
  <si>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</si>
  <si>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</si>
  <si>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</si>
  <si>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</si>
  <si>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</si>
  <si>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</si>
  <si>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</si>
  <si>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</si>
  <si>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</si>
  <si>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</si>
  <si>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</si>
  <si>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</si>
  <si>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</si>
  <si>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</si>
  <si>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</si>
  <si>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</si>
  <si>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</si>
  <si>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</si>
  <si>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</si>
  <si>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</si>
  <si>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</si>
  <si>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</si>
  <si>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</si>
  <si>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</si>
  <si>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</si>
  <si>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</si>
  <si>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</si>
  <si>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</si>
  <si>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</si>
  <si>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</si>
  <si>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</si>
  <si>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</si>
  <si>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</si>
  <si>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</si>
  <si>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</si>
  <si>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</si>
  <si>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</si>
  <si>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</si>
  <si>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</si>
  <si>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</si>
  <si>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</si>
  <si>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</si>
  <si>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</si>
  <si>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</si>
  <si>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</si>
  <si>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</si>
  <si>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</si>
  <si>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</si>
  <si>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</si>
  <si>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</si>
  <si>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</si>
  <si>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</si>
  <si>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</si>
  <si>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</si>
  <si>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</si>
  <si>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</si>
  <si>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</si>
  <si>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</si>
  <si>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</si>
  <si>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</si>
  <si>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</si>
  <si>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</si>
  <si>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</si>
  <si>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</si>
  <si>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</si>
  <si>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</si>
  <si>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</si>
  <si>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</si>
  <si>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</si>
  <si>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</si>
  <si>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</si>
  <si>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</si>
  <si>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</si>
  <si>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</si>
  <si>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</si>
  <si>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</si>
  <si>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</si>
  <si>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</si>
  <si>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</si>
  <si>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</si>
  <si>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</si>
  <si>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</si>
  <si>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</si>
  <si>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</si>
  <si>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</si>
  <si>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</si>
  <si>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</si>
  <si>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</si>
  <si>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</si>
  <si>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</si>
  <si>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</si>
  <si>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</si>
  <si>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</si>
  <si>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</si>
  <si>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</si>
  <si>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</si>
  <si>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</si>
  <si>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</si>
  <si>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</si>
  <si>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</si>
  <si>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</si>
  <si>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</si>
  <si>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</si>
  <si>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</si>
  <si>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</si>
  <si>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</si>
  <si>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</si>
  <si>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</si>
  <si>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</si>
  <si>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</si>
  <si>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</si>
  <si>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</si>
  <si>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</si>
  <si>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</si>
  <si>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</si>
  <si>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</si>
  <si>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</si>
  <si>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</si>
  <si>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</si>
  <si>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</si>
  <si>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</si>
  <si>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</si>
  <si>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</si>
  <si>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</si>
  <si>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</si>
  <si>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</si>
  <si>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</si>
  <si>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</si>
  <si>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</si>
  <si>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</si>
  <si>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</si>
  <si>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</si>
  <si>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</si>
  <si>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</si>
  <si>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</si>
  <si>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</si>
  <si>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</si>
  <si>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</si>
  <si>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</si>
  <si>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</si>
  <si>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</si>
  <si>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</si>
  <si>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</si>
  <si>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</si>
  <si>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</si>
  <si>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</si>
  <si>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</si>
  <si>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</si>
  <si>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</si>
  <si>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</si>
  <si>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</si>
  <si>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</si>
  <si>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</si>
  <si>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</si>
  <si>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</si>
  <si>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</si>
  <si>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</si>
  <si>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</si>
  <si>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</si>
  <si>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</si>
  <si>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</si>
  <si>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</si>
  <si>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</si>
  <si>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</si>
  <si>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</si>
  <si>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</si>
  <si>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</si>
  <si>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</si>
  <si>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</si>
  <si>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</si>
  <si>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</si>
  <si>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</si>
  <si>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</si>
  <si>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</si>
  <si>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</si>
  <si>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</si>
  <si>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</si>
  <si>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</si>
  <si>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</si>
  <si>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</si>
  <si>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</si>
  <si>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</si>
  <si>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</si>
  <si>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</si>
  <si>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</si>
  <si>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</si>
  <si>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</si>
  <si>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</si>
  <si>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</si>
  <si>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</si>
  <si>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</si>
  <si>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</si>
  <si>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</si>
  <si>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</si>
  <si>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</si>
  <si>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</si>
  <si>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</si>
  <si>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</si>
  <si>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</si>
  <si>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</si>
  <si>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</si>
  <si>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</si>
  <si>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</si>
  <si>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</si>
  <si>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</si>
  <si>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</si>
  <si>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</si>
  <si>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</si>
  <si>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</si>
  <si>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</si>
  <si>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</si>
  <si>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</si>
  <si>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</si>
  <si>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</si>
  <si>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</si>
  <si>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</si>
  <si>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</si>
  <si>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</si>
  <si>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</si>
  <si>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</si>
  <si>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</si>
  <si>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</si>
  <si>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</si>
  <si>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</si>
  <si>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</si>
  <si>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</si>
  <si>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</si>
  <si>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</si>
  <si>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</si>
  <si>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</si>
  <si>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</si>
  <si>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</si>
  <si>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</si>
  <si>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</si>
  <si>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</si>
  <si>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</si>
  <si>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</si>
  <si>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</si>
  <si>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</si>
  <si>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</si>
  <si>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</si>
  <si>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</si>
  <si>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</si>
  <si>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</si>
  <si>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</si>
  <si>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</si>
  <si>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</si>
  <si>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</si>
  <si>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</si>
  <si>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</si>
  <si>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</si>
  <si>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</si>
  <si>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</si>
  <si>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</si>
  <si>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</si>
  <si>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</si>
  <si>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</si>
  <si>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</si>
  <si>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</si>
  <si>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</si>
  <si>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</si>
  <si>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</si>
  <si>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</si>
  <si>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</si>
  <si>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</si>
  <si>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</si>
  <si>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</si>
  <si>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</si>
  <si>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</si>
  <si>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</si>
  <si>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</si>
  <si>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</si>
  <si>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</si>
  <si>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</si>
  <si>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</si>
  <si>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</si>
  <si>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</si>
  <si>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</si>
  <si>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</si>
  <si>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</si>
  <si>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</si>
  <si>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</si>
  <si>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</si>
  <si>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</si>
  <si>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</si>
  <si>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</si>
  <si>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</si>
  <si>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</si>
  <si>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</si>
  <si>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</si>
  <si>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</si>
  <si>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</si>
  <si>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</si>
  <si>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</si>
  <si>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</si>
  <si>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</si>
  <si>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</si>
  <si>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</si>
  <si>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</si>
  <si>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</si>
  <si>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</si>
  <si>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</si>
  <si>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</si>
  <si>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</si>
  <si>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</si>
  <si>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</si>
  <si>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</si>
  <si>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</si>
  <si>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</si>
  <si>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</si>
  <si>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</si>
  <si>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</si>
  <si>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</si>
  <si>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</si>
  <si>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</si>
  <si>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</si>
  <si>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</si>
  <si>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</si>
  <si>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</si>
  <si>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</si>
  <si>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</si>
  <si>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</si>
  <si>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</si>
  <si>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</si>
  <si>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</si>
  <si>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</si>
  <si>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</si>
  <si>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</si>
  <si>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</si>
  <si>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</si>
  <si>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</si>
  <si>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</si>
  <si>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</si>
  <si>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</si>
  <si>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</si>
  <si>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</si>
  <si>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</si>
  <si>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</si>
  <si>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</si>
  <si>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</si>
  <si>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</si>
  <si>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</si>
  <si>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</si>
  <si>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</si>
  <si>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</si>
  <si>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</si>
  <si>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</si>
  <si>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</si>
  <si>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</si>
  <si>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</si>
  <si>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</si>
  <si>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</si>
  <si>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</si>
  <si>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</si>
  <si>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</si>
  <si>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</si>
  <si>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</si>
  <si>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</si>
  <si>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</si>
  <si>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</si>
  <si>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</si>
  <si>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</si>
  <si>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</si>
  <si>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</si>
  <si>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</si>
  <si>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</si>
  <si>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</si>
  <si>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</si>
  <si>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</si>
  <si>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</si>
  <si>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</si>
  <si>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</si>
  <si>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</si>
  <si>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</si>
  <si>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</si>
  <si>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</si>
  <si>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</si>
  <si>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</si>
  <si>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</si>
  <si>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</si>
  <si>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</si>
  <si>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</si>
  <si>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</si>
  <si>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</si>
  <si>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</si>
  <si>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</si>
  <si>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</si>
  <si>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</si>
  <si>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</si>
  <si>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</si>
  <si>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</si>
  <si>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</si>
  <si>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</si>
  <si>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</si>
  <si>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</si>
  <si>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</si>
  <si>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</si>
  <si>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</si>
  <si>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</si>
  <si>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</si>
  <si>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</si>
  <si>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</si>
  <si>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</si>
  <si>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</si>
  <si>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</si>
  <si>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</si>
  <si>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</si>
  <si>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</si>
  <si>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</si>
  <si>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</si>
  <si>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</si>
  <si>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</si>
  <si>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</si>
  <si>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</si>
  <si>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</si>
  <si>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</si>
  <si>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</si>
  <si>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</si>
  <si>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</si>
  <si>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</si>
  <si>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</si>
  <si>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</si>
  <si>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</si>
  <si>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</si>
  <si>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</si>
  <si>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</si>
  <si>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</si>
  <si>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</si>
  <si>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</si>
  <si>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</si>
  <si>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</si>
  <si>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</si>
  <si>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</si>
  <si>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</si>
  <si>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</si>
  <si>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</si>
  <si>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</si>
  <si>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</si>
  <si>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</si>
  <si>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</si>
  <si>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</si>
  <si>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</si>
  <si>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</si>
  <si>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</si>
  <si>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</si>
  <si>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</si>
  <si>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</si>
  <si>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</si>
  <si>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</si>
  <si>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</si>
  <si>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</si>
  <si>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</si>
  <si>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</si>
  <si>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</si>
  <si>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</si>
  <si>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</si>
  <si>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</si>
  <si>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</si>
  <si>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</si>
  <si>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</si>
  <si>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</si>
  <si>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</si>
  <si>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</si>
  <si>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</si>
  <si>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</si>
  <si>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</si>
  <si>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</si>
  <si>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</si>
  <si>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</si>
  <si>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</si>
  <si>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</si>
  <si>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</si>
  <si>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</si>
  <si>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</si>
  <si>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</si>
  <si>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</si>
  <si>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</si>
  <si>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</si>
  <si>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</si>
  <si>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</si>
  <si>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</si>
  <si>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</si>
  <si>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</si>
  <si>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</si>
  <si>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</si>
  <si>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</si>
  <si>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</si>
  <si>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</si>
  <si>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</si>
  <si>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</si>
  <si>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</si>
  <si>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</si>
  <si>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</si>
  <si>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</si>
  <si>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</si>
  <si>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</si>
  <si>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</si>
  <si>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</si>
  <si>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</si>
  <si>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</si>
  <si>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</si>
  <si>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</si>
  <si>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</si>
  <si>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</si>
  <si>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</si>
  <si>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</si>
  <si>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</si>
  <si>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</si>
  <si>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</si>
  <si>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</si>
  <si>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</si>
  <si>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</si>
  <si>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</si>
  <si>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</si>
  <si>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</si>
  <si>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</si>
  <si>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</si>
  <si>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</si>
  <si>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</si>
  <si>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</si>
  <si>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</si>
  <si>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</si>
  <si>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</si>
  <si>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</si>
  <si>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</si>
  <si>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</si>
  <si>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</si>
  <si>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</si>
  <si>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</si>
  <si>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</si>
  <si>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</si>
  <si>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</si>
  <si>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</si>
  <si>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</si>
  <si>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</si>
  <si>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</si>
  <si>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</si>
  <si>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</si>
  <si>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</si>
  <si>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</si>
  <si>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</si>
  <si>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</si>
  <si>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</si>
  <si>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</si>
  <si>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</si>
  <si>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</si>
  <si>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</si>
  <si>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</si>
  <si>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</si>
  <si>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</si>
  <si>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</si>
  <si>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</si>
  <si>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</si>
  <si>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</si>
  <si>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</si>
  <si>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</si>
  <si>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</si>
  <si>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</si>
  <si>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</si>
  <si>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</si>
  <si>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</si>
  <si>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</si>
  <si>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</si>
  <si>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</si>
  <si>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</si>
  <si>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</si>
  <si>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</si>
  <si>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</si>
  <si>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</si>
  <si>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</si>
  <si>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</si>
  <si>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</si>
  <si>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</si>
  <si>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</si>
  <si>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</si>
  <si>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</si>
  <si>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</si>
  <si>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</si>
  <si>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</si>
  <si>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</si>
  <si>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</si>
  <si>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</si>
  <si>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</si>
  <si>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</si>
  <si>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</si>
  <si>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</si>
  <si>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</si>
  <si>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</si>
  <si>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</si>
  <si>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</si>
  <si>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</si>
  <si>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</si>
  <si>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</si>
  <si>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</si>
  <si>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</si>
  <si>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</si>
  <si>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</si>
  <si>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</si>
  <si>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</si>
  <si>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</si>
  <si>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</si>
  <si>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</si>
  <si>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</si>
  <si>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</si>
  <si>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</si>
  <si>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</si>
  <si>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</si>
  <si>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</si>
  <si>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</si>
  <si>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</si>
  <si>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</si>
  <si>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</si>
  <si>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</si>
  <si>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</si>
  <si>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</si>
  <si>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</si>
  <si>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</si>
  <si>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</si>
  <si>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</si>
  <si>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</si>
  <si>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</si>
  <si>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</si>
  <si>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</si>
  <si>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</si>
  <si>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</si>
  <si>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</si>
  <si>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</si>
  <si>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</si>
  <si>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</si>
  <si>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</si>
  <si>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</si>
  <si>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</si>
  <si>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</si>
  <si>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</si>
  <si>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</si>
  <si>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</si>
  <si>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</si>
  <si>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</si>
  <si>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</si>
  <si>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</si>
  <si>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</si>
  <si>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</si>
  <si>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</si>
  <si>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</si>
  <si>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</si>
  <si>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</si>
  <si>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</si>
  <si>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</si>
  <si>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</si>
  <si>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</si>
  <si>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</si>
  <si>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</si>
  <si>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</si>
  <si>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</si>
  <si>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</si>
  <si>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</si>
  <si>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</si>
  <si>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</si>
  <si>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</si>
  <si>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</si>
  <si>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</si>
  <si>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</si>
  <si>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</si>
  <si>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</si>
  <si>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</si>
  <si>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</si>
  <si>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</si>
  <si>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</si>
  <si>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</si>
  <si>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</si>
  <si>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</si>
  <si>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</si>
  <si>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</si>
  <si>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</si>
  <si>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</si>
  <si>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</si>
  <si>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</si>
  <si>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</si>
  <si>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</si>
  <si>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</si>
  <si>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</si>
  <si>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</si>
  <si>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</si>
  <si>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</si>
  <si>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</si>
  <si>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</si>
  <si>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</si>
  <si>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</si>
  <si>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</si>
  <si>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</si>
  <si>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</si>
  <si>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</si>
  <si>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</si>
  <si>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</si>
  <si>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</si>
  <si>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</si>
  <si>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</si>
  <si>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</si>
  <si>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</si>
  <si>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</si>
  <si>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</si>
  <si>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</si>
  <si>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</si>
  <si>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</si>
  <si>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</si>
  <si>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</si>
  <si>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</si>
  <si>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</si>
  <si>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</si>
  <si>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</si>
  <si>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</si>
  <si>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</si>
  <si>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</si>
  <si>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</si>
  <si>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</si>
  <si>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</si>
  <si>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</si>
  <si>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</si>
  <si>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</si>
  <si>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</si>
  <si>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</si>
  <si>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</si>
  <si>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</si>
  <si>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</si>
  <si>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</si>
  <si>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</si>
  <si>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</si>
  <si>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</si>
  <si>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</si>
  <si>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</si>
  <si>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</si>
  <si>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</si>
  <si>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</si>
  <si>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</si>
  <si>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</si>
  <si>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</si>
  <si>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</si>
  <si>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</si>
  <si>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</si>
  <si>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</si>
  <si>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</si>
  <si>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</si>
  <si>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</si>
  <si>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</si>
  <si>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</si>
  <si>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</si>
  <si>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</si>
  <si>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</si>
  <si>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</si>
  <si>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</si>
  <si>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</si>
  <si>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</si>
  <si>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</si>
  <si>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</si>
  <si>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</si>
  <si>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</si>
  <si>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</si>
  <si>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</si>
  <si>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</si>
  <si>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</si>
  <si>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</si>
  <si>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</si>
  <si>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</si>
  <si>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</si>
  <si>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</si>
  <si>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</si>
  <si>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</si>
  <si>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</si>
  <si>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</si>
  <si>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</si>
  <si>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</si>
  <si>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</si>
  <si>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</si>
  <si>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</si>
  <si>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</si>
  <si>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</si>
  <si>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</si>
  <si>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</si>
  <si>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</si>
  <si>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</si>
  <si>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</si>
  <si>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</si>
  <si>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</si>
  <si>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</si>
  <si>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</si>
  <si>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</si>
  <si>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</si>
  <si>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</si>
  <si>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</si>
  <si>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</si>
  <si>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</si>
  <si>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</si>
  <si>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</si>
  <si>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</si>
  <si>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</si>
  <si>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</si>
  <si>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</si>
  <si>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</si>
  <si>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</si>
  <si>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</si>
  <si>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</si>
  <si>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</si>
  <si>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</si>
  <si>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</si>
  <si>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</si>
  <si>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</si>
  <si>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</si>
  <si>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</si>
  <si>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</si>
  <si>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</si>
  <si>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</si>
  <si>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</si>
  <si>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</si>
  <si>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</si>
  <si>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</si>
  <si>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</si>
  <si>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</si>
  <si>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</si>
  <si>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</si>
  <si>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</si>
  <si>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</si>
  <si>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</si>
  <si>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</si>
  <si>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</si>
  <si>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</si>
  <si>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</si>
  <si>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</si>
  <si>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</si>
  <si>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</si>
  <si>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</si>
  <si>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</si>
  <si>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</si>
  <si>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</si>
  <si>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</si>
  <si>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</si>
  <si>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</si>
  <si>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</si>
  <si>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</si>
  <si>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</si>
  <si>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</si>
  <si>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</si>
  <si>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</si>
  <si>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</si>
  <si>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</si>
  <si>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</si>
  <si>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</si>
  <si>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</si>
  <si>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</si>
  <si>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</si>
  <si>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</si>
  <si>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</si>
  <si>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</si>
  <si>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</si>
  <si>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</si>
  <si>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</si>
  <si>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</si>
  <si>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</si>
  <si>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</si>
  <si>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</si>
  <si>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</si>
  <si>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</si>
  <si>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</si>
  <si>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</si>
  <si>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</si>
  <si>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</si>
  <si>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</si>
  <si>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</si>
  <si>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</si>
  <si>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</si>
  <si>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</si>
  <si>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</si>
  <si>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</si>
  <si>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</si>
  <si>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</si>
  <si>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</si>
  <si>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</si>
  <si>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</si>
  <si>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</si>
  <si>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</si>
  <si>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</si>
  <si>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</si>
  <si>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</si>
  <si>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</si>
  <si>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</si>
  <si>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</si>
  <si>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</si>
  <si>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</si>
  <si>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</si>
  <si>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</si>
  <si>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</si>
  <si>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</si>
  <si>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</si>
  <si>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</si>
  <si>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</si>
  <si>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</si>
  <si>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</si>
  <si>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</si>
  <si>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</si>
  <si>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</si>
  <si>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</si>
  <si>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</si>
  <si>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</si>
  <si>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</si>
  <si>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</si>
  <si>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</si>
  <si>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</si>
  <si>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</si>
  <si>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</si>
  <si>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</si>
  <si>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</si>
  <si>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</si>
  <si>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</si>
  <si>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</si>
  <si>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</si>
  <si>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</si>
  <si>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</si>
  <si>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</si>
  <si>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</si>
  <si>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</si>
  <si>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</si>
  <si>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</si>
  <si>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</si>
  <si>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</si>
  <si>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</si>
  <si>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</si>
  <si>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</si>
  <si>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</si>
  <si>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</si>
  <si>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</si>
  <si>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</si>
  <si>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</si>
  <si>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</si>
  <si>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</si>
  <si>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</si>
  <si>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</si>
  <si>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</si>
  <si>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</si>
  <si>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</si>
  <si>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</si>
  <si>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</si>
  <si>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</si>
  <si>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</si>
  <si>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</si>
  <si>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</si>
  <si>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</si>
  <si>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</si>
  <si>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</si>
  <si>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</si>
  <si>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</si>
  <si>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</si>
  <si>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</si>
  <si>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</si>
  <si>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</si>
  <si>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</si>
  <si>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</si>
  <si>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</si>
  <si>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</si>
  <si>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</si>
  <si>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</si>
  <si>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</si>
  <si>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</si>
  <si>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</si>
  <si>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</si>
  <si>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</si>
  <si>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</si>
  <si>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</si>
  <si>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</si>
  <si>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</si>
  <si>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</si>
  <si>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</si>
  <si>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</si>
  <si>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</si>
  <si>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</si>
  <si>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</si>
  <si>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</si>
  <si>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</si>
  <si>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</si>
  <si>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</si>
  <si>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</si>
  <si>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</si>
  <si>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</si>
  <si>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</si>
  <si>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</si>
  <si>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</si>
  <si>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</si>
  <si>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</si>
  <si>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</si>
  <si>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</si>
  <si>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</si>
  <si>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</si>
  <si>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</si>
  <si>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</si>
  <si>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</si>
  <si>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</si>
  <si>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</si>
  <si>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</si>
  <si>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</si>
  <si>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</si>
  <si>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</si>
  <si>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</si>
  <si>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</si>
  <si>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</si>
  <si>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</si>
  <si>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</si>
  <si>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</si>
  <si>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</si>
  <si>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</si>
  <si>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</si>
  <si>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</si>
  <si>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</si>
  <si>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</si>
  <si>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</si>
  <si>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</si>
  <si>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</si>
  <si>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</si>
  <si>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</si>
  <si>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</si>
  <si>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</si>
  <si>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</si>
  <si>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</si>
  <si>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</si>
  <si>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</si>
  <si>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</si>
  <si>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</si>
  <si>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</si>
  <si>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</si>
  <si>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</si>
  <si>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</si>
  <si>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</si>
  <si>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</si>
  <si>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</si>
  <si>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</si>
  <si>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</si>
  <si>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</si>
  <si>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</si>
  <si>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</si>
  <si>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</si>
  <si>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</si>
  <si>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</si>
  <si>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</si>
  <si>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</si>
  <si>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</si>
  <si>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</si>
  <si>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</si>
  <si>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</si>
  <si>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</si>
  <si>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</si>
  <si>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</si>
  <si>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</si>
  <si>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</si>
  <si>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</si>
  <si>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</si>
  <si>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</si>
  <si>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</si>
  <si>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</si>
  <si>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</si>
  <si>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</si>
  <si>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</si>
  <si>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</si>
  <si>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</si>
  <si>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</si>
  <si>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</si>
  <si>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</si>
  <si>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</si>
  <si>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</si>
  <si>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</si>
  <si>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</si>
  <si>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</si>
  <si>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</si>
  <si>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</si>
  <si>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</si>
  <si>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</si>
  <si>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</si>
  <si>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</si>
  <si>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</si>
  <si>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</si>
  <si>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</si>
  <si>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</si>
  <si>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</si>
  <si>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</si>
  <si>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</si>
  <si>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</si>
  <si>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</si>
  <si>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</si>
  <si>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</si>
  <si>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</si>
  <si>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</si>
  <si>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</si>
  <si>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</si>
  <si>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</si>
  <si>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</si>
  <si>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</si>
  <si>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</si>
  <si>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</si>
  <si>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</si>
  <si>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</si>
  <si>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</si>
  <si>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</si>
  <si>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</si>
  <si>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</si>
  <si>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</si>
  <si>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</si>
  <si>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</si>
  <si>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</si>
  <si>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</si>
  <si>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</si>
  <si>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</si>
  <si>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</si>
  <si>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</si>
  <si>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</si>
  <si>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</si>
  <si>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</si>
  <si>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</si>
  <si>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</si>
  <si>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</si>
  <si>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</si>
  <si>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</si>
  <si>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</si>
  <si>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</si>
  <si>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</si>
  <si>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</si>
  <si>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</si>
  <si>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</si>
  <si>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</si>
  <si>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</si>
  <si>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</si>
  <si>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</si>
  <si>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</si>
  <si>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</si>
  <si>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</si>
  <si>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</si>
  <si>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</si>
  <si>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</si>
  <si>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</si>
  <si>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</si>
  <si>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</si>
  <si>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</si>
  <si>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</si>
  <si>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</si>
  <si>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</si>
  <si>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</si>
  <si>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</si>
  <si>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</si>
  <si>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</si>
  <si>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</si>
  <si>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</si>
  <si>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</si>
  <si>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</si>
  <si>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</si>
  <si>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</si>
  <si>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</si>
  <si>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</si>
  <si>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</si>
  <si>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</si>
  <si>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</si>
  <si>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</si>
  <si>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</si>
  <si>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</si>
  <si>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</si>
  <si>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</si>
  <si>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</si>
  <si>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</si>
  <si>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</si>
  <si>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</si>
  <si>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</si>
  <si>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</si>
  <si>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</si>
  <si>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</si>
  <si>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</si>
  <si>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</si>
  <si>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</si>
  <si>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</si>
  <si>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</si>
  <si>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</si>
  <si>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</si>
  <si>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</si>
  <si>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</si>
  <si>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</si>
  <si>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</si>
  <si>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</si>
  <si>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</si>
  <si>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</si>
  <si>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</si>
  <si>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</si>
  <si>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</si>
  <si>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</si>
  <si>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</si>
  <si>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</si>
  <si>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</si>
  <si>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</si>
  <si>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</si>
  <si>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</si>
  <si>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</si>
  <si>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</si>
  <si>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</si>
  <si>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</si>
  <si>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</si>
  <si>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</si>
  <si>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</si>
  <si>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</si>
  <si>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</si>
  <si>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</si>
  <si>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</si>
  <si>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</si>
  <si>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</si>
  <si>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</si>
  <si>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</si>
  <si>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</si>
  <si>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</si>
  <si>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</si>
  <si>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</si>
  <si>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</si>
  <si>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</si>
  <si>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</si>
  <si>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</si>
  <si>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</si>
  <si>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</si>
  <si>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</si>
  <si>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</si>
  <si>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</si>
  <si>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</si>
  <si>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</si>
  <si>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</si>
  <si>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</si>
  <si>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</si>
  <si>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</si>
  <si>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Harvey's Lake</t>
  </si>
  <si>
    <t>Matthew Bloom</t>
  </si>
  <si>
    <t>matthew.bloom@veolia.com</t>
  </si>
  <si>
    <t>717-901-6332</t>
  </si>
  <si>
    <t>Harvey's Lake</t>
  </si>
  <si>
    <t>USA</t>
  </si>
  <si>
    <t>Jan 31 2024</t>
  </si>
  <si>
    <t>2400103</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</si>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</sst>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1.7074363992172212</c:v>
                </c:pt>
                <c:pt idx="1">
                  <c:v>0.26113598867139654</c:v>
                </c:pt>
                <c:pt idx="2">
                  <c:v>30.673426196035951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6.6115885459183712</c:v>
                </c:pt>
                <c:pt idx="1">
                  <c:v>0.92482240795754933</c:v>
                </c:pt>
                <c:pt idx="2">
                  <c:v>108.06639004081775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5.1352857142857156</c:v>
                </c:pt>
                <c:pt idx="1">
                  <c:v>0.38772920688421864</c:v>
                </c:pt>
                <c:pt idx="2">
                  <c:v>42.943135939357397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3.9E-2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1.0075000000000001E-2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0.24592500000000039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$655/Yr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7.0595999999999997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98.88000000000001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321.36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83.018000000000015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144.67767750000021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0.emf"/><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3.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69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0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0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0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03"/>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0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05"/>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06"/>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07"/>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08"/>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09"/>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10"/>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11"/>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12"/>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13"/>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14"/>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15"/>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16"/>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17"/>
                  </a:ext>
                </a:extLst>
              </xdr:cNvPicPr>
            </xdr:nvPicPr>
            <xdr:blipFill rotWithShape="1">
              <a:blip xmlns:r="http://schemas.openxmlformats.org/officeDocument/2006/relationships" r:embed="rId2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E17" sqref="BE1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P44" sqref="AP44"/>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Harvey's Lake</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4.3490000000000002</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4.3490000000000002</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4.3490000000000002</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4.3490000000000002</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4.03</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4.03</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4.0419999999999998</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0.30700000000000038</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1.0075000000000001E-2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3.9E-2</v>
      </c>
      <c r="I41" s="280"/>
      <c r="J41" s="270" t="str">
        <f>IF('Start Page'!$AB$22="million gallons (US)","MG/Yr",IF('Start Page'!$AB$22="Megalitres (thousand cubic metres)","ML/Yr",IF('Start Page'!$AB$22="acre-feet","Acre-ft/Yr","")))</f>
        <v>MG/Yr</v>
      </c>
      <c r="K41" s="270"/>
      <c r="L41" s="270"/>
      <c r="M41" s="270"/>
      <c r="N41" s="270"/>
      <c r="O41" s="530"/>
      <c r="P41" s="582" t="s">
        <v>790</v>
      </c>
      <c r="Q41" s="1013">
        <v>3.9E-2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1.2E-2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1.2E-2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6.1075000000000004E-2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3.9E-2</v>
      </c>
      <c r="Y50" s="135">
        <f>IFERROR(IF(W41=1,((H25)/(1-(O41*X41)))-(H25),Q41*H25/(H23+H25)),0)</f>
        <v>0</v>
      </c>
      <c r="Z50" s="923">
        <f>SUM(X50:Y50)</f>
        <v>3.9E-2</v>
      </c>
      <c r="AA50" s="1050"/>
      <c r="AB50" s="1050"/>
      <c r="AC50" s="1050"/>
    </row>
    <row r="51" spans="1:29">
      <c r="A51" s="91"/>
      <c r="B51" s="562"/>
      <c r="C51" s="1030" t="s">
        <v>664</v>
      </c>
      <c r="D51" s="1030"/>
      <c r="E51" s="1030"/>
      <c r="F51" s="1030"/>
      <c r="G51" s="869"/>
      <c r="H51" s="868">
        <f>IFERROR(H35-H46,"")</f>
        <v>0.24592500000000039</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0.30700000000000038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0.31900000000000039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1.04</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98</v>
      </c>
      <c r="I62" s="291"/>
      <c r="J62" s="292"/>
      <c r="K62" s="101"/>
      <c r="L62" s="101"/>
      <c r="M62" s="292" t="s">
        <v>904</v>
      </c>
      <c r="N62" s="101"/>
      <c r="U62" s="256"/>
      <c r="V62" s="91"/>
    </row>
    <row r="63" spans="1:29">
      <c r="A63" s="91"/>
      <c r="B63" s="562"/>
      <c r="C63" s="529" t="s">
        <v>167</v>
      </c>
      <c r="D63" s="53"/>
      <c r="E63" s="512"/>
      <c r="F63" s="273"/>
      <c r="G63" s="53"/>
      <c r="H63" s="500">
        <f>IF(ISERROR(H62/H61),"",H62/H61)</f>
        <v>94.230769230769226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AA467" sqref="AA467"/>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Harvey's Lake</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Harvey's Lake</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result is below 10th %ile</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6.6115885459183712</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6.6115885459183712</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6.6115885459183712</v>
      </c>
      <c r="AB18" s="1080"/>
      <c r="AC18" s="1080"/>
      <c r="AD18" s="871" t="str">
        <f>BD13</f>
        <v>$/conn/year</v>
      </c>
      <c r="AE18" s="872"/>
      <c r="AF18" s="873"/>
      <c r="AG18" s="873"/>
      <c r="AH18" s="874"/>
      <c r="AI18" s="874"/>
      <c r="AJ18" s="872"/>
      <c r="AK18" s="1080">
        <f>BS22</f>
        <v>5.1352857142857156</v>
      </c>
      <c r="AL18" s="1080"/>
      <c r="AM18" s="1080"/>
      <c r="AN18" s="871" t="str">
        <f>BD13</f>
        <v>$/conn/year</v>
      </c>
      <c r="AO18" s="872"/>
      <c r="AP18" s="872"/>
      <c r="AQ18" s="872"/>
      <c r="AR18" s="872"/>
      <c r="AS18" s="872"/>
      <c r="AT18" s="872"/>
      <c r="AU18" s="1080">
        <f>BS29</f>
        <v>1.4763028316326552</v>
      </c>
      <c r="AV18" s="1080"/>
      <c r="AW18" s="1080"/>
      <c r="AX18" s="871" t="str">
        <f>BD13</f>
        <v>$/conn/year</v>
      </c>
      <c r="AY18" s="701"/>
      <c r="AZ18" s="247"/>
      <c r="BA18" s="247"/>
      <c r="BB18" s="342"/>
      <c r="BC18" s="109"/>
      <c r="BD18" s="58" t="s">
        <v>708</v>
      </c>
      <c r="BE18" s="234">
        <f>(((5.41*Worksheet!H61)+(0.15*Worksheet!H62)+(7.5*(Worksheet!H62*Worksheet!W67/5280)))*Worksheet!H68)/1000000*365</f>
        <v>0.50534371943181822</v>
      </c>
      <c r="BN18" s="659"/>
      <c r="BO18" s="716" t="s">
        <v>1041</v>
      </c>
      <c r="BP18" s="718">
        <f>BQ18-BQ17</f>
        <v>8.9525318444022357</v>
      </c>
      <c r="BQ18" s="900">
        <f t="shared" si="0"/>
        <v>18.283980813778896</v>
      </c>
      <c r="BR18" s="716" t="s">
        <v>781</v>
      </c>
      <c r="BS18" s="720">
        <f>SUM(BP16:BP20)-SUM(BS16,BS17)</f>
        <v>108.06639004081775</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1.5508408961379652</v>
      </c>
      <c r="BF19" s="233">
        <f>BE19*325851.427242/Worksheet!H62/365</f>
        <v>14.127585111317254</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4.6132897499999999</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5.1352857142857156</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5.1352857142857156</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result is below 10th %ile</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result is below 10th %ile</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42.943135939357397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8.5826111266424494</v>
      </c>
      <c r="AB29" s="1084"/>
      <c r="AC29" s="1084"/>
      <c r="AD29" s="870" t="str">
        <f>BD10</f>
        <v>gal/conn/day</v>
      </c>
      <c r="AE29" s="870"/>
      <c r="AF29" s="875"/>
      <c r="AG29" s="875"/>
      <c r="AH29" s="700"/>
      <c r="AI29" s="700"/>
      <c r="AJ29" s="700"/>
      <c r="AK29" s="1084">
        <f>BS43</f>
        <v>1.7074363992172212</v>
      </c>
      <c r="AL29" s="1084"/>
      <c r="AM29" s="1084"/>
      <c r="AN29" s="871" t="str">
        <f>BD10</f>
        <v>gal/conn/day</v>
      </c>
      <c r="AO29" s="700"/>
      <c r="AP29" s="700"/>
      <c r="AQ29" s="700"/>
      <c r="AR29" s="700"/>
      <c r="AS29" s="700"/>
      <c r="AT29" s="700"/>
      <c r="AU29" s="1090">
        <f>BS55</f>
        <v>6.8751747274252279</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1.4763028316326552</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0</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70.525930416536013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8.5826111266424494</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result is below 10th %ile</v>
      </c>
      <c r="AJ37" s="1079"/>
      <c r="AK37" s="1079"/>
      <c r="AL37" s="1079"/>
      <c r="AM37" s="247"/>
      <c r="AN37" s="247"/>
      <c r="AO37" s="247"/>
      <c r="AP37" s="247"/>
      <c r="AQ37" s="247"/>
      <c r="AR37" s="247"/>
      <c r="AS37" s="247"/>
      <c r="AT37" s="1079" t="str">
        <f>IF(BS69&lt;0,"negative result check inputs",IF($BS$70=0,"result is below 10th %ile",IF($BS$69&gt;$BS$70,"result is above 90th %ile","")))</f>
        <v>result is below 10th %ile</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0</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248.29958819116263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0.48664896889686382</v>
      </c>
      <c r="AI41" s="1089"/>
      <c r="AJ41" s="1089"/>
      <c r="AK41" s="870" t="s">
        <v>1050</v>
      </c>
      <c r="AL41" s="799"/>
      <c r="AM41" s="800"/>
      <c r="AN41" s="796"/>
      <c r="AO41" s="796"/>
      <c r="AP41" s="796"/>
      <c r="AQ41" s="796"/>
      <c r="AR41" s="796"/>
      <c r="AS41" s="1088">
        <f>BS69</f>
        <v>647.85300316122334</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0.50534371943181822</v>
      </c>
      <c r="AL43" s="1086"/>
      <c r="AM43" s="1086"/>
      <c r="AN43" s="1086"/>
      <c r="AO43" s="916" t="str">
        <f>BD7</f>
        <v>MG/Yr</v>
      </c>
      <c r="AP43" s="700"/>
      <c r="AQ43" s="700"/>
      <c r="AR43" s="700"/>
      <c r="AS43" s="1086">
        <f>IF(BG19=1,BF19,IFERROR(AK43*1000000/Worksheet!H62/365,""))</f>
        <v>14.127585111317254</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1.7074363992172212</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1.7074363992172212</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30.673426196035951</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6.1075000000000004E-2</v>
      </c>
      <c r="J49" s="1095"/>
      <c r="K49" s="1095"/>
      <c r="L49" s="1095"/>
      <c r="M49" s="683"/>
      <c r="N49" s="1096">
        <f>IF(OR(ISBLANK('Start Page'!$AB$22),ISBLANK(Worksheet!J76)),"",(SUM(Worksheet!H43+Worksheet!H39+Worksheet!X50)*Worksheet!H76)*INDEX(Sheet1!B2:D4,MATCH('Start Page'!AB22,Sheet1!A2:A4,0),MATCH(Worksheet!J76,Sheet1!B1:D1,0))+Worksheet!Y50*Worksheet!H77)</f>
        <v>503.2580000000001</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0.24592500000000039</v>
      </c>
      <c r="J50" s="1095"/>
      <c r="K50" s="1095"/>
      <c r="L50" s="1095"/>
      <c r="M50" s="683"/>
      <c r="N50" s="1096">
        <f>IFERROR(IF(Worksheet!H41="Select under/over","",IF(ISBLANK('Start Page'!AB22),"",Worksheet!H51*(IF(BD29=FALSE,Worksheet!H77,IF(BD29=TRUE,Worksheet!H76*INDEX(Sheet1!B2:D4,MATCH('Start Page'!AB22,Sheet1!A2:A4,0),MATCH(Worksheet!J76,Sheet1!B1:D1,0)),""))))),"")</f>
        <v>144.67767750000021</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1.2E-2</v>
      </c>
      <c r="J51" s="1095"/>
      <c r="K51" s="1095"/>
      <c r="L51" s="1095"/>
      <c r="M51" s="683"/>
      <c r="N51" s="1096">
        <f>IFERROR(IF(SUM(Sheet1!D90:D91)=0,"",SUM(Sheet1!D90:D91)),"")</f>
        <v>7.0595999999999997</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0.31900000000000039</v>
      </c>
      <c r="J52" s="1095"/>
      <c r="K52" s="1095"/>
      <c r="L52" s="1095"/>
      <c r="M52" s="683"/>
      <c r="N52" s="1096">
        <f>IF(SUM(N49:N51)=0,"",SUM(N49:N51))</f>
        <v>654.99527750000038</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6.8751747274252279</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0</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229.01903234921301</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0.48664896889686382</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0</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11.266177727169243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647.85300316122334</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2" sqref="B2:H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Harvey's Lake</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MG/Yr</v>
      </c>
    </row>
    <row r="79" spans="1:6" ht="16.5">
      <c r="B79" s="52"/>
      <c r="C79" s="52"/>
      <c r="D79" s="52"/>
      <c r="E79" s="9" t="str">
        <f>IFERROR("Total Cost of NRW = $"&amp;TEXT(SUM(D90,D91,D94,D95,D96,D98),"#,###")&amp;"/Yr","")</f>
        <v>Total Cost of NRW = $655/Yr</v>
      </c>
      <c r="F79" s="52"/>
    </row>
    <row r="80" spans="1:6">
      <c r="A80"/>
      <c r="B80"/>
      <c r="C80" s="53" t="str">
        <f>"Volume ("&amp;Worksheet!J15&amp;")"</f>
        <v>Volume (MG/Yr)</v>
      </c>
      <c r="D80" s="53" t="s">
        <v>149</v>
      </c>
      <c r="E80" s="94" t="s">
        <v>1087</v>
      </c>
      <c r="F80"/>
    </row>
    <row r="81" spans="1:6">
      <c r="A81" s="46" t="s">
        <v>129</v>
      </c>
      <c r="B81" s="46"/>
      <c r="C81" s="122">
        <f>IF(Dashboard!BO$2&gt;0,"",Worksheet!H15)</f>
        <v>4.3490000000000002</v>
      </c>
      <c r="D81" s="123">
        <f>IF(Dashboard!BO$2&gt;0,"",C81*(Worksheet!$H$77))</f>
        <v>2558.5167000000001</v>
      </c>
      <c r="E81" s="605">
        <f>D81</f>
        <v>2558.5167000000001</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4.3490000000000002</v>
      </c>
      <c r="D87" s="123">
        <f>IF(Dashboard!BO$2&gt;0,"",C87*(Worksheet!$H$77))</f>
        <v>2558.5167000000001</v>
      </c>
      <c r="E87" s="605">
        <f t="shared" si="0"/>
        <v>2558.5167000000001</v>
      </c>
      <c r="F87"/>
    </row>
    <row r="88" spans="1:6">
      <c r="A88" t="s">
        <v>55</v>
      </c>
      <c r="B88"/>
      <c r="C88" s="122">
        <f>IF(Dashboard!BO$2&gt;0,"",Worksheet!H23)</f>
        <v>4.03</v>
      </c>
      <c r="D88" s="123">
        <f>IF(Dashboard!BO$2&gt;0,"",C88*(Worksheet!$H$76*1000))</f>
        <v>33207.200000000004</v>
      </c>
      <c r="E88" s="605">
        <f t="shared" si="0"/>
        <v>33207.200000000004</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7.0595999999999997</v>
      </c>
      <c r="E91" s="606">
        <f t="shared" si="0"/>
        <v>7.0595999999999997</v>
      </c>
      <c r="F91"/>
    </row>
    <row r="92" spans="1:6">
      <c r="A92" s="158" t="s">
        <v>2</v>
      </c>
      <c r="B92" s="125" t="s">
        <v>241</v>
      </c>
      <c r="C92" s="122">
        <f>IF(Dashboard!BO$2&gt;0,"",Worksheet!H30)</f>
        <v>4.0419999999999998</v>
      </c>
      <c r="D92" s="123">
        <f>IF(Dashboard!BO$2&gt;0,"",C92*(Worksheet!$H$76*1000))</f>
        <v>33306.080000000002</v>
      </c>
      <c r="E92" s="605">
        <f t="shared" si="0"/>
        <v>33306.080000000002</v>
      </c>
      <c r="F92"/>
    </row>
    <row r="93" spans="1:6">
      <c r="A93" t="s">
        <v>51</v>
      </c>
      <c r="B93"/>
      <c r="C93" s="122">
        <f>IF(Dashboard!BO$2&gt;0,"",Worksheet!H35)</f>
        <v>0.30700000000000038</v>
      </c>
      <c r="D93" s="123"/>
      <c r="E93" s="605">
        <f t="shared" si="0"/>
        <v>0</v>
      </c>
      <c r="F93"/>
    </row>
    <row r="94" spans="1:6">
      <c r="A94" s="223" t="s">
        <v>680</v>
      </c>
      <c r="B94" s="46"/>
      <c r="C94" s="126">
        <f>IF(Dashboard!BO$2&gt;0,"",Worksheet!H43)</f>
        <v>1.2E-2</v>
      </c>
      <c r="D94" s="127">
        <f>IF(Dashboard!BO$2&gt;0,"",IF(ISBLANK('Start Page'!AB22),"",IF(AND(ISBLANK(Worksheet!H77),Worksheet!Z77&lt;&gt;1),"",C94*Worksheet!H76*INDEX(Sheet1!B2:D4,MATCH('Start Page'!AB22,Sheet1!A2:A4,0),MATCH(Worksheet!J76,Sheet1!B1:D1,0)))))</f>
        <v>98.88000000000001</v>
      </c>
      <c r="E94" s="606">
        <f t="shared" si="0"/>
        <v>98.88000000000001</v>
      </c>
      <c r="F94" s="128"/>
    </row>
    <row r="95" spans="1:6">
      <c r="A95" s="223" t="s">
        <v>681</v>
      </c>
      <c r="B95" s="46"/>
      <c r="C95" s="126">
        <f>IF(Dashboard!BO$2&gt;0,"",Worksheet!H41)</f>
        <v>3.9E-2</v>
      </c>
      <c r="D95" s="127">
        <f>IF(Dashboard!BO$2&gt;0,"",IF(ISBLANK('Start Page'!AB22),"",IF(AND(ISBLANK(Worksheet!H77),Worksheet!Z77&lt;&gt;1),"",C95*Worksheet!H76*INDEX(Sheet1!B2:D4,MATCH('Start Page'!AB22,Sheet1!A2:A4,0),MATCH(Worksheet!J76,Sheet1!B1:D1,0)))))</f>
        <v>321.36</v>
      </c>
      <c r="E95" s="606">
        <f t="shared" si="0"/>
        <v>321.36</v>
      </c>
      <c r="F95" s="128"/>
    </row>
    <row r="96" spans="1:6">
      <c r="A96" s="223" t="s">
        <v>682</v>
      </c>
      <c r="B96" s="46"/>
      <c r="C96" s="126">
        <f>IF(Dashboard!BO$2&gt;0,"",Worksheet!H39)</f>
        <v>1.0075000000000001E-2</v>
      </c>
      <c r="D96" s="127">
        <f>IF(Dashboard!BO$2&gt;0,"",IF(ISBLANK('Start Page'!AB22),"",IF(AND(ISBLANK(Worksheet!H77),Worksheet!Z77&lt;&gt;1),"",C96*Worksheet!H76*INDEX(Sheet1!B2:D4,MATCH('Start Page'!AB22,Sheet1!A2:A4,0),MATCH(Worksheet!J76,Sheet1!B1:D1,0)))))</f>
        <v>83.018000000000015</v>
      </c>
      <c r="E96" s="606">
        <f t="shared" si="0"/>
        <v>83.018000000000015</v>
      </c>
      <c r="F96" s="128"/>
    </row>
    <row r="97" spans="1:7">
      <c r="A97" t="s">
        <v>42</v>
      </c>
      <c r="B97"/>
      <c r="C97" s="122">
        <f>IF(Dashboard!BO$2&gt;0,"",Worksheet!H46)</f>
        <v>6.1075000000000004E-2</v>
      </c>
      <c r="D97" s="123">
        <f>IF(Dashboard!BO$2&gt;0,"",SUM(D94:D96))</f>
        <v>503.25800000000004</v>
      </c>
      <c r="E97" s="605">
        <f t="shared" si="0"/>
        <v>503.25800000000004</v>
      </c>
      <c r="F97"/>
    </row>
    <row r="98" spans="1:7">
      <c r="A98" s="54" t="str">
        <f>"Real Losses valued at "&amp;A76&amp;""</f>
        <v xml:space="preserve">Real Losses valued at </v>
      </c>
      <c r="B98" s="46"/>
      <c r="C98" s="126">
        <f>IF(Dashboard!BO$2&gt;0,"",Worksheet!H51)</f>
        <v>0.24592500000000039</v>
      </c>
      <c r="D98" s="127">
        <f>IF(Dashboard!BO$2&gt;0,"",Dashboard!N50)</f>
        <v>144.67767750000021</v>
      </c>
      <c r="E98" s="606">
        <f t="shared" si="0"/>
        <v>144.67767750000021</v>
      </c>
      <c r="F98" s="605"/>
    </row>
    <row r="99" spans="1:7">
      <c r="A99" t="s">
        <v>74</v>
      </c>
      <c r="B99"/>
      <c r="C99" s="122">
        <f>IF(Dashboard!BO$2&gt;0,"",Worksheet!H57)</f>
        <v>0.31900000000000039</v>
      </c>
      <c r="D99" s="124">
        <f>IF(Dashboard!BO$2&gt;0,"",D97+D98+D90+D91)</f>
        <v>654.99527750000027</v>
      </c>
      <c r="E99" s="605">
        <f t="shared" si="0"/>
        <v>654.99527750000027</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Harvey's Lake</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4.03</v>
      </c>
      <c r="H12" s="362"/>
      <c r="I12" s="5"/>
      <c r="K12" s="898"/>
    </row>
    <row r="13" spans="2:16" ht="22.5" customHeight="1">
      <c r="B13" s="1113"/>
      <c r="C13" s="363"/>
      <c r="D13" s="360"/>
      <c r="E13" s="1122"/>
      <c r="F13" s="365">
        <f>Worksheet!H23+Worksheet!H24</f>
        <v>4.03</v>
      </c>
      <c r="G13" s="366" t="s">
        <v>1092</v>
      </c>
      <c r="H13" s="367">
        <f>SUM(G12+G14)</f>
        <v>4.03</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4.0419999999999998</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4.3490000000000002</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600" t="s">
        <v>697</v>
      </c>
      <c r="H19" s="385">
        <f>Worksheet!H25+Worksheet!H26+Worksheet!H46+Worksheet!H51</f>
        <v>0.31900000000000039</v>
      </c>
      <c r="I19" s="5"/>
      <c r="K19" s="46"/>
      <c r="L19" s="121"/>
      <c r="M19" s="121"/>
      <c r="N19" s="121"/>
      <c r="O19" s="121"/>
      <c r="P19" s="121"/>
    </row>
    <row r="20" spans="2:16" ht="15.75" customHeight="1">
      <c r="B20" s="375"/>
      <c r="C20" s="386">
        <f>B17+B27</f>
        <v>4.3490000000000002</v>
      </c>
      <c r="D20" s="360"/>
      <c r="E20" s="250"/>
      <c r="F20" s="387" t="s">
        <v>52</v>
      </c>
      <c r="G20" s="376">
        <f>Worksheet!H39</f>
        <v>1.0075000000000001E-2</v>
      </c>
      <c r="H20" s="362"/>
      <c r="I20" s="5"/>
      <c r="K20" s="46"/>
    </row>
    <row r="21" spans="2:16" ht="14.25" customHeight="1">
      <c r="B21" s="388"/>
      <c r="C21" s="389"/>
      <c r="D21" s="386">
        <f>Worksheet!H19</f>
        <v>4.3490000000000002</v>
      </c>
      <c r="E21" s="390"/>
      <c r="F21" s="380">
        <f>Worksheet!H46</f>
        <v>6.1075000000000004E-2</v>
      </c>
      <c r="G21" s="364" t="s">
        <v>696</v>
      </c>
      <c r="H21" s="362"/>
      <c r="I21" s="5"/>
      <c r="K21" s="46"/>
      <c r="L21" s="121"/>
      <c r="M21" s="121"/>
      <c r="N21" s="121"/>
      <c r="O21" s="121"/>
      <c r="P21" s="121"/>
    </row>
    <row r="22" spans="2:16" ht="15.75" customHeight="1">
      <c r="B22" s="375"/>
      <c r="C22" s="359"/>
      <c r="D22" s="360"/>
      <c r="E22" s="250"/>
      <c r="F22" s="390"/>
      <c r="G22" s="391">
        <f>Worksheet!H41</f>
        <v>3.9E-2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1.2E-2</v>
      </c>
      <c r="H24" s="362"/>
      <c r="I24" s="5"/>
      <c r="K24" s="46"/>
    </row>
    <row r="25" spans="2:16" ht="26.25" customHeight="1">
      <c r="B25" s="1112" t="s">
        <v>1089</v>
      </c>
      <c r="C25" s="363"/>
      <c r="D25" s="360"/>
      <c r="E25" s="393">
        <f>Worksheet!H53</f>
        <v>0.30700000000000038</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0.24592500000000039</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Harvey's Lake</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5D8FFAC-6E76-4AB8-AA52-B394FB8924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