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G:\fingrp\Treasury\Rates\Alex Stahl G Files\PENNSYLVANIA\Water Audit\2023\"/>
    </mc:Choice>
  </mc:AlternateContent>
  <xr:revisionPtr revIDLastSave="0" documentId="13_ncr:1_{9683AB90-D696-4686-8F2B-1BC74C36084B}"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<sst xmlns="http://schemas.openxmlformats.org/spreadsheetml/2006/main" count="2558" uniqueCount="1281">
  <si>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</si>
  <si>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</si>
  <si>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</si>
  <si>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</si>
  <si>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</si>
  <si>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</si>
  <si>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</si>
  <si>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</si>
  <si>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</si>
  <si>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</si>
  <si>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</si>
  <si>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</si>
  <si>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</si>
  <si>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</si>
  <si>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</si>
  <si>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</si>
  <si>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</si>
  <si>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</si>
  <si>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</si>
  <si>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</si>
  <si>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</si>
  <si>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</si>
  <si>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</si>
  <si>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</si>
  <si>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</si>
  <si>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</si>
  <si>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</si>
  <si>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</si>
  <si>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</si>
  <si>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</si>
  <si>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</si>
  <si>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</si>
  <si>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</si>
  <si>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</si>
  <si>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</si>
  <si>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</si>
  <si>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</si>
  <si>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</si>
  <si>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</si>
  <si>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</si>
  <si>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</si>
  <si>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</si>
  <si>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</si>
  <si>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</si>
  <si>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</si>
  <si>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</si>
  <si>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</si>
  <si>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</si>
  <si>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</si>
  <si>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</si>
  <si>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</si>
  <si>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</si>
  <si>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</si>
  <si>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</si>
  <si>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</si>
  <si>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</si>
  <si>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</si>
  <si>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</si>
  <si>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</si>
  <si>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</si>
  <si>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</si>
  <si>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</si>
  <si>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</si>
  <si>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</si>
  <si>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</si>
  <si>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</si>
  <si>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</si>
  <si>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</si>
  <si>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</si>
  <si>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</si>
  <si>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</si>
  <si>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</si>
  <si>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</si>
  <si>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</si>
  <si>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</si>
  <si>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</si>
  <si>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</si>
  <si>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</si>
  <si>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</si>
  <si>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</si>
  <si>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</si>
  <si>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</si>
  <si>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</si>
  <si>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</si>
  <si>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</si>
  <si>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</si>
  <si>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</si>
  <si>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</si>
  <si>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</si>
  <si>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</si>
  <si>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</si>
  <si>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</si>
  <si>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</si>
  <si>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</si>
  <si>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</si>
  <si>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</si>
  <si>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</si>
  <si>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</si>
  <si>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</si>
  <si>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</si>
  <si>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</si>
  <si>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</si>
  <si>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</si>
  <si>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</si>
  <si>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</si>
  <si>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</si>
  <si>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</si>
  <si>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</si>
  <si>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</si>
  <si>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</si>
  <si>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</si>
  <si>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</si>
  <si>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</si>
  <si>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</si>
  <si>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</si>
  <si>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</si>
  <si>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</si>
  <si>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</si>
  <si>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</si>
  <si>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</si>
  <si>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</si>
  <si>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</si>
  <si>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</si>
  <si>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</si>
  <si>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</si>
  <si>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</si>
  <si>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</si>
  <si>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</si>
  <si>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</si>
  <si>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</si>
  <si>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</si>
  <si>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</si>
  <si>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</si>
  <si>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</si>
  <si>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</si>
  <si>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</si>
  <si>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</si>
  <si>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</si>
  <si>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</si>
  <si>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</si>
  <si>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</si>
  <si>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</si>
  <si>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</si>
  <si>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</si>
  <si>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</si>
  <si>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</si>
  <si>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</si>
  <si>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</si>
  <si>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</si>
  <si>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</si>
  <si>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</si>
  <si>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</si>
  <si>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</si>
  <si>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</si>
  <si>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</si>
  <si>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</si>
  <si>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</si>
  <si>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</si>
  <si>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</si>
  <si>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</si>
  <si>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</si>
  <si>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</si>
  <si>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</si>
  <si>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</si>
  <si>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</si>
  <si>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</si>
  <si>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</si>
  <si>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</si>
  <si>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</si>
  <si>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</si>
  <si>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</si>
  <si>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</si>
  <si>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</si>
  <si>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</si>
  <si>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</si>
  <si>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</si>
  <si>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</si>
  <si>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</si>
  <si>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</si>
  <si>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</si>
  <si>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</si>
  <si>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</si>
  <si>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</si>
  <si>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</si>
  <si>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</si>
  <si>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</si>
  <si>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</si>
  <si>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</si>
  <si>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</si>
  <si>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</si>
  <si>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</si>
  <si>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</si>
  <si>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</si>
  <si>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</si>
  <si>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</si>
  <si>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</si>
  <si>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</si>
  <si>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</si>
  <si>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</si>
  <si>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</si>
  <si>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</si>
  <si>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</si>
  <si>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</si>
  <si>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</si>
  <si>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</si>
  <si>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</si>
  <si>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</si>
  <si>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</si>
  <si>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</si>
  <si>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</si>
  <si>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</si>
  <si>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</si>
  <si>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</si>
  <si>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</si>
  <si>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</si>
  <si>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</si>
  <si>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</si>
  <si>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</si>
  <si>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</si>
  <si>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</si>
  <si>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</si>
  <si>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</si>
  <si>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</si>
  <si>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</si>
  <si>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</si>
  <si>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</si>
  <si>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</si>
  <si>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</si>
  <si>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</si>
  <si>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</si>
  <si>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</si>
  <si>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</si>
  <si>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</si>
  <si>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</si>
  <si>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</si>
  <si>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</si>
  <si>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</si>
  <si>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</si>
  <si>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</si>
  <si>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</si>
  <si>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</si>
  <si>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</si>
  <si>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</si>
  <si>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</si>
  <si>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</si>
  <si>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</si>
  <si>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</si>
  <si>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</si>
  <si>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</si>
  <si>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</si>
  <si>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</si>
  <si>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</si>
  <si>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</si>
  <si>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</si>
  <si>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</si>
  <si>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</si>
  <si>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</si>
  <si>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</si>
  <si>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</si>
  <si>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</si>
  <si>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</si>
  <si>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</si>
  <si>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</si>
  <si>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</si>
  <si>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</si>
  <si>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</si>
  <si>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</si>
  <si>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</si>
  <si>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</si>
  <si>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</si>
  <si>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</si>
  <si>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</si>
  <si>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</si>
  <si>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</si>
  <si>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</si>
  <si>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</si>
  <si>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</si>
  <si>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</si>
  <si>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</si>
  <si>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</si>
  <si>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</si>
  <si>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</si>
  <si>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</si>
  <si>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</si>
  <si>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</si>
  <si>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</si>
  <si>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</si>
  <si>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</si>
  <si>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</si>
  <si>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</si>
  <si>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</si>
  <si>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</si>
  <si>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</si>
  <si>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</si>
  <si>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</si>
  <si>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</si>
  <si>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</si>
  <si>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</si>
  <si>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</si>
  <si>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</si>
  <si>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</si>
  <si>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</si>
  <si>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</si>
  <si>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</si>
  <si>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</si>
  <si>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</si>
  <si>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</si>
  <si>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</si>
  <si>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</si>
  <si>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</si>
  <si>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</si>
  <si>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</si>
  <si>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</si>
  <si>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</si>
  <si>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</si>
  <si>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</si>
  <si>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</si>
  <si>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</si>
  <si>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</si>
  <si>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</si>
  <si>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</si>
  <si>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</si>
  <si>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</si>
  <si>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</si>
  <si>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</si>
  <si>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</si>
  <si>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</si>
  <si>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</si>
  <si>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</si>
  <si>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</si>
  <si>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</si>
  <si>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</si>
  <si>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</si>
  <si>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</si>
  <si>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</si>
  <si>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</si>
  <si>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</si>
  <si>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</si>
  <si>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</si>
  <si>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</si>
  <si>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</si>
  <si>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</si>
  <si>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</si>
  <si>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</si>
  <si>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</si>
  <si>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</si>
  <si>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</si>
  <si>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</si>
  <si>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</si>
  <si>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</si>
  <si>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</si>
  <si>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</si>
  <si>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</si>
  <si>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</si>
  <si>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</si>
  <si>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</si>
  <si>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</si>
  <si>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</si>
  <si>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</si>
  <si>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</si>
  <si>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</si>
  <si>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</si>
  <si>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</si>
  <si>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</si>
  <si>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</si>
  <si>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</si>
  <si>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</si>
  <si>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</si>
  <si>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</si>
  <si>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</si>
  <si>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</si>
  <si>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</si>
  <si>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</si>
  <si>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</si>
  <si>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</si>
  <si>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</si>
  <si>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</si>
  <si>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</si>
  <si>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</si>
  <si>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</si>
  <si>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</si>
  <si>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</si>
  <si>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</si>
  <si>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</si>
  <si>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</si>
  <si>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</si>
  <si>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</si>
  <si>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</si>
  <si>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</si>
  <si>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</si>
  <si>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</si>
  <si>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</si>
  <si>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</si>
  <si>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</si>
  <si>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</si>
  <si>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</si>
  <si>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</si>
  <si>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</si>
  <si>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</si>
  <si>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</si>
  <si>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</si>
  <si>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</si>
  <si>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</si>
  <si>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</si>
  <si>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</si>
  <si>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</si>
  <si>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</si>
  <si>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</si>
  <si>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</si>
  <si>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</si>
  <si>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</si>
  <si>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</si>
  <si>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</si>
  <si>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</si>
  <si>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</si>
  <si>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</si>
  <si>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</si>
  <si>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</si>
  <si>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</si>
  <si>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</si>
  <si>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</si>
  <si>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</si>
  <si>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</si>
  <si>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</si>
  <si>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</si>
  <si>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</si>
  <si>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</si>
  <si>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</si>
  <si>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</si>
  <si>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</si>
  <si>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</si>
  <si>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</si>
  <si>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</si>
  <si>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</si>
  <si>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</si>
  <si>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</si>
  <si>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</si>
  <si>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</si>
  <si>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</si>
  <si>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</si>
  <si>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</si>
  <si>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</si>
  <si>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</si>
  <si>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</si>
  <si>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</si>
  <si>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</si>
  <si>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</si>
  <si>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</si>
  <si>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</si>
  <si>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</si>
  <si>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</si>
  <si>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</si>
  <si>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</si>
  <si>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</si>
  <si>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</si>
  <si>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</si>
  <si>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</si>
  <si>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</si>
  <si>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</si>
  <si>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</si>
  <si>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</si>
  <si>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</si>
  <si>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</si>
  <si>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</si>
  <si>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</si>
  <si>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</si>
  <si>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</si>
  <si>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</si>
  <si>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</si>
  <si>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</si>
  <si>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</si>
  <si>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</si>
  <si>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</si>
  <si>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</si>
  <si>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</si>
  <si>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</si>
  <si>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</si>
  <si>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</si>
  <si>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</si>
  <si>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</si>
  <si>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</si>
  <si>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</si>
  <si>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</si>
  <si>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</si>
  <si>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</si>
  <si>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</si>
  <si>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</si>
  <si>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</si>
  <si>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</si>
  <si>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</si>
  <si>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</si>
  <si>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</si>
  <si>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</si>
  <si>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</si>
  <si>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</si>
  <si>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</si>
  <si>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</si>
  <si>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</si>
  <si>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</si>
  <si>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</si>
  <si>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</si>
  <si>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</si>
  <si>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</si>
  <si>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</si>
  <si>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</si>
  <si>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</si>
  <si>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</si>
  <si>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</si>
  <si>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</si>
  <si>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</si>
  <si>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</si>
  <si>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</si>
  <si>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</si>
  <si>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</si>
  <si>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</si>
  <si>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</si>
  <si>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</si>
  <si>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</si>
  <si>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</si>
  <si>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</si>
  <si>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</si>
  <si>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</si>
  <si>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</si>
  <si>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</si>
  <si>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</si>
  <si>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</si>
  <si>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</si>
  <si>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</si>
  <si>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</si>
  <si>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</si>
  <si>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</si>
  <si>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</si>
  <si>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</si>
  <si>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</si>
  <si>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</si>
  <si>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</si>
  <si>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</si>
  <si>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</si>
  <si>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</si>
  <si>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</si>
  <si>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</si>
  <si>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</si>
  <si>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</si>
  <si>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</si>
  <si>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</si>
  <si>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</si>
  <si>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</si>
  <si>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</si>
  <si>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</si>
  <si>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</si>
  <si>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</si>
  <si>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</si>
  <si>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</si>
  <si>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</si>
  <si>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</si>
  <si>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</si>
  <si>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</si>
  <si>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</si>
  <si>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</si>
  <si>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</si>
  <si>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</si>
  <si>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</si>
  <si>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</si>
  <si>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</si>
  <si>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</si>
  <si>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</si>
  <si>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</si>
  <si>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</si>
  <si>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</si>
  <si>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</si>
  <si>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</si>
  <si>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</si>
  <si>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</si>
  <si>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</si>
  <si>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</si>
  <si>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</si>
  <si>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</si>
  <si>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</si>
  <si>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</si>
  <si>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</si>
  <si>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</si>
  <si>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</si>
  <si>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</si>
  <si>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</si>
  <si>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</si>
  <si>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</si>
  <si>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</si>
  <si>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</si>
  <si>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</si>
  <si>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</si>
  <si>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</si>
  <si>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</si>
  <si>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</si>
  <si>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</si>
  <si>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</si>
  <si>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</si>
  <si>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</si>
  <si>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</si>
  <si>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</si>
  <si>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</si>
  <si>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</si>
  <si>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</si>
  <si>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</si>
  <si>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</si>
  <si>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</si>
  <si>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</si>
  <si>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</si>
  <si>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</si>
  <si>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</si>
  <si>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</si>
  <si>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</si>
  <si>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</si>
  <si>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</si>
  <si>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</si>
  <si>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</si>
  <si>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</si>
  <si>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</si>
  <si>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</si>
  <si>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</si>
  <si>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</si>
  <si>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</si>
  <si>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</si>
  <si>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</si>
  <si>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</si>
  <si>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</si>
  <si>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</si>
  <si>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</si>
  <si>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</si>
  <si>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</si>
  <si>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</si>
  <si>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</si>
  <si>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</si>
  <si>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</si>
  <si>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</si>
  <si>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</si>
  <si>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</si>
  <si>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</si>
  <si>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</si>
  <si>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</si>
  <si>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</si>
  <si>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</si>
  <si>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</si>
  <si>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</si>
  <si>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</si>
  <si>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</si>
  <si>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</si>
  <si>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</si>
  <si>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</si>
  <si>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</si>
  <si>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</si>
  <si>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</si>
  <si>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</si>
  <si>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</si>
  <si>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</si>
  <si>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</si>
  <si>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</si>
  <si>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</si>
  <si>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</si>
  <si>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</si>
  <si>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</si>
  <si>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</si>
  <si>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</si>
  <si>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</si>
  <si>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</si>
  <si>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</si>
  <si>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</si>
  <si>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</si>
  <si>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</si>
  <si>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</si>
  <si>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</si>
  <si>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</si>
  <si>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</si>
  <si>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</si>
  <si>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</si>
  <si>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</si>
  <si>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</si>
  <si>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</si>
  <si>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</si>
  <si>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</si>
  <si>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</si>
  <si>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</si>
  <si>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</si>
  <si>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</si>
  <si>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</si>
  <si>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</si>
  <si>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</si>
  <si>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</si>
  <si>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</si>
  <si>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</si>
  <si>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</si>
  <si>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</si>
  <si>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</si>
  <si>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</si>
  <si>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</si>
  <si>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</si>
  <si>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</si>
  <si>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</si>
  <si>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</si>
  <si>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</si>
  <si>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</si>
  <si>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</si>
  <si>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</si>
  <si>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</si>
  <si>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</si>
  <si>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</si>
  <si>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</si>
  <si>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</si>
  <si>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</si>
  <si>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</si>
  <si>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</si>
  <si>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</si>
  <si>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</si>
  <si>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</si>
  <si>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</si>
  <si>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</si>
  <si>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</si>
  <si>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</si>
  <si>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</si>
  <si>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</si>
  <si>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</si>
  <si>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</si>
  <si>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</si>
  <si>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</si>
  <si>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</si>
  <si>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</si>
  <si>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</si>
  <si>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</si>
  <si>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</si>
  <si>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</si>
  <si>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</si>
  <si>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</si>
  <si>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</si>
  <si>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</si>
  <si>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</si>
  <si>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</si>
  <si>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</si>
  <si>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</si>
  <si>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</si>
  <si>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</si>
  <si>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</si>
  <si>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</si>
  <si>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</si>
  <si>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</si>
  <si>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</si>
  <si>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</si>
  <si>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</si>
  <si>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</si>
  <si>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</si>
  <si>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</si>
  <si>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</si>
  <si>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</si>
  <si>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</si>
  <si>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</si>
  <si>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</si>
  <si>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</si>
  <si>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</si>
  <si>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</si>
  <si>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</si>
  <si>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</si>
  <si>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</si>
  <si>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</si>
  <si>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</si>
  <si>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</si>
  <si>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</si>
  <si>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</si>
  <si>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</si>
  <si>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</si>
  <si>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</si>
  <si>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</si>
  <si>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</si>
  <si>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</si>
  <si>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</si>
  <si>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</si>
  <si>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</si>
  <si>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</si>
  <si>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</si>
  <si>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</si>
  <si>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</si>
  <si>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</si>
  <si>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</si>
  <si>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</si>
  <si>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</si>
  <si>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</si>
  <si>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</si>
  <si>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</si>
  <si>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</si>
  <si>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</si>
  <si>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</si>
  <si>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</si>
  <si>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</si>
  <si>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</si>
  <si>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</si>
  <si>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</si>
  <si>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</si>
  <si>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</si>
  <si>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</si>
  <si>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</si>
  <si>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</si>
  <si>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</si>
  <si>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</si>
  <si>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</si>
  <si>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</si>
  <si>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</si>
  <si>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</si>
  <si>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</si>
  <si>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</si>
  <si>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</si>
  <si>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</si>
  <si>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</si>
  <si>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</si>
  <si>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</si>
  <si>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</si>
  <si>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</si>
  <si>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</si>
  <si>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</si>
  <si>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</si>
  <si>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</si>
  <si>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</si>
  <si>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</si>
  <si>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</si>
  <si>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</si>
  <si>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</si>
  <si>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</si>
  <si>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</si>
  <si>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</si>
  <si>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</si>
  <si>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</si>
  <si>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</si>
  <si>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</si>
  <si>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</si>
  <si>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</si>
  <si>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</si>
  <si>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</si>
  <si>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</si>
  <si>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</si>
  <si>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</si>
  <si>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</si>
  <si>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</si>
  <si>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</si>
  <si>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</si>
  <si>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</si>
  <si>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</si>
  <si>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</si>
  <si>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</si>
  <si>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</si>
  <si>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</si>
  <si>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</si>
  <si>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</si>
  <si>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</si>
  <si>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</si>
  <si>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</si>
  <si>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</si>
  <si>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</si>
  <si>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</si>
  <si>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</si>
  <si>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</si>
  <si>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</si>
  <si>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</si>
  <si>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</si>
  <si>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</si>
  <si>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</si>
  <si>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</si>
  <si>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</si>
  <si>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</si>
  <si>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</si>
  <si>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</si>
  <si>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</si>
  <si>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</si>
  <si>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</si>
  <si>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</si>
  <si>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</si>
  <si>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</si>
  <si>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</si>
  <si>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</si>
  <si>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</si>
  <si>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</si>
  <si>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</si>
  <si>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</si>
  <si>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</si>
  <si>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</si>
  <si>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</si>
  <si>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</si>
  <si>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</si>
  <si>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</si>
  <si>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</si>
  <si>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</si>
  <si>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</si>
  <si>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</si>
  <si>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</si>
  <si>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</si>
  <si>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</si>
  <si>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</si>
  <si>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</si>
  <si>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</si>
  <si>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</si>
  <si>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</si>
  <si>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</si>
  <si>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</si>
  <si>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</si>
  <si>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</si>
  <si>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</si>
  <si>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</si>
  <si>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</si>
  <si>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</si>
  <si>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</si>
  <si>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</si>
  <si>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</si>
  <si>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</si>
  <si>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</si>
  <si>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</si>
  <si>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</si>
  <si>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</si>
  <si>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</si>
  <si>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</si>
  <si>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</si>
  <si>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</si>
  <si>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</si>
  <si>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</si>
  <si>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</si>
  <si>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</si>
  <si>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</si>
  <si>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</si>
  <si>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</si>
  <si>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</si>
  <si>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</si>
  <si>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</si>
  <si>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</si>
  <si>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</si>
  <si>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</si>
  <si>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</si>
  <si>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</si>
  <si>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</si>
  <si>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</si>
  <si>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</si>
  <si>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</si>
  <si>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</si>
  <si>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</si>
  <si>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</si>
  <si>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</si>
  <si>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</si>
  <si>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</si>
  <si>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</si>
  <si>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</si>
  <si>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</si>
  <si>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</si>
  <si>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</si>
  <si>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</si>
  <si>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</si>
  <si>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</si>
  <si>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</si>
  <si>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</si>
  <si>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</si>
  <si>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</si>
  <si>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</si>
  <si>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</si>
  <si>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</si>
  <si>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</si>
  <si>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</si>
  <si>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</si>
  <si>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</si>
  <si>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</si>
  <si>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</si>
  <si>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</si>
  <si>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</si>
  <si>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</si>
  <si>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</si>
  <si>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</si>
  <si>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</si>
  <si>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</si>
  <si>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</si>
  <si>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</si>
  <si>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</si>
  <si>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</si>
  <si>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</si>
  <si>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</si>
  <si>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</si>
  <si>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</si>
  <si>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</si>
  <si>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</si>
  <si>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</si>
  <si>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</si>
  <si>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</si>
  <si>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</si>
  <si>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</si>
  <si>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</si>
  <si>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</si>
  <si>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</si>
  <si>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</si>
  <si>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</si>
  <si>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</si>
  <si>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</si>
  <si>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</si>
  <si>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</si>
  <si>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</si>
  <si>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</si>
  <si>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</si>
  <si>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</si>
  <si>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</si>
  <si>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</si>
  <si>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</si>
  <si>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</si>
  <si>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</si>
  <si>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</si>
  <si>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</si>
  <si>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</si>
  <si>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</si>
  <si>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</si>
  <si>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</si>
  <si>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</si>
  <si>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</si>
  <si>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</si>
  <si>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</si>
  <si>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</si>
  <si>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</si>
  <si>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</si>
  <si>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</si>
  <si>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</si>
  <si>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</si>
  <si>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</si>
  <si>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</si>
  <si>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</si>
  <si>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</si>
  <si>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</si>
  <si>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</si>
  <si>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</si>
  <si>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</si>
  <si>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</si>
  <si>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</si>
  <si>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</si>
  <si>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</si>
  <si>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</si>
  <si>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</si>
  <si>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</si>
  <si>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</si>
  <si>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</si>
  <si>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</si>
  <si>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</si>
  <si>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</si>
  <si>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</si>
  <si>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</si>
  <si>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</si>
  <si>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</si>
  <si>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</si>
  <si>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</si>
  <si>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</si>
  <si>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</si>
  <si>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</si>
  <si>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</si>
  <si>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</si>
  <si>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</si>
  <si>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</si>
  <si>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</si>
  <si>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</si>
  <si>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</si>
  <si>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</si>
  <si>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</si>
  <si>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</si>
  <si>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</si>
  <si>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</si>
  <si>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</si>
  <si>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</si>
  <si>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</si>
  <si>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</si>
  <si>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</si>
  <si>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</si>
  <si>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</si>
  <si>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</si>
  <si>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</si>
  <si>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</si>
  <si>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</si>
  <si>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</si>
  <si>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</si>
  <si>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</si>
  <si>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</si>
  <si>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</si>
  <si>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</si>
  <si>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</si>
  <si>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</si>
  <si>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</si>
  <si>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</si>
  <si>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</si>
  <si>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</si>
  <si>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</si>
  <si>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</si>
  <si>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</si>
  <si>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</si>
  <si>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</si>
  <si>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</si>
  <si>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</si>
  <si>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</si>
  <si>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</si>
  <si>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</si>
  <si>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</si>
  <si>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</si>
  <si>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</si>
  <si>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</si>
  <si>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</si>
  <si>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</si>
  <si>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</si>
  <si>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</si>
  <si>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</si>
  <si>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</si>
  <si>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</si>
  <si>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</si>
  <si>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</si>
  <si>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</si>
  <si>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</si>
  <si>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</si>
  <si>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</si>
  <si>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</si>
  <si>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</si>
  <si>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</si>
  <si>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</si>
  <si>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</si>
  <si>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</si>
  <si>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</si>
  <si>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</si>
  <si>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</si>
  <si>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</si>
  <si>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</si>
  <si>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</si>
  <si>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</si>
  <si>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</si>
  <si>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</si>
  <si>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</si>
  <si>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</si>
  <si>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</si>
  <si>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</si>
  <si>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</si>
  <si>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</si>
  <si>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</si>
  <si>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</si>
  <si>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</si>
  <si>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</si>
  <si>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</si>
  <si>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</si>
  <si>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</si>
  <si>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</si>
  <si>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</si>
  <si>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</si>
  <si>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</si>
  <si>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</si>
  <si>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</si>
  <si>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</si>
  <si>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</si>
  <si>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</si>
  <si>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</si>
  <si>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</si>
  <si>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</si>
  <si>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</si>
  <si>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</si>
  <si>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</si>
  <si>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</si>
  <si>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</si>
  <si>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</si>
  <si>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</si>
  <si>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</si>
  <si>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</si>
  <si>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</si>
  <si>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</si>
  <si>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</si>
  <si>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</si>
  <si>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</si>
  <si>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</si>
  <si>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</si>
  <si>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</si>
  <si>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</si>
  <si>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</si>
  <si>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</si>
  <si>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</si>
  <si>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</si>
  <si>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</si>
  <si>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</si>
  <si>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</si>
  <si>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</si>
  <si>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</si>
  <si>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</si>
  <si>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</si>
  <si>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</si>
  <si>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</si>
  <si>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</si>
  <si>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</si>
  <si>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</si>
  <si>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</si>
  <si>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</si>
  <si>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</si>
  <si>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</si>
  <si>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</si>
  <si>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</si>
  <si>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</si>
  <si>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</si>
  <si>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</si>
  <si>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</si>
  <si>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</si>
  <si>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</si>
  <si>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</si>
  <si>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</si>
  <si>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</si>
  <si>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</si>
  <si>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</si>
  <si>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</si>
  <si>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</si>
  <si>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</si>
  <si>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</si>
  <si>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</si>
  <si>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</si>
  <si>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</si>
  <si>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</si>
  <si>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</si>
  <si>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</si>
  <si>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</si>
  <si>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</si>
  <si>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</si>
  <si>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</si>
  <si>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</si>
  <si>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</si>
  <si>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</si>
  <si>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</si>
  <si>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</si>
  <si>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</si>
  <si>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</si>
  <si>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</si>
  <si>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</si>
  <si>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</si>
  <si>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</si>
  <si>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</si>
  <si>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</si>
  <si>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</si>
  <si>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</si>
  <si>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</si>
  <si>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</si>
  <si>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</si>
  <si>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</si>
  <si>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</si>
  <si>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</si>
  <si>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</si>
  <si>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</si>
  <si>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</si>
  <si>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</si>
  <si>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</si>
  <si>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</si>
  <si>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</si>
  <si>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</si>
  <si>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</si>
  <si>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</si>
  <si>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</si>
  <si>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</si>
  <si>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</si>
  <si>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</si>
  <si>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</si>
  <si>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</si>
  <si>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</si>
  <si>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</si>
  <si>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</si>
  <si>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</si>
  <si>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</si>
  <si>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</si>
  <si>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</si>
  <si>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</si>
  <si>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</si>
  <si>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</si>
  <si>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</si>
  <si>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</si>
  <si>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</si>
  <si>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</si>
  <si>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</si>
  <si>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</si>
  <si>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</si>
  <si>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</si>
  <si>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</si>
  <si>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</si>
  <si>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</si>
  <si>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</si>
  <si>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</si>
  <si>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</si>
  <si>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</si>
  <si>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</si>
  <si>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SEPA Division</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</si>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</sst>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50.438564861361712</c:v>
                </c:pt>
                <c:pt idx="1">
                  <c:v>2.0024160337996988</c:v>
                </c:pt>
                <c:pt idx="2">
                  <c:v>197.86102332980093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5.2110216338875066</c:v>
                </c:pt>
                <c:pt idx="1">
                  <c:v>0.26113598867139654</c:v>
                </c:pt>
                <c:pt idx="2">
                  <c:v>27.169840961365665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35.09767123467271</c:v>
                </c:pt>
                <c:pt idx="1">
                  <c:v>0.92482240795754933</c:v>
                </c:pt>
                <c:pt idx="2">
                  <c:v>79.580307352063414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8.0889461062337631</c:v>
                </c:pt>
                <c:pt idx="1">
                  <c:v>0.56875750335916142</c:v>
                </c:pt>
                <c:pt idx="2">
                  <c:v>62.43698431030225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7,160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72.05153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72.05153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588.17575510204188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72.05153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6355.6005120408136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$13,547,909/Yr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35305.2497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1023131.7259999999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8352095.7224489935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1023131.7259999999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3114244.2508999985</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7.6658085264275115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2.671652372484091</c:v>
                </c:pt>
                <c:pt idx="1">
                  <c:v>9.0856271993300333E-2</c:v>
                </c:pt>
                <c:pt idx="2">
                  <c:v>8.5945253546851514</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45.227543227474207</c:v>
                </c:pt>
                <c:pt idx="1">
                  <c:v>1.8469276802355887</c:v>
                </c:pt>
                <c:pt idx="2">
                  <c:v>183.79148912173878</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2968.3948418986652</c:v>
                </c:pt>
                <c:pt idx="1">
                  <c:v>97.186039594358903</c:v>
                </c:pt>
                <c:pt idx="2" formatCode="_(* #,##0_);_(* \(#,##0\);_(* &quot;-&quot;??_);_(@_)">
                  <c:v>9082.6740678018377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Nc"/><Relationship Id="rId3" Type="http://schemas.openxmlformats.org/officeDocument/2006/relationships/image" Target="../media/image4.emf"/><Relationship Id="rId21" Type="http://schemas.openxmlformats.org/officeDocument/2006/relationships/image" Target="../media/image11.emf"/><Relationship Id="rId34" Type="http://schemas.openxmlformats.org/officeDocument/2006/relationships/image" Target="../media/image1.png"/><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3.emf"/><Relationship Id="rId33"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WI"/><Relationship Id="rId29" Type="http://schemas.openxmlformats.org/officeDocument/2006/relationships/hyperlink" Target="#'Interactive Data Grading'!CRUC"/><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hyperlink" Target="#'Interactive Data Grading'!Lm"/><Relationship Id="rId32" Type="http://schemas.openxmlformats.org/officeDocument/2006/relationships/image" Target="../media/image16.emf"/><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image" Target="../media/image12.emf"/><Relationship Id="rId28" Type="http://schemas.openxmlformats.org/officeDocument/2006/relationships/hyperlink" Target="#'Interactive Data Grading'!Lp"/><Relationship Id="rId10" Type="http://schemas.openxmlformats.org/officeDocument/2006/relationships/hyperlink" Target="#'Interactive Data Grading'!BUAC"/><Relationship Id="rId19" Type="http://schemas.openxmlformats.org/officeDocument/2006/relationships/image" Target="../media/image10.emf"/><Relationship Id="rId31" Type="http://schemas.openxmlformats.org/officeDocument/2006/relationships/hyperlink" Target="#'Interactive Data Grading'!VPC"/><Relationship Id="rId4" Type="http://schemas.openxmlformats.org/officeDocument/2006/relationships/hyperlink" Target="#'Interactive Data Grading'!SDHE"/><Relationship Id="rId9" Type="http://schemas.openxmlformats.org/officeDocument/2006/relationships/hyperlink" Target="#'Interactive Data Grading'!UMAC"/><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image" Target="../media/image14.emf"/><Relationship Id="rId30" Type="http://schemas.openxmlformats.org/officeDocument/2006/relationships/image" Target="../media/image15.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2.png"/><Relationship Id="rId3" Type="http://schemas.openxmlformats.org/officeDocument/2006/relationships/chart" Target="../charts/chart4.xml"/><Relationship Id="rId21" Type="http://schemas.openxmlformats.org/officeDocument/2006/relationships/image" Target="../media/image3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3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63"/>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64"/>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65"/>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66"/>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67"/>
                  </a:ext>
                </a:extLst>
              </xdr:cNvPicPr>
            </xdr:nvPicPr>
            <xdr:blipFill rotWithShape="1">
              <a:blip xmlns:r="http://schemas.openxmlformats.org/officeDocument/2006/relationships" r:embed="rId8"/>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9"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68"/>
                  </a:ext>
                </a:extLst>
              </xdr:cNvPicPr>
            </xdr:nvPicPr>
            <xdr:blipFill rotWithShape="1">
              <a:blip xmlns:r="http://schemas.openxmlformats.org/officeDocument/2006/relationships" r:embed="rId8"/>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69"/>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70"/>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71"/>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72"/>
                  </a:ext>
                </a:extLst>
              </xdr:cNvPicPr>
            </xdr:nvPicPr>
            <xdr:blipFill rotWithShape="1">
              <a:blip xmlns:r="http://schemas.openxmlformats.org/officeDocument/2006/relationships" r:embed="rId13"/>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73"/>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74"/>
                  </a:ext>
                </a:extLst>
              </xdr:cNvPicPr>
            </xdr:nvPicPr>
            <xdr:blipFill rotWithShape="1">
              <a:blip xmlns:r="http://schemas.openxmlformats.org/officeDocument/2006/relationships" r:embed="rId1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75"/>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76"/>
                  </a:ext>
                </a:extLst>
              </xdr:cNvPicPr>
            </xdr:nvPicPr>
            <xdr:blipFill rotWithShape="1">
              <a:blip xmlns:r="http://schemas.openxmlformats.org/officeDocument/2006/relationships" r:embed="rId2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4"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77"/>
                  </a:ext>
                </a:extLst>
              </xdr:cNvPicPr>
            </xdr:nvPicPr>
            <xdr:blipFill rotWithShape="1">
              <a:blip xmlns:r="http://schemas.openxmlformats.org/officeDocument/2006/relationships" r:embed="rId25"/>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6"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78"/>
                  </a:ext>
                </a:extLst>
              </xdr:cNvPicPr>
            </xdr:nvPicPr>
            <xdr:blipFill rotWithShape="1">
              <a:blip xmlns:r="http://schemas.openxmlformats.org/officeDocument/2006/relationships" r:embed="rId2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8"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79"/>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9"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80"/>
                  </a:ext>
                </a:extLst>
              </xdr:cNvPicPr>
            </xdr:nvPicPr>
            <xdr:blipFill rotWithShape="1">
              <a:blip xmlns:r="http://schemas.openxmlformats.org/officeDocument/2006/relationships" r:embed="rId30"/>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1"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81"/>
                  </a:ext>
                </a:extLst>
              </xdr:cNvPicPr>
            </xdr:nvPicPr>
            <xdr:blipFill rotWithShape="1">
              <a:blip xmlns:r="http://schemas.openxmlformats.org/officeDocument/2006/relationships" r:embed="rId32"/>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3"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29.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32.bin"/><Relationship Id="rId1" Type="http://schemas.openxmlformats.org/officeDocument/2006/relationships/hyperlink" Target="mailto:wlc@awwa.org"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view="pageBreakPreview" zoomScale="60" zoomScaleNormal="105" workbookViewId="0">
      <pane ySplit="6" topLeftCell="A21" activePane="bottomLeft" state="frozen"/>
      <selection pane="bottomLeft" activeCell="BG21" sqref="BG21"/>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1277</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1278</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1279</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1280</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45374</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2023</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2023</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44927</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45291</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1200000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view="pageBreakPreview" zoomScale="60" zoomScaleNormal="110" workbookViewId="0">
      <pane ySplit="9" topLeftCell="A62" activePane="bottomLeft" state="frozen"/>
      <selection activeCell="BG21" sqref="BG21"/>
      <selection pane="bottomLeft" activeCell="BG21" sqref="BG21"/>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SEPA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2023</v>
      </c>
      <c r="E5" s="1207"/>
      <c r="F5" s="1207"/>
      <c r="G5" s="1208"/>
      <c r="H5" s="1200" t="str">
        <f>IF(ISBLANK('Start Page'!AB20),"",TEXT('Start Page'!AB20,"mmm dd yyyy")&amp;" - "&amp;TEXT('Start Page'!AB21,"mmm dd yyyy"))</f>
        <v>Jan 01 2023 - Dec 31 2023</v>
      </c>
      <c r="I5" s="1201"/>
      <c r="J5" s="1202"/>
      <c r="K5" s="1204">
        <f>IF(ISBLANK('Start Page'!AB19),"",'Start Page'!AB19)</f>
        <v>2023</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34512.042000000001</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690.24084000000005</v>
      </c>
      <c r="Y15" s="130">
        <f>$Y$19/$Y$18*H15</f>
        <v>33.584952754343469</v>
      </c>
      <c r="Z15" s="186">
        <f>$Y$19/$Y$18*ABS(X15)</f>
        <v>0.67169905508686933</v>
      </c>
      <c r="AA15" s="1046">
        <f>IF(W15=1,input_VOS-input_VOS/(1+O15*AB15),Q15*AB15)</f>
        <v>-704.3273877551037</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35216.369387755105</v>
      </c>
    </row>
    <row r="16" spans="1:33" s="54" customFormat="1">
      <c r="A16" s="113"/>
      <c r="B16" s="666" t="s">
        <v>908</v>
      </c>
      <c r="C16" s="1052" t="s">
        <v>40</v>
      </c>
      <c r="D16" s="983" t="s">
        <v>881</v>
      </c>
      <c r="E16" s="681" t="s">
        <v>882</v>
      </c>
      <c r="F16" s="587">
        <f>'Interactive Data Grading'!D74</f>
        <v>6</v>
      </c>
      <c r="G16" s="336"/>
      <c r="H16" s="630">
        <v>748.89</v>
      </c>
      <c r="I16" s="337"/>
      <c r="J16" s="338" t="str">
        <f>IF('Start Page'!$AB$22="million gallons (US)","MG/Yr",IF('Start Page'!$AB$22="Megalitres (thousand cubic metres)","ML/Yr",IF('Start Page'!$AB$22="acre-feet","Acre-ft/Yr","")))</f>
        <v>MG/Yr</v>
      </c>
      <c r="K16" s="986" t="s">
        <v>881</v>
      </c>
      <c r="L16" s="714" t="s">
        <v>882</v>
      </c>
      <c r="M16" s="587">
        <f>'Interactive Data Grading'!D96</f>
        <v>4</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14.9778</v>
      </c>
      <c r="Y16" s="130">
        <f>$Y$19/$Y$18*H16</f>
        <v>0.72877273585261271</v>
      </c>
      <c r="Z16" s="186">
        <f>$Y$19/$Y$18*ABS(X16)</f>
        <v>1.4575454717052256E-2</v>
      </c>
      <c r="AA16" s="1046">
        <f>IF(W16=1,input_WI-input_WI/(1+O16*AB16),Q16*AB16)</f>
        <v>-15.283469387755076</v>
      </c>
      <c r="AB16" s="636">
        <f t="shared" ref="AB16:AB17" si="1">IF(OR(T16="",T16="Select….."),0,IF(T16="Under-registration",-1,1))</f>
        <v>-1</v>
      </c>
      <c r="AC16" s="297" t="str">
        <f t="shared" ref="AC16:AC17" si="2">IF(OR(H16&lt;=0,AND(H16&gt;0,OR(AND(W16=1,O16=0),AND(W16=2,Q16=0)))),"no","yes")</f>
        <v>yes</v>
      </c>
      <c r="AD16" s="297" t="str">
        <f>IF(OR(T16="select…..",T16=""),"no","yes")</f>
        <v>yes</v>
      </c>
      <c r="AE16" s="297" t="str">
        <f t="shared" ref="AE16:AE17" si="3">IF(AND(AC16="yes",AD16="no"),"yes","no")</f>
        <v>no</v>
      </c>
      <c r="AF16" s="638">
        <f t="shared" ref="AF16:AF17" si="4">IF(AE16="yes",1,0)</f>
        <v>0</v>
      </c>
      <c r="AG16" s="1046">
        <f>input_WI-AA16</f>
        <v>764.17346938775506</v>
      </c>
    </row>
    <row r="17" spans="1:33" s="54" customFormat="1" ht="13.35" customHeight="1">
      <c r="A17" s="113"/>
      <c r="B17" s="666" t="s">
        <v>909</v>
      </c>
      <c r="C17" s="1052" t="s">
        <v>41</v>
      </c>
      <c r="D17" s="983" t="s">
        <v>881</v>
      </c>
      <c r="E17" s="681" t="s">
        <v>882</v>
      </c>
      <c r="F17" s="587">
        <f>'Interactive Data Grading'!D127</f>
        <v>6</v>
      </c>
      <c r="G17" s="336"/>
      <c r="H17" s="396"/>
      <c r="I17" s="337"/>
      <c r="J17" s="338" t="str">
        <f>IF('Start Page'!$AB$22="million gallons (US)","MG/Yr",IF('Start Page'!$AB$22="Megalitres (thousand cubic metres)","ML/Yr",IF('Start Page'!$AB$22="acre-feet","Acre-ft/Yr","")))</f>
        <v>MG/Yr</v>
      </c>
      <c r="K17" s="986" t="s">
        <v>881</v>
      </c>
      <c r="L17" s="714" t="s">
        <v>882</v>
      </c>
      <c r="M17" s="587">
        <f>'Interactive Data Grading'!D150</f>
        <v>4</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35966.15064</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35980.542857142857</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28820.612000000001</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14</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0</v>
      </c>
      <c r="Z24" s="185"/>
      <c r="AB24" s="297"/>
      <c r="AC24" s="297"/>
      <c r="AD24" s="297"/>
      <c r="AE24" s="297"/>
    </row>
    <row r="25" spans="1:33" s="54" customFormat="1" ht="13.35" customHeight="1">
      <c r="A25" s="113"/>
      <c r="B25" s="666" t="s">
        <v>919</v>
      </c>
      <c r="C25" s="626" t="s">
        <v>483</v>
      </c>
      <c r="D25" s="983" t="s">
        <v>881</v>
      </c>
      <c r="E25" s="681" t="s">
        <v>882</v>
      </c>
      <c r="F25" s="587" t="str">
        <f>'Interactive Data Grading'!D224</f>
        <v>n/a</v>
      </c>
      <c r="G25" s="336"/>
      <c r="H25" s="597">
        <v>0</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28820.612000000001</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72.05153</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28892.663530000002</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7087.8793271428549</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72.05153</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588.17575510204188</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72.05153</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732.27881510204179</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588.17575510204188</v>
      </c>
      <c r="Y50" s="174">
        <f>IFERROR(IF(W41=1,((H25)/(1-(O41*X41)))-(H25),Q41*H25/(H23+H25)),0)</f>
        <v>0</v>
      </c>
      <c r="Z50" s="1079">
        <f>SUM(X50:Y50)</f>
        <v>588.17575510204188</v>
      </c>
      <c r="AA50" s="1229"/>
      <c r="AB50" s="1229"/>
      <c r="AC50" s="1229"/>
      <c r="AD50" s="297"/>
      <c r="AE50" s="297"/>
    </row>
    <row r="51" spans="1:31" s="54" customFormat="1">
      <c r="A51" s="113"/>
      <c r="B51" s="666"/>
      <c r="C51" s="1209" t="s">
        <v>662</v>
      </c>
      <c r="D51" s="1209"/>
      <c r="E51" s="1209"/>
      <c r="F51" s="1209"/>
      <c r="G51" s="1018"/>
      <c r="H51" s="1017">
        <f>IFERROR(H35-H46,"")</f>
        <v>6355.6005120408136</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8352095.7224489935</v>
      </c>
      <c r="Y51" s="1099">
        <f>Y50*input_VPC</f>
        <v>0</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7087.8793271428549</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7159.9308571428546</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5866</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385000</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65.632458233890219</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35</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35</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60</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14.2</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490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23813310</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view="pageBreakPreview" zoomScale="30" zoomScaleNormal="120" zoomScaleSheetLayoutView="30" workbookViewId="0">
      <pane ySplit="4" topLeftCell="A89" activePane="bottomLeft" state="frozen"/>
      <selection activeCell="BG21" sqref="BG21"/>
      <selection pane="bottomLeft" activeCell="BG21" sqref="BG21"/>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SEPA Division</v>
      </c>
      <c r="C1" s="718"/>
      <c r="D1" s="719"/>
      <c r="E1" s="1042" t="s">
        <v>1157</v>
      </c>
    </row>
    <row r="2" spans="1:20" ht="30.6" customHeight="1">
      <c r="A2" s="562"/>
      <c r="B2" s="1041">
        <f>IF(ISBLANK('Start Page'!AB18),"",'Start Page'!AB18)</f>
        <v>2023</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260</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Limiting</v>
      </c>
      <c r="F73" s="402"/>
      <c r="G73" s="951">
        <f>IFERROR(IF(H63&lt;7,1,IF(LEN(D73)&gt;0,1,0)),"")</f>
        <v>1</v>
      </c>
      <c r="H73" s="959">
        <f>VLOOKUP('Interactive Data Grading'!D73,WI!$L$6:$M$16,2,FALSE)</f>
        <v>6</v>
      </c>
      <c r="I73" s="959">
        <f>H73</f>
        <v>6</v>
      </c>
    </row>
    <row r="74" spans="1:18" ht="27.6" customHeight="1">
      <c r="A74" s="269"/>
      <c r="B74" s="269"/>
      <c r="C74" s="403" t="s">
        <v>313</v>
      </c>
      <c r="D74" s="873">
        <f>IF(D62="","",IF(D62="No","n/a",IF(G74=0,"",IF(R8=0,H63,I74))))</f>
        <v>6</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f>IF(D62="No","n/a",IF(G96=0,"",H96))</f>
        <v>4</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Inconsistency between Worksheet WE input and we.0 response</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260</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Limiting</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Limiting</v>
      </c>
      <c r="F126" s="402"/>
      <c r="G126" s="951">
        <f>IFERROR(IF(H116&lt;7,1,IF(LEN(D126)&gt;0,1,0)),"")</f>
        <v>1</v>
      </c>
      <c r="H126" s="959">
        <f>VLOOKUP('Interactive Data Grading'!D126,WE!$L$6:$M$16,2,FALSE)</f>
        <v>6</v>
      </c>
      <c r="I126" s="959">
        <f>H126</f>
        <v>6</v>
      </c>
    </row>
    <row r="127" spans="1:18" ht="27.6" customHeight="1">
      <c r="A127" s="269"/>
      <c r="B127" s="269"/>
      <c r="C127" s="403" t="s">
        <v>313</v>
      </c>
      <c r="D127" s="873">
        <f>IF(D115="","",IF(D115="No","n/a",IF(G127=0,"",IF(R9=0,H116,I127))))</f>
        <v>6</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f>IF(D115="No","n/a",IF(G150=0,"",H150))</f>
        <v>4</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267</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c r="E220" s="870" t="str">
        <f>IF(OR($D$224=10,$D$224="n/a"),"",IFERROR(IF(H220=MIN($H$220:$H$223),"Limiting",""),""))</f>
        <v/>
      </c>
      <c r="F220" s="402"/>
      <c r="H220" s="959" t="e">
        <f>VLOOKUP('Interactive Data Grading'!D220,UMAC!$C$6:$G$15,5,FALSE)</f>
        <v>#N/A</v>
      </c>
      <c r="I220" s="959"/>
    </row>
    <row r="221" spans="1:18" ht="27.6" customHeight="1">
      <c r="A221" s="269"/>
      <c r="B221" s="659" t="s">
        <v>455</v>
      </c>
      <c r="C221" s="1034" t="str">
        <f>UMAC!B36</f>
        <v>How many unbilled metered accounts exist?</v>
      </c>
      <c r="D221" s="404"/>
      <c r="E221" s="870" t="str">
        <f>IF(OR($D$224=10,$D$224="n/a"),"",IFERROR(IF(H221=MIN($H$220:$H$223),"Limiting",""),""))</f>
        <v/>
      </c>
      <c r="F221" s="402"/>
      <c r="H221" s="959" t="e">
        <f>VLOOKUP('Interactive Data Grading'!D221,UMAC!$D$6:$G$15,4,FALSE)</f>
        <v>#N/A</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c r="E222" s="870" t="str">
        <f>IF(OR($D$224=10,$D$224="n/a"),"",IFERROR(IF(H222=MIN($H$220:$H$223),"Limiting",""),""))</f>
        <v/>
      </c>
      <c r="F222" s="402"/>
      <c r="H222" s="959" t="e">
        <f>VLOOKUP('Interactive Data Grading'!D222,UMAC!$E$6:$G$15,3,FALSE)</f>
        <v>#N/A</v>
      </c>
      <c r="I222" s="960"/>
    </row>
    <row r="223" spans="1:18" ht="27.6" customHeight="1">
      <c r="A223" s="269"/>
      <c r="B223" s="659" t="s">
        <v>457</v>
      </c>
      <c r="C223" s="1034" t="str">
        <f>UMAC!B38</f>
        <v>How often are unbilled metered volumes reviewed for error?</v>
      </c>
      <c r="D223" s="404"/>
      <c r="E223" s="870" t="str">
        <f>IF(OR($D$224=10,$D$224="n/a"),"",IFERROR(IF(H223=MIN($H$220:$H$223),"Limiting",""),""))</f>
        <v/>
      </c>
      <c r="F223" s="402"/>
      <c r="H223" s="959" t="e">
        <f>VLOOKUP('Interactive Data Grading'!D223,UMAC!$F$6:$G$15,2,FALSE)</f>
        <v>#N/A</v>
      </c>
      <c r="I223" s="959"/>
    </row>
    <row r="224" spans="1:18" ht="27.6" customHeight="1">
      <c r="A224" s="269"/>
      <c r="B224" s="269"/>
      <c r="C224" s="403" t="s">
        <v>313</v>
      </c>
      <c r="D224" s="873" t="str">
        <f>IFERROR((IF(D219="No","n/a",H224)),"")</f>
        <v>n/a</v>
      </c>
      <c r="E224" s="870"/>
      <c r="F224" s="402"/>
      <c r="H224" s="962" t="e">
        <f>MIN(H219:H223)</f>
        <v>#N/A</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This Data Grading Criteria is hidden when the 'default' input is used on the Worksheet</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6"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view="pageBreakPreview" zoomScaleNormal="100" zoomScaleSheetLayoutView="100" workbookViewId="0">
      <pane ySplit="3" topLeftCell="A4" activePane="bottomLeft" state="frozen"/>
      <selection activeCell="BG21" sqref="BG21"/>
      <selection pane="bottomLeft" activeCell="BG21" sqref="BG21"/>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SEPA Division</v>
      </c>
      <c r="Q3" s="784"/>
      <c r="R3" s="784"/>
      <c r="S3" s="784"/>
      <c r="T3" s="784"/>
      <c r="U3" s="784"/>
      <c r="V3" s="784"/>
      <c r="W3" s="784"/>
      <c r="X3" s="784"/>
      <c r="Y3" s="784"/>
      <c r="Z3" s="784"/>
      <c r="AA3" s="784"/>
      <c r="AB3" s="784"/>
      <c r="AC3" s="781"/>
      <c r="AD3" s="782"/>
      <c r="AE3" s="783"/>
      <c r="AF3" s="780" t="s">
        <v>714</v>
      </c>
      <c r="AG3" s="1247">
        <f>IF(ISBLANK('Start Page'!AB18),"",'Start Page'!AB18)</f>
        <v>2023</v>
      </c>
      <c r="AH3" s="1247"/>
      <c r="AI3" s="785"/>
      <c r="AJ3" s="786">
        <f>IF(ISBLANK('Start Page'!AB19),"",'Start Page'!AB19)</f>
        <v>2023</v>
      </c>
      <c r="AK3" s="786"/>
      <c r="AL3" s="785"/>
      <c r="AM3" s="784" t="str">
        <f>IF(ISBLANK('Start Page'!AB20),"",TEXT('Start Page'!AB20,"mmm dd yyyy")&amp;" - "&amp;TEXT('Start Page'!AB21,"mmm dd yyyy"))</f>
        <v>Jan 01 2023 - Dec 31 2023</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49">
        <f>BR6</f>
        <v>60</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result is above 90th %ile</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35.09767123467271</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35.09767123467271</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35.09767123467271</v>
      </c>
      <c r="AB18" s="1259"/>
      <c r="AC18" s="1259"/>
      <c r="AD18" s="1020" t="str">
        <f>BD13</f>
        <v>$/conn/year</v>
      </c>
      <c r="AE18" s="1021"/>
      <c r="AF18" s="1022"/>
      <c r="AG18" s="1022"/>
      <c r="AH18" s="1023"/>
      <c r="AI18" s="1023"/>
      <c r="AJ18" s="1021"/>
      <c r="AK18" s="1259">
        <f>BS22</f>
        <v>27.008725128438947</v>
      </c>
      <c r="AL18" s="1259"/>
      <c r="AM18" s="1259"/>
      <c r="AN18" s="1020" t="str">
        <f>BD13</f>
        <v>$/conn/year</v>
      </c>
      <c r="AO18" s="1021"/>
      <c r="AP18" s="1021"/>
      <c r="AQ18" s="1021"/>
      <c r="AR18" s="1021"/>
      <c r="AS18" s="1021"/>
      <c r="AT18" s="1021"/>
      <c r="AU18" s="1259">
        <f>BS29</f>
        <v>8.0889461062337631</v>
      </c>
      <c r="AV18" s="1259"/>
      <c r="AW18" s="1259"/>
      <c r="AX18" s="1020" t="str">
        <f>BD13</f>
        <v>$/conn/year</v>
      </c>
      <c r="AY18" s="814"/>
      <c r="AZ18" s="789"/>
      <c r="BA18" s="789"/>
      <c r="BB18" s="418"/>
      <c r="BC18" s="138"/>
      <c r="BD18" s="73" t="s">
        <v>706</v>
      </c>
      <c r="BE18" s="290">
        <f>(((5.41*Worksheet!H61)+(0.15*Worksheet!H62)+(7.5*(Worksheet!H62*Worksheet!W67/5280)))*Worksheet!H68)/1000000*365</f>
        <v>2378.9025014999997</v>
      </c>
      <c r="BM18" s="765"/>
      <c r="BN18" s="766"/>
      <c r="BO18" s="833" t="s">
        <v>1039</v>
      </c>
      <c r="BP18" s="835">
        <f>BQ18-BQ17</f>
        <v>8.9525318444022357</v>
      </c>
      <c r="BQ18" s="1054">
        <f t="shared" si="0"/>
        <v>18.283980813778896</v>
      </c>
      <c r="BR18" s="833" t="s">
        <v>779</v>
      </c>
      <c r="BS18" s="837">
        <f>SUM(BP16:BP20)-SUM(BS16,BS17)</f>
        <v>79.580307352063414</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7300.5741347674393</v>
      </c>
      <c r="BF19" s="289">
        <f>BE19*325851.427242/Worksheet!H62/365</f>
        <v>16.928678181818178</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16435.1397</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27.008725128438947</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24.233075430263664</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23.845346223379444</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50.438564861361712</v>
      </c>
      <c r="AB29" s="1263"/>
      <c r="AC29" s="1263"/>
      <c r="AD29" s="1019" t="str">
        <f>BD10</f>
        <v>gal/conn/day</v>
      </c>
      <c r="AE29" s="1019"/>
      <c r="AF29" s="1024"/>
      <c r="AG29" s="1024"/>
      <c r="AH29" s="813"/>
      <c r="AI29" s="813"/>
      <c r="AJ29" s="813"/>
      <c r="AK29" s="1263">
        <f>BS43</f>
        <v>5.2110216338875066</v>
      </c>
      <c r="AL29" s="1263"/>
      <c r="AM29" s="1263"/>
      <c r="AN29" s="1020" t="str">
        <f>BD10</f>
        <v>gal/conn/day</v>
      </c>
      <c r="AO29" s="813"/>
      <c r="AP29" s="813"/>
      <c r="AQ29" s="813"/>
      <c r="AR29" s="813"/>
      <c r="AS29" s="813"/>
      <c r="AT29" s="813"/>
      <c r="AU29" s="1269">
        <f>BS55</f>
        <v>45.227543227474207</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8.0889461062337631</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8.0889461062337631</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60</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62.43698431030225</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50.438564861361712</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50.438564861361712</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197.86102332980093</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2.671652372484091</v>
      </c>
      <c r="AI41" s="1268"/>
      <c r="AJ41" s="1268"/>
      <c r="AK41" s="1019" t="s">
        <v>1048</v>
      </c>
      <c r="AL41" s="938"/>
      <c r="AM41" s="939"/>
      <c r="AN41" s="940"/>
      <c r="AO41" s="940"/>
      <c r="AP41" s="940"/>
      <c r="AQ41" s="940"/>
      <c r="AR41" s="940"/>
      <c r="AS41" s="1267">
        <f>BS69</f>
        <v>2968.3948418986652</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2378.9025014999997</v>
      </c>
      <c r="AL43" s="1265"/>
      <c r="AM43" s="1265"/>
      <c r="AN43" s="1265"/>
      <c r="AO43" s="1071" t="str">
        <f>BD7</f>
        <v>MG/Yr</v>
      </c>
      <c r="AP43" s="813"/>
      <c r="AQ43" s="813"/>
      <c r="AR43" s="813"/>
      <c r="AS43" s="1265">
        <f>IF(BG19=1,BF19,IFERROR(AK43*1000000/Worksheet!H62/365,""))</f>
        <v>16.928678181818178</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5.2110216338875066</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5.2110216338875066</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27.169840961365665</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732.27881510204179</v>
      </c>
      <c r="J49" s="1275"/>
      <c r="K49" s="1275"/>
      <c r="L49" s="1275"/>
      <c r="M49" s="795"/>
      <c r="N49" s="1276">
        <f>IF(OR(ISBLANK('Start Page'!$AB$22),ISBLANK(Worksheet!J76)),"",(SUM(Worksheet!H43+Worksheet!H39+Worksheet!X50)*Worksheet!H76)*INDEX(Sheet1!B2:D4,MATCH('Start Page'!AB22,Sheet1!A2:A4,0),MATCH(Worksheet!J76,Sheet1!B1:D1,0))+Worksheet!Y50*Worksheet!H77)</f>
        <v>10398359.174448995</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6355.6005120408136</v>
      </c>
      <c r="J50" s="1275"/>
      <c r="K50" s="1275"/>
      <c r="L50" s="1275"/>
      <c r="M50" s="795"/>
      <c r="N50" s="1276">
        <f>IFERROR(IF(Worksheet!H41="Select under/over","",IF(ISBLANK('Start Page'!AB22),"",Worksheet!H51*(IF(BD29=FALSE,Worksheet!H77,IF(BD29=TRUE,Worksheet!H76*INDEX(Sheet1!B2:D4,MATCH('Start Page'!AB22,Sheet1!A2:A4,0),MATCH(Worksheet!J76,Sheet1!B1:D1,0)),""))))),"")</f>
        <v>3114244.2508999985</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72.05153</v>
      </c>
      <c r="J51" s="1275"/>
      <c r="K51" s="1275"/>
      <c r="L51" s="1275"/>
      <c r="M51" s="795"/>
      <c r="N51" s="1276">
        <f>IFERROR(IF(SUM(Sheet1!D90:D91)=0,"",SUM(Sheet1!D90:D91)),"")</f>
        <v>35305.2497</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7159.9308571428546</v>
      </c>
      <c r="J52" s="1275"/>
      <c r="K52" s="1275"/>
      <c r="L52" s="1275"/>
      <c r="M52" s="795"/>
      <c r="N52" s="1276">
        <f>IF(SUM(N49:N51)=0,"",SUM(N49:N51))</f>
        <v>13547908.675048994</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45.227543227474207</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45.227543227474207</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183.79148912173878</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2.671652372484091</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2.671652372484091</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8.5945253546851514</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2968.3948418986652</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2968.3948418986652</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9082.6740678018377</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7.6658085264275115</v>
      </c>
      <c r="BQ83" s="850">
        <f>BP83+BQ78</f>
        <v>60</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view="pageBreakPreview" zoomScale="115" zoomScaleNormal="110" zoomScaleSheetLayoutView="115" workbookViewId="0">
      <pane ySplit="9" topLeftCell="A54" activePane="bottomLeft" state="frozen"/>
      <selection activeCell="BG21" sqref="BG21"/>
      <selection pane="bottomLeft" activeCell="BG21" sqref="BG21"/>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SEPA Division</v>
      </c>
      <c r="H4" s="1040">
        <f>IF(ISBLANK('Start Page'!AB19),"",'Start Page'!AB19)</f>
        <v>2023</v>
      </c>
    </row>
    <row r="5" spans="2:21" ht="13.35" customHeight="1">
      <c r="F5" s="323" t="s">
        <v>714</v>
      </c>
      <c r="G5" s="1040">
        <f>IF(ISBLANK('Start Page'!AB18),"",'Start Page'!AB18)</f>
        <v>2023</v>
      </c>
      <c r="H5" s="1040" t="str">
        <f>IF(ISBLANK('Start Page'!AB20),"",TEXT('Start Page'!AB20,"mmm dd yyyy")&amp;" - "&amp;TEXT('Start Page'!AB21,"mmm dd yyyy"))</f>
        <v>Jan 01 2023 - Dec 31 2023</v>
      </c>
    </row>
    <row r="6" spans="2:21" ht="7.35" customHeight="1">
      <c r="F6" s="721"/>
      <c r="G6" s="721"/>
      <c r="H6" s="721"/>
    </row>
    <row r="7" spans="2:21" ht="56.45" customHeight="1">
      <c r="F7" s="605" t="s">
        <v>884</v>
      </c>
      <c r="G7" s="1284" t="s">
        <v>1276</v>
      </c>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79" fitToHeight="0" orientation="landscape"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7,160 MG/Yr</v>
      </c>
    </row>
    <row r="79" spans="1:6" ht="16.5">
      <c r="B79" s="65"/>
      <c r="C79" s="65"/>
      <c r="D79" s="65"/>
      <c r="E79" s="12" t="str">
        <f>IFERROR("Total Cost of NRW = $"&amp;TEXT(SUM(D90,D91,D94,D95,D96,D97,D99),"#,###")&amp;"/Yr","")</f>
        <v>Total Cost of NRW = $13,547,909/Yr</v>
      </c>
      <c r="F79" s="65"/>
    </row>
    <row r="80" spans="1:6">
      <c r="A80" s="64"/>
      <c r="B80" s="64"/>
      <c r="C80" s="66" t="str">
        <f>"Volume ("&amp;Worksheet!J15&amp;")"</f>
        <v>Volume (MG/Yr)</v>
      </c>
      <c r="D80" s="66" t="s">
        <v>147</v>
      </c>
      <c r="E80" s="119" t="s">
        <v>1085</v>
      </c>
      <c r="F80" s="64"/>
    </row>
    <row r="81" spans="1:6">
      <c r="A81" s="67" t="s">
        <v>127</v>
      </c>
      <c r="B81" s="67"/>
      <c r="C81" s="160">
        <f>IF(Dashboard!BO$2&gt;0,"",Worksheet!H15)</f>
        <v>34512.042000000001</v>
      </c>
      <c r="D81" s="161">
        <f>IF(Dashboard!BO$2&gt;0,"",C81*(Worksheet!$H$77))</f>
        <v>16910900.580000002</v>
      </c>
      <c r="E81" s="712">
        <f>D81</f>
        <v>16910900.580000002</v>
      </c>
      <c r="F81" s="925" t="s">
        <v>1084</v>
      </c>
    </row>
    <row r="82" spans="1:6">
      <c r="A82" s="67" t="str">
        <f>A81&amp;" MA"</f>
        <v>Vol. from own sources: MA</v>
      </c>
      <c r="B82" s="67"/>
      <c r="C82" s="160">
        <f>IF(Dashboard!BO$2&gt;0,"",Worksheet!X15)</f>
        <v>690.24084000000005</v>
      </c>
      <c r="D82" s="161">
        <f>IF(Dashboard!BO$2&gt;0,"",C82*(Worksheet!$H$77))</f>
        <v>338218.01160000003</v>
      </c>
      <c r="E82" s="712">
        <f t="shared" ref="E82:E100" si="0">D82</f>
        <v>338218.01160000003</v>
      </c>
      <c r="F82" s="64"/>
    </row>
    <row r="83" spans="1:6">
      <c r="A83" s="64" t="s">
        <v>0</v>
      </c>
      <c r="B83" s="64"/>
      <c r="C83" s="160">
        <f>IF(Dashboard!BO$2&gt;0,"",Worksheet!H16)</f>
        <v>748.89</v>
      </c>
      <c r="D83" s="161">
        <f>IF(Dashboard!BO$2&gt;0,"",C83*(Worksheet!$H$77))</f>
        <v>366956.1</v>
      </c>
      <c r="E83" s="712">
        <f t="shared" si="0"/>
        <v>366956.1</v>
      </c>
      <c r="F83" s="64"/>
    </row>
    <row r="84" spans="1:6">
      <c r="A84" s="64" t="str">
        <f>A83&amp;" MA"</f>
        <v>Water imported: MA</v>
      </c>
      <c r="B84" s="64"/>
      <c r="C84" s="160">
        <f>IF(Dashboard!BO$2&gt;0,"",Worksheet!X16)</f>
        <v>14.9778</v>
      </c>
      <c r="D84" s="161">
        <f>IF(Dashboard!BO$2&gt;0,"",C84*(Worksheet!$H$77))</f>
        <v>7339.1220000000003</v>
      </c>
      <c r="E84" s="712">
        <f t="shared" si="0"/>
        <v>7339.1220000000003</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35980.542857142857</v>
      </c>
      <c r="D87" s="161">
        <f>IF(Dashboard!BO$2&gt;0,"",C87*(Worksheet!$H$77))</f>
        <v>17630466</v>
      </c>
      <c r="E87" s="712">
        <f t="shared" si="0"/>
        <v>17630466</v>
      </c>
      <c r="F87" s="64"/>
    </row>
    <row r="88" spans="1:6">
      <c r="A88" s="279" t="s">
        <v>1268</v>
      </c>
      <c r="B88" s="64"/>
      <c r="C88" s="160">
        <f>IF(Dashboard!BO$2&gt;0,"",Worksheet!H23)</f>
        <v>28820.612000000001</v>
      </c>
      <c r="D88" s="161">
        <f>IF(Dashboard!BO$2&gt;0,"",C88*(Worksheet!$H$76*1000))</f>
        <v>409252690.40000004</v>
      </c>
      <c r="E88" s="712">
        <f t="shared" si="0"/>
        <v>409252690.40000004</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0</v>
      </c>
      <c r="D90" s="1110">
        <f>IF(Dashboard!BO$2&gt;0,"",IF(ISBLANK('Start Page'!AB22),"",IF(AND(ISBLANK(Worksheet!H77),Worksheet!Z77&lt;&gt;1),"",Worksheet!H25*(IF(Dashboard!BD29=FALSE,Worksheet!H77,IF(Dashboard!BD29=TRUE,Worksheet!H76*INDEX(Sheet1!B2:D4,MATCH('Start Page'!AB22,Sheet1!A2:A4,0),MATCH(Worksheet!J76,Sheet1!B1:D1,0)),""))))))</f>
        <v>0</v>
      </c>
      <c r="E90" s="1111">
        <f t="shared" si="0"/>
        <v>0</v>
      </c>
      <c r="F90" s="64"/>
    </row>
    <row r="91" spans="1:6">
      <c r="A91" s="1112" t="str">
        <f>"Unbilled Unmetered (UUAC) valued at "&amp;A76&amp;""</f>
        <v xml:space="preserve">Unbilled Unmetered (UUAC) valued at </v>
      </c>
      <c r="B91" s="1108"/>
      <c r="C91" s="1109">
        <f>IF(Dashboard!BO$2&gt;0,"",Worksheet!H26)</f>
        <v>72.05153</v>
      </c>
      <c r="D91" s="1110">
        <f>IF(Dashboard!BO$2&gt;0,"",IF(ISBLANK('Start Page'!AB22),"",IF(AND(ISBLANK(Worksheet!H77),Worksheet!Z77&lt;&gt;1),"",Worksheet!H26*(IF(Dashboard!BD29=FALSE,Worksheet!H77,IF(Dashboard!BD29=TRUE,Worksheet!H76*INDEX(Sheet1!B2:D4,MATCH('Start Page'!AB22,Sheet1!A2:A4,0),MATCH(Worksheet!J76,Sheet1!B1:D1,0)),""))))))</f>
        <v>35305.2497</v>
      </c>
      <c r="E91" s="1111">
        <f t="shared" si="0"/>
        <v>35305.2497</v>
      </c>
      <c r="F91" s="64"/>
    </row>
    <row r="92" spans="1:6">
      <c r="A92" s="279" t="s">
        <v>2</v>
      </c>
      <c r="B92" s="164" t="s">
        <v>239</v>
      </c>
      <c r="C92" s="160">
        <f>IF(Dashboard!BO$2&gt;0,"",Worksheet!H30)</f>
        <v>28892.663530000002</v>
      </c>
      <c r="D92" s="161">
        <f>IF(Dashboard!BO$2&gt;0,"",C92*(Worksheet!$H$76*1000))</f>
        <v>410275822.12600005</v>
      </c>
      <c r="E92" s="712">
        <f t="shared" si="0"/>
        <v>410275822.12600005</v>
      </c>
      <c r="F92" s="64"/>
    </row>
    <row r="93" spans="1:6">
      <c r="A93" s="64" t="s">
        <v>51</v>
      </c>
      <c r="B93" s="64"/>
      <c r="C93" s="160">
        <f>IF(Dashboard!BO$2&gt;0,"",Worksheet!H35)</f>
        <v>7087.8793271428549</v>
      </c>
      <c r="D93" s="161"/>
      <c r="E93" s="712">
        <f t="shared" si="0"/>
        <v>0</v>
      </c>
      <c r="F93" s="64"/>
    </row>
    <row r="94" spans="1:6">
      <c r="A94" s="278" t="s">
        <v>678</v>
      </c>
      <c r="B94" s="67"/>
      <c r="C94" s="165">
        <f>IF(Dashboard!BO$2&gt;0,"",Worksheet!H43)</f>
        <v>72.05153</v>
      </c>
      <c r="D94" s="166">
        <f>IF(Dashboard!BO$2&gt;0,"",IF(ISBLANK('Start Page'!AB22),"",IF(AND(ISBLANK(Worksheet!H77),Worksheet!Z77&lt;&gt;1),"",C94*Worksheet!H76*INDEX(Sheet1!B2:D4,MATCH('Start Page'!AB22,Sheet1!A2:A4,0),MATCH(Worksheet!J76,Sheet1!B1:D1,0)))))</f>
        <v>1023131.7259999999</v>
      </c>
      <c r="E94" s="713">
        <f t="shared" si="0"/>
        <v>1023131.7259999999</v>
      </c>
      <c r="F94" s="167"/>
    </row>
    <row r="95" spans="1:6">
      <c r="A95" s="1094" t="s">
        <v>679</v>
      </c>
      <c r="B95" s="1093"/>
      <c r="C95" s="1095">
        <f>Worksheet!X50</f>
        <v>588.17575510204188</v>
      </c>
      <c r="D95" s="1096">
        <f>IF(Dashboard!BO$2&gt;0,"",IF(ISBLANK('Start Page'!AB22),"",IF(AND(ISBLANK(Worksheet!H77),Worksheet!Z77&lt;&gt;1),"",C95*Worksheet!H76*INDEX(Sheet1!B2:D4,MATCH('Start Page'!AB22,Sheet1!A2:A4,0),MATCH(Worksheet!J76,Sheet1!B1:D1,0)))))</f>
        <v>8352095.7224489935</v>
      </c>
      <c r="E95" s="1097">
        <f t="shared" si="0"/>
        <v>8352095.7224489935</v>
      </c>
      <c r="F95" s="167"/>
    </row>
    <row r="96" spans="1:6">
      <c r="A96" s="1094" t="s">
        <v>1270</v>
      </c>
      <c r="B96" s="1093"/>
      <c r="C96" s="1095">
        <f>Worksheet!Y50</f>
        <v>0</v>
      </c>
      <c r="D96" s="1096">
        <f>C96*input_VPC</f>
        <v>0</v>
      </c>
      <c r="E96" s="1097">
        <f t="shared" si="0"/>
        <v>0</v>
      </c>
      <c r="F96" s="1100" t="s">
        <v>1272</v>
      </c>
    </row>
    <row r="97" spans="1:7">
      <c r="A97" s="278" t="s">
        <v>680</v>
      </c>
      <c r="B97" s="67"/>
      <c r="C97" s="165">
        <f>IF(Dashboard!BO$2&gt;0,"",Worksheet!H39)</f>
        <v>72.05153</v>
      </c>
      <c r="D97" s="166">
        <f>IF(Dashboard!BO$2&gt;0,"",IF(ISBLANK('Start Page'!AB22),"",IF(AND(ISBLANK(Worksheet!H77),Worksheet!Z77&lt;&gt;1),"",C97*Worksheet!H76*INDEX(Sheet1!B2:D4,MATCH('Start Page'!AB22,Sheet1!A2:A4,0),MATCH(Worksheet!J76,Sheet1!B1:D1,0)))))</f>
        <v>1023131.7259999999</v>
      </c>
      <c r="E97" s="713">
        <f t="shared" si="0"/>
        <v>1023131.7259999999</v>
      </c>
      <c r="F97" s="167"/>
    </row>
    <row r="98" spans="1:7">
      <c r="A98" s="1104" t="s">
        <v>42</v>
      </c>
      <c r="B98" s="1104"/>
      <c r="C98" s="1105">
        <f>IF(Dashboard!BO$2&gt;0,"",Worksheet!H46)</f>
        <v>732.27881510204179</v>
      </c>
      <c r="D98" s="1106">
        <f>IF(Dashboard!BO$2&gt;0,"",SUM(D94:D97))</f>
        <v>10398359.174448993</v>
      </c>
      <c r="E98" s="712">
        <f t="shared" si="0"/>
        <v>10398359.174448993</v>
      </c>
      <c r="F98" s="64"/>
    </row>
    <row r="99" spans="1:7">
      <c r="A99" s="118" t="str">
        <f>"Real Losses valued at "&amp;A76&amp;""</f>
        <v xml:space="preserve">Real Losses valued at </v>
      </c>
      <c r="B99" s="67"/>
      <c r="C99" s="165">
        <f>IF(Dashboard!BO$2&gt;0,"",Worksheet!H51)</f>
        <v>6355.6005120408136</v>
      </c>
      <c r="D99" s="1098">
        <f>IF(Dashboard!BO$2&gt;0,"",Dashboard!N50)</f>
        <v>3114244.2508999985</v>
      </c>
      <c r="E99" s="713">
        <f t="shared" si="0"/>
        <v>3114244.2508999985</v>
      </c>
      <c r="F99" s="712"/>
    </row>
    <row r="100" spans="1:7">
      <c r="A100" s="64" t="s">
        <v>72</v>
      </c>
      <c r="B100" s="64"/>
      <c r="C100" s="160">
        <f>IF(Dashboard!BO$2&gt;0,"",Worksheet!H57)</f>
        <v>7159.9308571428546</v>
      </c>
      <c r="D100" s="162">
        <f>IF(Dashboard!BO$2&gt;0,"",D98+D99+D90+D91)</f>
        <v>13547908.675048992</v>
      </c>
      <c r="E100" s="712">
        <f t="shared" si="0"/>
        <v>13547908.675048992</v>
      </c>
      <c r="F100" s="64"/>
      <c r="G100" s="168"/>
    </row>
    <row r="101" spans="1:7">
      <c r="A101" s="1101"/>
    </row>
    <row r="102" spans="1:7">
      <c r="A102" s="1101" t="s">
        <v>1271</v>
      </c>
      <c r="C102" s="1102">
        <f>C95+C96</f>
        <v>588.17575510204188</v>
      </c>
      <c r="D102" s="168">
        <f>D95+D96</f>
        <v>8352095.7224489935</v>
      </c>
      <c r="E102" s="168">
        <f>E95+E96</f>
        <v>8352095.7224489935</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view="pageBreakPreview" zoomScale="60" zoomScaleNormal="100" workbookViewId="0">
      <selection activeCell="BG21" sqref="BG21"/>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view="pageBreakPreview" zoomScale="60" zoomScaleNormal="110" workbookViewId="0">
      <selection activeCell="BG21" sqref="BG21"/>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SEPA Division</v>
      </c>
      <c r="G5" s="1308"/>
      <c r="H5" s="570"/>
      <c r="I5" s="7"/>
    </row>
    <row r="6" spans="2:16" ht="18" customHeight="1">
      <c r="B6" s="567"/>
      <c r="C6" s="576"/>
      <c r="D6" s="568"/>
      <c r="E6" s="927" t="s">
        <v>714</v>
      </c>
      <c r="F6" s="928">
        <f>IF(ISBLANK('Start Page'!AB18),"",'Start Page'!AB18)</f>
        <v>2023</v>
      </c>
      <c r="G6" s="929" t="str">
        <f>IF(ISBLANK('Start Page'!AB20),"",TEXT('Start Page'!AB20,"mmm dd yyyy")&amp;" - "&amp;TEXT('Start Page'!AB21,"mmm dd yyyy"))</f>
        <v>Jan 01 2023 - Dec 31 2023</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28820.612000000001</v>
      </c>
      <c r="H12" s="438"/>
      <c r="I12" s="7"/>
      <c r="K12" s="1049"/>
    </row>
    <row r="13" spans="2:16" ht="22.5" customHeight="1">
      <c r="B13" s="1293"/>
      <c r="C13" s="439"/>
      <c r="D13" s="436"/>
      <c r="E13" s="1302"/>
      <c r="F13" s="441">
        <f>Worksheet!H23+Worksheet!H24</f>
        <v>28820.612000000001</v>
      </c>
      <c r="G13" s="442" t="s">
        <v>1090</v>
      </c>
      <c r="H13" s="443">
        <f>SUM(G12+G14)</f>
        <v>28820.612000000001</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28892.663530000002</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0</v>
      </c>
      <c r="H16" s="1301"/>
      <c r="I16" s="7"/>
      <c r="K16" s="163"/>
    </row>
    <row r="17" spans="2:16" ht="22.5" customHeight="1">
      <c r="B17" s="453">
        <f>Worksheet!AG15</f>
        <v>35216.369387755105</v>
      </c>
      <c r="C17" s="454"/>
      <c r="D17" s="455"/>
      <c r="E17" s="311"/>
      <c r="F17" s="456">
        <f>Worksheet!H25+Worksheet!H26</f>
        <v>72.05153</v>
      </c>
      <c r="G17" s="440" t="s">
        <v>1092</v>
      </c>
      <c r="H17" s="438"/>
      <c r="I17" s="7"/>
      <c r="K17" s="163"/>
      <c r="L17" s="159"/>
      <c r="M17" s="159"/>
      <c r="N17" s="159"/>
      <c r="O17" s="159"/>
      <c r="P17" s="159"/>
    </row>
    <row r="18" spans="2:16" ht="15.75" customHeight="1">
      <c r="B18" s="451"/>
      <c r="C18" s="1315" t="s">
        <v>763</v>
      </c>
      <c r="D18" s="436"/>
      <c r="E18" s="457"/>
      <c r="F18" s="446"/>
      <c r="G18" s="458">
        <f>Worksheet!H26</f>
        <v>72.05153</v>
      </c>
      <c r="H18" s="438"/>
      <c r="I18" s="7"/>
      <c r="K18" s="163"/>
    </row>
    <row r="19" spans="2:16" ht="22.5" customHeight="1">
      <c r="B19" s="451"/>
      <c r="C19" s="1315"/>
      <c r="D19" s="459" t="s">
        <v>116</v>
      </c>
      <c r="E19" s="432"/>
      <c r="F19" s="460"/>
      <c r="G19" s="707" t="s">
        <v>695</v>
      </c>
      <c r="H19" s="461">
        <f>Worksheet!H25+Worksheet!H26+Worksheet!H46+Worksheet!H51</f>
        <v>7159.9308571428555</v>
      </c>
      <c r="I19" s="7"/>
      <c r="K19" s="163"/>
      <c r="L19" s="159"/>
      <c r="M19" s="159"/>
      <c r="N19" s="159"/>
      <c r="O19" s="159"/>
      <c r="P19" s="159"/>
    </row>
    <row r="20" spans="2:16" ht="15.75" customHeight="1">
      <c r="B20" s="451"/>
      <c r="C20" s="462">
        <f>B17+B27</f>
        <v>35980.542857142857</v>
      </c>
      <c r="D20" s="436"/>
      <c r="E20" s="311"/>
      <c r="F20" s="463" t="s">
        <v>52</v>
      </c>
      <c r="G20" s="452">
        <f>Worksheet!H39</f>
        <v>72.05153</v>
      </c>
      <c r="H20" s="438"/>
      <c r="I20" s="7"/>
      <c r="K20" s="163"/>
    </row>
    <row r="21" spans="2:16" ht="14.25" customHeight="1">
      <c r="B21" s="464"/>
      <c r="C21" s="465"/>
      <c r="D21" s="462">
        <f>Worksheet!H19</f>
        <v>35980.542857142857</v>
      </c>
      <c r="E21" s="466"/>
      <c r="F21" s="456">
        <f>Worksheet!H46</f>
        <v>732.27881510204179</v>
      </c>
      <c r="G21" s="440" t="s">
        <v>694</v>
      </c>
      <c r="H21" s="438"/>
      <c r="I21" s="7"/>
      <c r="K21" s="163"/>
      <c r="L21" s="159"/>
      <c r="M21" s="159"/>
      <c r="N21" s="159"/>
      <c r="O21" s="159"/>
      <c r="P21" s="159"/>
    </row>
    <row r="22" spans="2:16" ht="15.75" customHeight="1">
      <c r="B22" s="451"/>
      <c r="C22" s="435"/>
      <c r="D22" s="436"/>
      <c r="E22" s="311"/>
      <c r="F22" s="466"/>
      <c r="G22" s="467">
        <f>Worksheet!H41</f>
        <v>588.17575510204188</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72.05153</v>
      </c>
      <c r="H24" s="438"/>
      <c r="I24" s="7"/>
      <c r="K24" s="163"/>
    </row>
    <row r="25" spans="2:16" ht="26.25" customHeight="1">
      <c r="B25" s="1292" t="s">
        <v>1087</v>
      </c>
      <c r="C25" s="439"/>
      <c r="D25" s="436"/>
      <c r="E25" s="469">
        <f>Worksheet!H53</f>
        <v>7087.8793271428549</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764.17346938775506</v>
      </c>
      <c r="C27" s="454"/>
      <c r="D27" s="436"/>
      <c r="E27" s="311"/>
      <c r="F27" s="456">
        <f>Worksheet!H51</f>
        <v>6355.6005120408136</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78" orientation="landscape"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view="pageBreakPreview" zoomScale="60" zoomScaleNormal="100" workbookViewId="0">
      <selection activeCell="BG21" sqref="BG21"/>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SEPA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2023</v>
      </c>
      <c r="H5" s="1360" t="str">
        <f>IF(ISBLANK('Start Page'!AB20),"",TEXT('Start Page'!AB20,"mmm dd yyyy")&amp;" - "&amp;TEXT('Start Page'!AB21,"mmm dd yyyy"))</f>
        <v>Jan 01 2023 - Dec 31 2023</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33.584952754343469</v>
      </c>
      <c r="AF98" s="47">
        <f t="shared" ref="AF98:AF103" si="0">AE98</f>
        <v>33.584952754343469</v>
      </c>
      <c r="AG98" s="47">
        <f>IF(AE98&lt;&gt;0,AF98/10,0)</f>
        <v>3.3584952754343469</v>
      </c>
      <c r="AH98" s="44">
        <f>IFERROR(AD98*AG98,0)</f>
        <v>20.150971652606081</v>
      </c>
      <c r="AI98" s="45">
        <f t="shared" ref="AI98:AI117" si="1">IF(AG98=0,0,AF98-AH98)</f>
        <v>13.433981101737388</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0.67169905508686933</v>
      </c>
      <c r="AF99" s="47">
        <f t="shared" si="0"/>
        <v>0.67169905508686933</v>
      </c>
      <c r="AG99" s="47">
        <f t="shared" ref="AG99:AG117" si="3">IF(AE99&lt;&gt;0,AF99/10,0)</f>
        <v>6.7169905508686928E-2</v>
      </c>
      <c r="AH99" s="44">
        <f t="shared" ref="AH99:AH106" si="4">IFERROR(AD99*AG99,0)</f>
        <v>0.26867962203474771</v>
      </c>
      <c r="AI99" s="45">
        <f t="shared" si="1"/>
        <v>0.40301943305212162</v>
      </c>
      <c r="AJ99">
        <f t="array" aca="1" ref="AJ99" ca="1">SUM(1*(AI99&lt;$AI$98:$AI$117))+1+IF(ROW(AI99)-ROW($AI$98)=0,0,SUM(1*(AI99=OFFSET($AI$98,0,0,INDEX(ROW(AI99)-ROW($AI$98)+1,1)-1,1))))</f>
        <v>13</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6</v>
      </c>
      <c r="AE100" s="80">
        <f>Worksheet!Y16</f>
        <v>0.72877273585261271</v>
      </c>
      <c r="AF100" s="47">
        <f t="shared" si="0"/>
        <v>0.72877273585261271</v>
      </c>
      <c r="AG100" s="47">
        <f t="shared" si="3"/>
        <v>7.2877273585261276E-2</v>
      </c>
      <c r="AH100" s="44">
        <f t="shared" si="4"/>
        <v>0.43726364151156766</v>
      </c>
      <c r="AI100" s="45">
        <f t="shared" si="1"/>
        <v>0.29150909434104505</v>
      </c>
      <c r="AJ100">
        <f t="array" aca="1" ref="AJ100" ca="1">SUM(1*(AI100&lt;$AI$98:$AI$117))+1+IF(ROW(AI100)-ROW($AI$98)=0,0,SUM(1*(AI100=OFFSET($AI$98,0,0,INDEX(ROW(AI100)-ROW($AI$98)+1,1)-1,1))))</f>
        <v>14</v>
      </c>
      <c r="AK100" s="104" t="str">
        <f t="shared" si="5"/>
        <v>Water Imported (WI)</v>
      </c>
      <c r="AL100">
        <f t="shared" si="6"/>
        <v>1</v>
      </c>
      <c r="AM100">
        <f t="shared" si="7"/>
        <v>1</v>
      </c>
      <c r="AN100">
        <f t="shared" si="2"/>
        <v>0</v>
      </c>
    </row>
    <row r="101" spans="28:40">
      <c r="AC101" s="274" t="s">
        <v>702</v>
      </c>
      <c r="AD101" s="46">
        <f>IF(Worksheet!M16="n/a",0,Worksheet!M16)</f>
        <v>4</v>
      </c>
      <c r="AE101" s="80">
        <f>Worksheet!Z16</f>
        <v>1.4575454717052256E-2</v>
      </c>
      <c r="AF101" s="47">
        <f t="shared" si="0"/>
        <v>1.4575454717052256E-2</v>
      </c>
      <c r="AG101" s="47">
        <f t="shared" si="3"/>
        <v>1.4575454717052256E-3</v>
      </c>
      <c r="AH101" s="44">
        <f t="shared" si="4"/>
        <v>5.8301818868209026E-3</v>
      </c>
      <c r="AI101" s="45">
        <f t="shared" si="1"/>
        <v>8.7452728302313543E-3</v>
      </c>
      <c r="AJ101">
        <f t="array" aca="1" ref="AJ101" ca="1">SUM(1*(AI101&lt;$AI$98:$AI$117))+1+IF(ROW(AI101)-ROW($AI$98)=0,0,SUM(1*(AI101=OFFSET($AI$98,0,0,INDEX(ROW(AI101)-ROW($AI$98)+1,1)-1,1))))</f>
        <v>15</v>
      </c>
      <c r="AK101" s="104" t="str">
        <f t="shared" si="5"/>
        <v>WI Error Adjustment (WIEA)</v>
      </c>
      <c r="AL101">
        <f t="shared" si="6"/>
        <v>1</v>
      </c>
      <c r="AM101">
        <f t="shared" si="7"/>
        <v>1</v>
      </c>
      <c r="AN101">
        <f t="shared" si="2"/>
        <v>0</v>
      </c>
    </row>
    <row r="102" spans="28:40">
      <c r="AC102" s="270" t="s">
        <v>703</v>
      </c>
      <c r="AD102" s="46">
        <f>IF(Worksheet!F17="n/a",0,Worksheet!F17)</f>
        <v>6</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16</v>
      </c>
      <c r="AK102" s="104" t="str">
        <f t="shared" si="5"/>
        <v>Water Exported (WE)</v>
      </c>
      <c r="AL102">
        <f t="shared" si="6"/>
        <v>0</v>
      </c>
      <c r="AM102">
        <f t="shared" si="7"/>
        <v>1</v>
      </c>
      <c r="AN102">
        <f t="shared" si="2"/>
        <v>0</v>
      </c>
    </row>
    <row r="103" spans="28:40">
      <c r="AC103" s="274" t="s">
        <v>704</v>
      </c>
      <c r="AD103" s="81">
        <f>IF(Worksheet!M17="n/a",0,Worksheet!M17)</f>
        <v>4</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17</v>
      </c>
      <c r="AK103" s="105" t="str">
        <f t="shared" si="5"/>
        <v>WE Error Adjustment (WEEA)</v>
      </c>
      <c r="AL103">
        <f t="shared" si="6"/>
        <v>0</v>
      </c>
      <c r="AM103" s="84">
        <f t="shared" si="7"/>
        <v>1</v>
      </c>
      <c r="AN103" s="84">
        <f t="shared" si="2"/>
        <v>0</v>
      </c>
    </row>
    <row r="104" spans="28:40">
      <c r="AC104" s="271" t="s">
        <v>690</v>
      </c>
      <c r="AD104" s="90">
        <f>IF(Worksheet!F23="n/a",0,Worksheet!F23)</f>
        <v>8</v>
      </c>
      <c r="AE104" s="275">
        <f>IF(Worksheet!H23&gt;0,Worksheet!Y23,0)</f>
        <v>14</v>
      </c>
      <c r="AF104" s="92">
        <f t="shared" ref="AF104:AF117" si="8">AE104/$AE$120</f>
        <v>17.169811320754718</v>
      </c>
      <c r="AG104" s="92">
        <f t="shared" si="3"/>
        <v>1.7169811320754718</v>
      </c>
      <c r="AH104" s="92">
        <f t="shared" ref="AH104:AH117" si="9">AD104*AG104</f>
        <v>13.735849056603774</v>
      </c>
      <c r="AI104" s="93">
        <f t="shared" si="1"/>
        <v>3.433962264150944</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18</v>
      </c>
      <c r="AK105" s="107" t="str">
        <f t="shared" si="5"/>
        <v>Billed Unmetered (BUAC)</v>
      </c>
      <c r="AL105" s="99">
        <f t="shared" si="10"/>
        <v>0</v>
      </c>
      <c r="AM105" s="99">
        <f t="shared" si="7"/>
        <v>0</v>
      </c>
      <c r="AN105" s="99">
        <f t="shared" si="2"/>
        <v>0</v>
      </c>
    </row>
    <row r="106" spans="28:40">
      <c r="AC106" s="272" t="s">
        <v>692</v>
      </c>
      <c r="AD106" s="96">
        <f>IF(Worksheet!F25="n/a",0,Worksheet!F25)</f>
        <v>0</v>
      </c>
      <c r="AE106" s="276">
        <f>IF(Worksheet!H25&gt;0,Worksheet!Y24,0)</f>
        <v>0</v>
      </c>
      <c r="AF106" s="97">
        <f t="shared" si="8"/>
        <v>0</v>
      </c>
      <c r="AG106" s="97">
        <f t="shared" si="3"/>
        <v>0</v>
      </c>
      <c r="AH106" s="44">
        <f t="shared" si="4"/>
        <v>0</v>
      </c>
      <c r="AI106" s="98">
        <f t="shared" si="1"/>
        <v>0</v>
      </c>
      <c r="AJ106" s="99">
        <f t="array" aca="1" ref="AJ106" ca="1">SUM(1*(AI106&lt;$AI$98:$AI$117))+1+IF(ROW(AI106)-ROW($AI$98)=0,0,SUM(1*(AI106=OFFSET($AI$98,0,0,INDEX(ROW(AI106)-ROW($AI$98)+1,1)-1,1))))</f>
        <v>19</v>
      </c>
      <c r="AK106" s="107" t="str">
        <f t="shared" si="5"/>
        <v>Unbilled Metered (UMAC)</v>
      </c>
      <c r="AL106" s="99">
        <f t="shared" si="10"/>
        <v>0</v>
      </c>
      <c r="AM106" s="99">
        <f t="shared" si="7"/>
        <v>0</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11</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12</v>
      </c>
      <c r="AK117" s="108" t="str">
        <f t="shared" si="5"/>
        <v>Variable Production Cost (VPC)</v>
      </c>
      <c r="AL117" s="89">
        <f t="shared" si="10"/>
        <v>1</v>
      </c>
      <c r="AM117" s="89">
        <f t="shared" si="7"/>
        <v>1</v>
      </c>
      <c r="AN117" s="89">
        <f t="shared" si="2"/>
        <v>0</v>
      </c>
    </row>
    <row r="118" spans="29:40">
      <c r="AE118" s="100">
        <f>SUM(AE98:AE117)</f>
        <v>88</v>
      </c>
      <c r="AF118" s="43">
        <f>SUM(AF98:AF117)</f>
        <v>100.00000000000001</v>
      </c>
      <c r="AG118" s="43">
        <f>SUM(AG98:AG117)</f>
        <v>9.9999999999999982</v>
      </c>
      <c r="AH118" s="116">
        <f>SUM(AH98:AH117)</f>
        <v>60.230669626341104</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view="pageBreakPreview" topLeftCell="A21" zoomScaleNormal="115" zoomScaleSheetLayoutView="100" workbookViewId="0">
      <selection activeCell="BG21" sqref="BG21"/>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view="pageBreakPreview" zoomScale="60" zoomScaleNormal="130" workbookViewId="0">
      <pane ySplit="3" topLeftCell="A4" activePane="bottomLeft" state="frozen"/>
      <selection activeCell="BG21" sqref="BG21"/>
      <selection pane="bottomLeft" activeCell="BG21" sqref="BG21"/>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view="pageBreakPreview" zoomScale="60" zoomScaleNormal="110" workbookViewId="0">
      <pane ySplit="2" topLeftCell="A32" activePane="bottomLeft" state="frozen"/>
      <selection activeCell="BG21" sqref="BG21"/>
      <selection pane="bottomLeft" activeCell="BG21" sqref="BG21"/>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D6EF31-FCB6-44C0-92E1-66E420FB322F}">
  <ds:schemaRefs>
    <ds:schemaRef ds:uri="df5a1bbb-24dc-472d-b5b2-ad007ec20f6c"/>
    <ds:schemaRef ds:uri="http://schemas.microsoft.com/office/2006/documentManagement/types"/>
    <ds:schemaRef ds:uri="http://schemas.microsoft.com/office/2006/metadata/properties"/>
    <ds:schemaRef ds:uri="6b11e1cc-f8f4-4753-8eb9-82c6086f7ab0"/>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2024-04-29T19:29:50Z</cp:lastPrinted>
  <dcterms:created xsi:type="dcterms:W3CDTF">2004-11-04T17:59:53Z</dcterms:created>
  <dcterms:modified xsi:type="dcterms:W3CDTF">2024-04-29T19:30:17Z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