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579D9305-8774-4FC9-977A-3FF803CFE36D}"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<sst xmlns="http://schemas.openxmlformats.org/spreadsheetml/2006/main" count="2569" uniqueCount="1282">
  <si>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</si>
  <si>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</si>
  <si>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</si>
  <si>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</si>
  <si>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</si>
  <si>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</si>
  <si>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</si>
  <si>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</si>
  <si>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</si>
  <si>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</si>
  <si>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</si>
  <si>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</si>
  <si>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</si>
  <si>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</si>
  <si>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</si>
  <si>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</si>
  <si>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</si>
  <si>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</si>
  <si>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</si>
  <si>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</si>
  <si>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</si>
  <si>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</si>
  <si>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</si>
  <si>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</si>
  <si>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</si>
  <si>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</si>
  <si>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</si>
  <si>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</si>
  <si>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</si>
  <si>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</si>
  <si>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</si>
  <si>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</si>
  <si>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</si>
  <si>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</si>
  <si>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</si>
  <si>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</si>
  <si>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</si>
  <si>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</si>
  <si>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</si>
  <si>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</si>
  <si>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</si>
  <si>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</si>
  <si>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</si>
  <si>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</si>
  <si>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</si>
  <si>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</si>
  <si>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</si>
  <si>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</si>
  <si>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</si>
  <si>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</si>
  <si>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</si>
  <si>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</si>
  <si>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</si>
  <si>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</si>
  <si>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</si>
  <si>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</si>
  <si>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</si>
  <si>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</si>
  <si>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</si>
  <si>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</si>
  <si>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</si>
  <si>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</si>
  <si>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</si>
  <si>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</si>
  <si>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</si>
  <si>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</si>
  <si>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</si>
  <si>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</si>
  <si>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</si>
  <si>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</si>
  <si>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</si>
  <si>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</si>
  <si>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</si>
  <si>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</si>
  <si>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</si>
  <si>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</si>
  <si>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</si>
  <si>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</si>
  <si>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</si>
  <si>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</si>
  <si>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</si>
  <si>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</si>
  <si>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</si>
  <si>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</si>
  <si>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</si>
  <si>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</si>
  <si>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</si>
  <si>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</si>
  <si>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</si>
  <si>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</si>
  <si>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</si>
  <si>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</si>
  <si>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</si>
  <si>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</si>
  <si>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</si>
  <si>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</si>
  <si>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</si>
  <si>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</si>
  <si>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</si>
  <si>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</si>
  <si>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</si>
  <si>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</si>
  <si>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</si>
  <si>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</si>
  <si>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</si>
  <si>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</si>
  <si>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</si>
  <si>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</si>
  <si>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</si>
  <si>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</si>
  <si>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</si>
  <si>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</si>
  <si>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</si>
  <si>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</si>
  <si>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</si>
  <si>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</si>
  <si>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</si>
  <si>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</si>
  <si>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</si>
  <si>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</si>
  <si>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</si>
  <si>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</si>
  <si>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</si>
  <si>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</si>
  <si>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</si>
  <si>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</si>
  <si>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</si>
  <si>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</si>
  <si>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</si>
  <si>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</si>
  <si>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</si>
  <si>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</si>
  <si>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</si>
  <si>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</si>
  <si>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</si>
  <si>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</si>
  <si>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</si>
  <si>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</si>
  <si>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</si>
  <si>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</si>
  <si>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</si>
  <si>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</si>
  <si>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</si>
  <si>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</si>
  <si>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</si>
  <si>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</si>
  <si>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</si>
  <si>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</si>
  <si>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</si>
  <si>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</si>
  <si>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</si>
  <si>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</si>
  <si>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</si>
  <si>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</si>
  <si>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</si>
  <si>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</si>
  <si>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</si>
  <si>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</si>
  <si>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</si>
  <si>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</si>
  <si>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</si>
  <si>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</si>
  <si>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</si>
  <si>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</si>
  <si>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</si>
  <si>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</si>
  <si>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</si>
  <si>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</si>
  <si>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</si>
  <si>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</si>
  <si>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</si>
  <si>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</si>
  <si>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</si>
  <si>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</si>
  <si>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</si>
  <si>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</si>
  <si>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</si>
  <si>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</si>
  <si>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</si>
  <si>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</si>
  <si>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</si>
  <si>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</si>
  <si>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</si>
  <si>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</si>
  <si>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</si>
  <si>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</si>
  <si>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</si>
  <si>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</si>
  <si>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</si>
  <si>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</si>
  <si>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</si>
  <si>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</si>
  <si>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</si>
  <si>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</si>
  <si>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</si>
  <si>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</si>
  <si>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</si>
  <si>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</si>
  <si>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</si>
  <si>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</si>
  <si>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</si>
  <si>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</si>
  <si>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</si>
  <si>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</si>
  <si>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</si>
  <si>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</si>
  <si>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</si>
  <si>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</si>
  <si>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</si>
  <si>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</si>
  <si>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</si>
  <si>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</si>
  <si>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</si>
  <si>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</si>
  <si>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</si>
  <si>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</si>
  <si>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</si>
  <si>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</si>
  <si>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</si>
  <si>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</si>
  <si>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</si>
  <si>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</si>
  <si>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</si>
  <si>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</si>
  <si>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</si>
  <si>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</si>
  <si>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</si>
  <si>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</si>
  <si>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</si>
  <si>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</si>
  <si>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</si>
  <si>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</si>
  <si>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</si>
  <si>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</si>
  <si>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</si>
  <si>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</si>
  <si>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</si>
  <si>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</si>
  <si>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</si>
  <si>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</si>
  <si>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</si>
  <si>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</si>
  <si>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</si>
  <si>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</si>
  <si>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</si>
  <si>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</si>
  <si>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</si>
  <si>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</si>
  <si>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</si>
  <si>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</si>
  <si>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</si>
  <si>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</si>
  <si>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</si>
  <si>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</si>
  <si>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</si>
  <si>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</si>
  <si>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</si>
  <si>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</si>
  <si>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</si>
  <si>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</si>
  <si>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</si>
  <si>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</si>
  <si>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</si>
  <si>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</si>
  <si>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</si>
  <si>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</si>
  <si>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</si>
  <si>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</si>
  <si>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</si>
  <si>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</si>
  <si>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</si>
  <si>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</si>
  <si>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</si>
  <si>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</si>
  <si>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</si>
  <si>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</si>
  <si>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</si>
  <si>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</si>
  <si>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</si>
  <si>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</si>
  <si>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</si>
  <si>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</si>
  <si>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</si>
  <si>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</si>
  <si>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</si>
  <si>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</si>
  <si>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</si>
  <si>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</si>
  <si>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</si>
  <si>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</si>
  <si>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</si>
  <si>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</si>
  <si>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</si>
  <si>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</si>
  <si>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</si>
  <si>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</si>
  <si>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</si>
  <si>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</si>
  <si>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</si>
  <si>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</si>
  <si>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</si>
  <si>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</si>
  <si>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</si>
  <si>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</si>
  <si>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</si>
  <si>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</si>
  <si>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</si>
  <si>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</si>
  <si>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</si>
  <si>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</si>
  <si>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</si>
  <si>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</si>
  <si>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</si>
  <si>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</si>
  <si>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</si>
  <si>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</si>
  <si>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</si>
  <si>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</si>
  <si>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</si>
  <si>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</si>
  <si>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</si>
  <si>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</si>
  <si>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</si>
  <si>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</si>
  <si>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</si>
  <si>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</si>
  <si>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</si>
  <si>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</si>
  <si>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</si>
  <si>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</si>
  <si>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</si>
  <si>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</si>
  <si>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</si>
  <si>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</si>
  <si>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</si>
  <si>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</si>
  <si>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</si>
  <si>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</si>
  <si>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</si>
  <si>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</si>
  <si>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</si>
  <si>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</si>
  <si>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</si>
  <si>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</si>
  <si>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</si>
  <si>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</si>
  <si>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</si>
  <si>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</si>
  <si>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</si>
  <si>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</si>
  <si>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</si>
  <si>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</si>
  <si>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</si>
  <si>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</si>
  <si>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</si>
  <si>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</si>
  <si>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</si>
  <si>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</si>
  <si>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</si>
  <si>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</si>
  <si>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</si>
  <si>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</si>
  <si>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</si>
  <si>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</si>
  <si>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</si>
  <si>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</si>
  <si>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</si>
  <si>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</si>
  <si>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</si>
  <si>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</si>
  <si>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</si>
  <si>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</si>
  <si>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</si>
  <si>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</si>
  <si>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</si>
  <si>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</si>
  <si>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</si>
  <si>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</si>
  <si>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</si>
  <si>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</si>
  <si>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</si>
  <si>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</si>
  <si>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</si>
  <si>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</si>
  <si>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</si>
  <si>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</si>
  <si>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</si>
  <si>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</si>
  <si>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</si>
  <si>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</si>
  <si>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</si>
  <si>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</si>
  <si>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</si>
  <si>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</si>
  <si>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</si>
  <si>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</si>
  <si>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</si>
  <si>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</si>
  <si>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</si>
  <si>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</si>
  <si>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</si>
  <si>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</si>
  <si>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</si>
  <si>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</si>
  <si>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</si>
  <si>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</si>
  <si>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</si>
  <si>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</si>
  <si>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</si>
  <si>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</si>
  <si>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</si>
  <si>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</si>
  <si>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</si>
  <si>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</si>
  <si>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</si>
  <si>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</si>
  <si>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</si>
  <si>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</si>
  <si>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</si>
  <si>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</si>
  <si>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</si>
  <si>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</si>
  <si>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</si>
  <si>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</si>
  <si>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</si>
  <si>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</si>
  <si>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</si>
  <si>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</si>
  <si>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</si>
  <si>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</si>
  <si>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</si>
  <si>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</si>
  <si>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</si>
  <si>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</si>
  <si>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</si>
  <si>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</si>
  <si>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</si>
  <si>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</si>
  <si>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</si>
  <si>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</si>
  <si>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</si>
  <si>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</si>
  <si>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</si>
  <si>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</si>
  <si>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</si>
  <si>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</si>
  <si>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</si>
  <si>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</si>
  <si>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</si>
  <si>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</si>
  <si>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</si>
  <si>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</si>
  <si>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</si>
  <si>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</si>
  <si>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</si>
  <si>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</si>
  <si>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</si>
  <si>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</si>
  <si>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</si>
  <si>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</si>
  <si>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</si>
  <si>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</si>
  <si>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</si>
  <si>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</si>
  <si>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</si>
  <si>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</si>
  <si>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</si>
  <si>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</si>
  <si>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</si>
  <si>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</si>
  <si>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</si>
  <si>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</si>
  <si>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</si>
  <si>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</si>
  <si>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</si>
  <si>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</si>
  <si>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</si>
  <si>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</si>
  <si>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</si>
  <si>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</si>
  <si>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</si>
  <si>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</si>
  <si>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</si>
  <si>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</si>
  <si>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</si>
  <si>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</si>
  <si>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</si>
  <si>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</si>
  <si>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</si>
  <si>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</si>
  <si>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</si>
  <si>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</si>
  <si>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</si>
  <si>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</si>
  <si>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</si>
  <si>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</si>
  <si>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</si>
  <si>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</si>
  <si>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</si>
  <si>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</si>
  <si>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</si>
  <si>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</si>
  <si>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</si>
  <si>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</si>
  <si>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</si>
  <si>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</si>
  <si>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</si>
  <si>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</si>
  <si>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</si>
  <si>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</si>
  <si>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</si>
  <si>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</si>
  <si>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</si>
  <si>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</si>
  <si>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</si>
  <si>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</si>
  <si>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</si>
  <si>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</si>
  <si>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</si>
  <si>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</si>
  <si>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</si>
  <si>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</si>
  <si>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</si>
  <si>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</si>
  <si>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</si>
  <si>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</si>
  <si>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</si>
  <si>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</si>
  <si>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</si>
  <si>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</si>
  <si>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</si>
  <si>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</si>
  <si>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</si>
  <si>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</si>
  <si>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</si>
  <si>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</si>
  <si>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</si>
  <si>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</si>
  <si>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</si>
  <si>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</si>
  <si>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</si>
  <si>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</si>
  <si>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</si>
  <si>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</si>
  <si>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</si>
  <si>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</si>
  <si>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</si>
  <si>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</si>
  <si>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</si>
  <si>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</si>
  <si>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</si>
  <si>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</si>
  <si>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</si>
  <si>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</si>
  <si>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</si>
  <si>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</si>
  <si>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</si>
  <si>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</si>
  <si>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</si>
  <si>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</si>
  <si>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</si>
  <si>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</si>
  <si>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</si>
  <si>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</si>
  <si>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</si>
  <si>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</si>
  <si>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</si>
  <si>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</si>
  <si>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</si>
  <si>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</si>
  <si>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</si>
  <si>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</si>
  <si>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</si>
  <si>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</si>
  <si>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</si>
  <si>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</si>
  <si>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</si>
  <si>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</si>
  <si>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</si>
  <si>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</si>
  <si>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</si>
  <si>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</si>
  <si>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</si>
  <si>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</si>
  <si>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</si>
  <si>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</si>
  <si>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</si>
  <si>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</si>
  <si>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</si>
  <si>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</si>
  <si>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</si>
  <si>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</si>
  <si>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</si>
  <si>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</si>
  <si>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</si>
  <si>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</si>
  <si>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</si>
  <si>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</si>
  <si>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</si>
  <si>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</si>
  <si>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</si>
  <si>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</si>
  <si>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</si>
  <si>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</si>
  <si>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</si>
  <si>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</si>
  <si>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</si>
  <si>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</si>
  <si>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</si>
  <si>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</si>
  <si>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</si>
  <si>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</si>
  <si>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</si>
  <si>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</si>
  <si>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</si>
  <si>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</si>
  <si>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</si>
  <si>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</si>
  <si>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</si>
  <si>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</si>
  <si>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</si>
  <si>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</si>
  <si>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</si>
  <si>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</si>
  <si>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</si>
  <si>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</si>
  <si>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</si>
  <si>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</si>
  <si>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</si>
  <si>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</si>
  <si>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</si>
  <si>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</si>
  <si>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</si>
  <si>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</si>
  <si>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</si>
  <si>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</si>
  <si>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</si>
  <si>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</si>
  <si>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</si>
  <si>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</si>
  <si>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</si>
  <si>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</si>
  <si>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</si>
  <si>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</si>
  <si>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</si>
  <si>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</si>
  <si>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</si>
  <si>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</si>
  <si>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</si>
  <si>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</si>
  <si>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</si>
  <si>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</si>
  <si>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</si>
  <si>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</si>
  <si>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</si>
  <si>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</si>
  <si>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</si>
  <si>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</si>
  <si>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</si>
  <si>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</si>
  <si>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</si>
  <si>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</si>
  <si>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</si>
  <si>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</si>
  <si>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</si>
  <si>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</si>
  <si>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</si>
  <si>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</si>
  <si>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</si>
  <si>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</si>
  <si>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</si>
  <si>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</si>
  <si>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</si>
  <si>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</si>
  <si>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</si>
  <si>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</si>
  <si>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</si>
  <si>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</si>
  <si>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</si>
  <si>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</si>
  <si>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</si>
  <si>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</si>
  <si>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</si>
  <si>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</si>
  <si>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</si>
  <si>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</si>
  <si>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</si>
  <si>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</si>
  <si>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</si>
  <si>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</si>
  <si>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</si>
  <si>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</si>
  <si>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</si>
  <si>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</si>
  <si>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</si>
  <si>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</si>
  <si>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</si>
  <si>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</si>
  <si>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</si>
  <si>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</si>
  <si>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</si>
  <si>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</si>
  <si>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</si>
  <si>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</si>
  <si>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</si>
  <si>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</si>
  <si>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</si>
  <si>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</si>
  <si>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</si>
  <si>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</si>
  <si>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</si>
  <si>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</si>
  <si>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</si>
  <si>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</si>
  <si>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</si>
  <si>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</si>
  <si>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</si>
  <si>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</si>
  <si>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</si>
  <si>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</si>
  <si>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</si>
  <si>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</si>
  <si>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</si>
  <si>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</si>
  <si>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</si>
  <si>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</si>
  <si>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</si>
  <si>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</si>
  <si>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</si>
  <si>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</si>
  <si>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</si>
  <si>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</si>
  <si>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</si>
  <si>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</si>
  <si>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</si>
  <si>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</si>
  <si>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</si>
  <si>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</si>
  <si>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</si>
  <si>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</si>
  <si>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</si>
  <si>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</si>
  <si>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</si>
  <si>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</si>
  <si>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</si>
  <si>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</si>
  <si>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</si>
  <si>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</si>
  <si>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</si>
  <si>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</si>
  <si>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</si>
  <si>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</si>
  <si>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</si>
  <si>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</si>
  <si>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</si>
  <si>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</si>
  <si>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</si>
  <si>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</si>
  <si>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</si>
  <si>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</si>
  <si>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</si>
  <si>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</si>
  <si>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</si>
  <si>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</si>
  <si>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</si>
  <si>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</si>
  <si>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</si>
  <si>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</si>
  <si>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</si>
  <si>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</si>
  <si>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</si>
  <si>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</si>
  <si>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</si>
  <si>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</si>
  <si>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</si>
  <si>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</si>
  <si>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</si>
  <si>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</si>
  <si>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</si>
  <si>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</si>
  <si>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</si>
  <si>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</si>
  <si>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</si>
  <si>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</si>
  <si>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</si>
  <si>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</si>
  <si>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</si>
  <si>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</si>
  <si>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</si>
  <si>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</si>
  <si>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</si>
  <si>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</si>
  <si>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</si>
  <si>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</si>
  <si>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</si>
  <si>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</si>
  <si>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</si>
  <si>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</si>
  <si>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</si>
  <si>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</si>
  <si>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</si>
  <si>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</si>
  <si>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</si>
  <si>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</si>
  <si>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</si>
  <si>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</si>
  <si>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</si>
  <si>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</si>
  <si>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</si>
  <si>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</si>
  <si>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</si>
  <si>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</si>
  <si>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</si>
  <si>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</si>
  <si>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</si>
  <si>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</si>
  <si>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</si>
  <si>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</si>
  <si>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</si>
  <si>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</si>
  <si>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</si>
  <si>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</si>
  <si>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</si>
  <si>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</si>
  <si>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</si>
  <si>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</si>
  <si>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</si>
  <si>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</si>
  <si>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</si>
  <si>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</si>
  <si>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</si>
  <si>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</si>
  <si>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</si>
  <si>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</si>
  <si>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</si>
  <si>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</si>
  <si>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</si>
  <si>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</si>
  <si>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</si>
  <si>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</si>
  <si>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</si>
  <si>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</si>
  <si>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</si>
  <si>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</si>
  <si>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</si>
  <si>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</si>
  <si>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</si>
  <si>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</si>
  <si>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</si>
  <si>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</si>
  <si>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</si>
  <si>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</si>
  <si>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</si>
  <si>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</si>
  <si>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</si>
  <si>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</si>
  <si>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</si>
  <si>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</si>
  <si>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</si>
  <si>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</si>
  <si>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</si>
  <si>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</si>
  <si>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</si>
  <si>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</si>
  <si>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</si>
  <si>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</si>
  <si>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</si>
  <si>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</si>
  <si>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</si>
  <si>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</si>
  <si>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</si>
  <si>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</si>
  <si>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</si>
  <si>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</si>
  <si>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</si>
  <si>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</si>
  <si>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</si>
  <si>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</si>
  <si>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</si>
  <si>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</si>
  <si>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</si>
  <si>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</si>
  <si>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</si>
  <si>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</si>
  <si>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</si>
  <si>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</si>
  <si>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</si>
  <si>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</si>
  <si>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</si>
  <si>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</si>
  <si>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</si>
  <si>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</si>
  <si>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</si>
  <si>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</si>
  <si>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</si>
  <si>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</si>
  <si>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</si>
  <si>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</si>
  <si>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</si>
  <si>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</si>
  <si>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</si>
  <si>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</si>
  <si>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</si>
  <si>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</si>
  <si>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</si>
  <si>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</si>
  <si>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</si>
  <si>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</si>
  <si>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</si>
  <si>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</si>
  <si>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</si>
  <si>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</si>
  <si>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</si>
  <si>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</si>
  <si>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</si>
  <si>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</si>
  <si>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</si>
  <si>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</si>
  <si>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</si>
  <si>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</si>
  <si>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</si>
  <si>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</si>
  <si>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</si>
  <si>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</si>
  <si>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</si>
  <si>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</si>
  <si>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</si>
  <si>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</si>
  <si>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</si>
  <si>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</si>
  <si>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</si>
  <si>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</si>
  <si>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</si>
  <si>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</si>
  <si>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</si>
  <si>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</si>
  <si>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</si>
  <si>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</si>
  <si>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</si>
  <si>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</si>
  <si>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</si>
  <si>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</si>
  <si>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</si>
  <si>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</si>
  <si>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</si>
  <si>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</si>
  <si>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</si>
  <si>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</si>
  <si>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</si>
  <si>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</si>
  <si>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</si>
  <si>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</si>
  <si>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</si>
  <si>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</si>
  <si>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</si>
  <si>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</si>
  <si>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</si>
  <si>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</si>
  <si>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</si>
  <si>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</si>
  <si>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</si>
  <si>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</si>
  <si>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</si>
  <si>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</si>
  <si>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</si>
  <si>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</si>
  <si>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</si>
  <si>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</si>
  <si>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</si>
  <si>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</si>
  <si>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</si>
  <si>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</si>
  <si>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</si>
  <si>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</si>
  <si>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</si>
  <si>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</si>
  <si>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</si>
  <si>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</si>
  <si>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</si>
  <si>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</si>
  <si>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</si>
  <si>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</si>
  <si>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</si>
  <si>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</si>
  <si>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</si>
  <si>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</si>
  <si>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</si>
  <si>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</si>
  <si>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</si>
  <si>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</si>
  <si>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</si>
  <si>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</si>
  <si>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</si>
  <si>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</si>
  <si>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</si>
  <si>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</si>
  <si>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</si>
  <si>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</si>
  <si>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</si>
  <si>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</si>
  <si>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</si>
  <si>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</si>
  <si>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</si>
  <si>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</si>
  <si>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</si>
  <si>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</si>
  <si>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</si>
  <si>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</si>
  <si>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</si>
  <si>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</si>
  <si>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</si>
  <si>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</si>
  <si>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</si>
  <si>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</si>
  <si>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</si>
  <si>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</si>
  <si>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</si>
  <si>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</si>
  <si>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</si>
  <si>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</si>
  <si>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</si>
  <si>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</si>
  <si>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</si>
  <si>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</si>
  <si>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</si>
  <si>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</si>
  <si>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</si>
  <si>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</si>
  <si>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</si>
  <si>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</si>
  <si>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</si>
  <si>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</si>
  <si>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</si>
  <si>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</si>
  <si>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</si>
  <si>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</si>
  <si>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</si>
  <si>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</si>
  <si>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</si>
  <si>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</si>
  <si>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</si>
  <si>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</si>
  <si>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</si>
  <si>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</si>
  <si>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</si>
  <si>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</si>
  <si>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</si>
  <si>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</si>
  <si>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</si>
  <si>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</si>
  <si>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</si>
  <si>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</si>
  <si>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</si>
  <si>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</si>
  <si>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</si>
  <si>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</si>
  <si>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</si>
  <si>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</si>
  <si>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</si>
  <si>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</si>
  <si>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</si>
  <si>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</si>
  <si>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</si>
  <si>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</si>
  <si>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</si>
  <si>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</si>
  <si>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</si>
  <si>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</si>
  <si>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</si>
  <si>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</si>
  <si>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</si>
  <si>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</si>
  <si>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</si>
  <si>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</si>
  <si>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</si>
  <si>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</si>
  <si>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</si>
  <si>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</si>
  <si>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</si>
  <si>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</si>
  <si>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</si>
  <si>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</si>
  <si>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</si>
  <si>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</si>
  <si>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</si>
  <si>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</si>
  <si>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</si>
  <si>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</si>
  <si>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</si>
  <si>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</si>
  <si>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</si>
  <si>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</si>
  <si>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</si>
  <si>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</si>
  <si>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</si>
  <si>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</si>
  <si>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</si>
  <si>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</si>
  <si>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</si>
  <si>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</si>
  <si>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</si>
  <si>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</si>
  <si>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</si>
  <si>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</si>
  <si>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</si>
  <si>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</si>
  <si>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</si>
  <si>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</si>
  <si>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</si>
  <si>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</si>
  <si>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</si>
  <si>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</si>
  <si>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</si>
  <si>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</si>
  <si>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</si>
  <si>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</si>
  <si>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</si>
  <si>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</si>
  <si>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</si>
  <si>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</si>
  <si>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</si>
  <si>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</si>
  <si>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</si>
  <si>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</si>
  <si>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</si>
  <si>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</si>
  <si>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</si>
  <si>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</si>
  <si>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</si>
  <si>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</si>
  <si>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</si>
  <si>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</si>
  <si>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</si>
  <si>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</si>
  <si>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</si>
  <si>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</si>
  <si>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</si>
  <si>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</si>
  <si>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</si>
  <si>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</si>
  <si>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</si>
  <si>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</si>
  <si>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</si>
  <si>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</si>
  <si>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</si>
  <si>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</si>
  <si>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</si>
  <si>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</si>
  <si>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</si>
  <si>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</si>
  <si>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</si>
  <si>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</si>
  <si>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</si>
  <si>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</si>
  <si>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</si>
  <si>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</si>
  <si>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</si>
  <si>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</si>
  <si>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</si>
  <si>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</si>
  <si>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</si>
  <si>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</si>
  <si>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</si>
  <si>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</si>
  <si>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</si>
  <si>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</si>
  <si>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</si>
  <si>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</si>
  <si>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</si>
  <si>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</si>
  <si>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</si>
  <si>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</si>
  <si>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</si>
  <si>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</si>
  <si>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</si>
  <si>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</si>
  <si>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</si>
  <si>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</si>
  <si>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</si>
  <si>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</si>
  <si>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</si>
  <si>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</si>
  <si>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</si>
  <si>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</si>
  <si>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</si>
  <si>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</si>
  <si>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</si>
  <si>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</si>
  <si>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</si>
  <si>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</si>
  <si>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</si>
  <si>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</si>
  <si>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</si>
  <si>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</si>
  <si>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</si>
  <si>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</si>
  <si>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</si>
  <si>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</si>
  <si>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</si>
  <si>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</si>
  <si>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</si>
  <si>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</si>
  <si>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</si>
  <si>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</si>
  <si>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</si>
  <si>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</si>
  <si>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</si>
  <si>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</si>
  <si>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</si>
  <si>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</si>
  <si>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</si>
  <si>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</si>
  <si>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</si>
  <si>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</si>
  <si>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</si>
  <si>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</si>
  <si>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</si>
  <si>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</si>
  <si>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</si>
  <si>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</si>
  <si>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</si>
  <si>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</si>
  <si>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</si>
  <si>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</si>
  <si>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</si>
  <si>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</si>
  <si>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</si>
  <si>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</si>
  <si>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</si>
  <si>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</si>
  <si>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</si>
  <si>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</si>
  <si>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</si>
  <si>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</si>
  <si>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</si>
  <si>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</si>
  <si>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</si>
  <si>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</si>
  <si>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</si>
  <si>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</si>
  <si>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</si>
  <si>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</si>
  <si>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</si>
  <si>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</si>
  <si>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</si>
  <si>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</si>
  <si>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</si>
  <si>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</si>
  <si>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</si>
  <si>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</si>
  <si>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</si>
  <si>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</si>
  <si>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</si>
  <si>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</si>
  <si>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</si>
  <si>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</si>
  <si>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</si>
  <si>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</si>
  <si>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</si>
  <si>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</si>
  <si>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</si>
  <si>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</si>
  <si>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</si>
  <si>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</si>
  <si>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</si>
  <si>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</si>
  <si>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</si>
  <si>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</si>
  <si>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</si>
  <si>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</si>
  <si>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</si>
  <si>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</si>
  <si>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</si>
  <si>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</si>
  <si>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</si>
  <si>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</si>
  <si>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Aqua Pennslyvania - Whitehaven Division</t>
  </si>
  <si>
    <t>The Whitehaven system within the Whitehaven division sells a lot of bulk water to contractor tanker trucks.  The kiosk filling the trucks is not metered but the size of the tanker (e.g., 5000 gals) is known.  The contractor is billed based on the tanker size.</t>
  </si>
  <si>
    <t>WhiteHaven Division has calculated water used internally as part of treatment. E.g., water sent through a chlorine analyzer continously (24/7/365).  This is finished water that is not metered but can accuarately be quanitified via bucket fill tests.</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</si>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</sst>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40.580573093852387</c:v>
                </c:pt>
                <c:pt idx="1">
                  <c:v>2.0024160337996988</c:v>
                </c:pt>
                <c:pt idx="2">
                  <c:v>207.71901509731026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2.9475471770531474</c:v>
                </c:pt>
                <c:pt idx="1">
                  <c:v>0.26113598867139654</c:v>
                </c:pt>
                <c:pt idx="2">
                  <c:v>29.433315418200024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21.975757813915916</c:v>
                </c:pt>
                <c:pt idx="1">
                  <c:v>0.92482240795754933</c:v>
                </c:pt>
                <c:pt idx="2">
                  <c:v>92.702220772820198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15.245091128696371</c:v>
                </c:pt>
                <c:pt idx="1">
                  <c:v>0.38772920688421864</c:v>
                </c:pt>
                <c:pt idx="2">
                  <c:v>32.833330524946739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6.7306666852195445</c:v>
                </c:pt>
                <c:pt idx="1">
                  <c:v>0.56875750335916142</c:v>
                </c:pt>
                <c:pt idx="2">
                  <c:v>63.795263731316474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66</c:v>
                </c:pt>
                <c:pt idx="1">
                  <c:v>1.2666666666666666</c:v>
                </c:pt>
                <c:pt idx="2" formatCode="General">
                  <c:v>132.73333333333335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129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0.92600000000000005</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8.6310000000000002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0.85513249999999996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6.9880204081632638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0.85513249999999996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111.05600030612248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$182,357/Yr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453.74</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4229.1900000000005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12142.8815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98970.798775510179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12142.8815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54417.440150000017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1.6863466586630114</c:v>
                </c:pt>
                <c:pt idx="1">
                  <c:v>9.0856271993300333E-2</c:v>
                </c:pt>
                <c:pt idx="2">
                  <c:v>9.5798310685062305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37.633025916799241</c:v>
                </c:pt>
                <c:pt idx="1">
                  <c:v>1.8469276802355887</c:v>
                </c:pt>
                <c:pt idx="2">
                  <c:v>191.38600643241375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1627.0749440498496</c:v>
                </c:pt>
                <c:pt idx="1">
                  <c:v>97.186039594358903</c:v>
                </c:pt>
                <c:pt idx="2" formatCode="_(* #,##0_);_(* \(#,##0\);_(* &quot;-&quot;??_);_(@_)">
                  <c:v>10423.993965650654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image" Target="../media/image13.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Relationship Id="rId25" Type="http://schemas.openxmlformats.org/officeDocument/2006/relationships/hyperlink" Target="#'Interactive Data Grading'!Nc"/><Relationship Id="rId33"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12.emf"/><Relationship Id="rId32"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E"/><Relationship Id="rId23" Type="http://schemas.openxmlformats.org/officeDocument/2006/relationships/hyperlink" Target="#'Interactive Data Grading'!Lm"/><Relationship Id="rId28" Type="http://schemas.openxmlformats.org/officeDocument/2006/relationships/image" Target="../media/image14.emf"/><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9.emf"/><Relationship Id="rId22" Type="http://schemas.openxmlformats.org/officeDocument/2006/relationships/image" Target="../media/image11.emf"/><Relationship Id="rId27" Type="http://schemas.openxmlformats.org/officeDocument/2006/relationships/hyperlink" Target="#'Interactive Data Grading'!Lp"/><Relationship Id="rId30" Type="http://schemas.openxmlformats.org/officeDocument/2006/relationships/image" Target="../media/image15.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0.png"/><Relationship Id="rId3" Type="http://schemas.openxmlformats.org/officeDocument/2006/relationships/chart" Target="../charts/chart4.xml"/><Relationship Id="rId21" Type="http://schemas.openxmlformats.org/officeDocument/2006/relationships/image" Target="../media/image3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1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1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1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1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18"/>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19"/>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20"/>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21"/>
                  </a:ext>
                </a:extLst>
              </xdr:cNvPicPr>
            </xdr:nvPicPr>
            <xdr:blipFill rotWithShape="1">
              <a:blip xmlns:r="http://schemas.openxmlformats.org/officeDocument/2006/relationships" r:embed="rId14"/>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22"/>
                  </a:ext>
                </a:extLst>
              </xdr:cNvPicPr>
            </xdr:nvPicPr>
            <xdr:blipFill rotWithShape="1">
              <a:blip xmlns:r="http://schemas.openxmlformats.org/officeDocument/2006/relationships" r:embed="rId8"/>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23"/>
                  </a:ext>
                </a:extLst>
              </xdr:cNvPicPr>
            </xdr:nvPicPr>
            <xdr:blipFill rotWithShape="1">
              <a:blip xmlns:r="http://schemas.openxmlformats.org/officeDocument/2006/relationships" r:embed="rId14"/>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24"/>
                  </a:ext>
                </a:extLst>
              </xdr:cNvPicPr>
            </xdr:nvPicPr>
            <xdr:blipFill rotWithShape="1">
              <a:blip xmlns:r="http://schemas.openxmlformats.org/officeDocument/2006/relationships" r:embed="rId12"/>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25"/>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26"/>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27"/>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28"/>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29"/>
                  </a:ext>
                </a:extLst>
              </xdr:cNvPicPr>
            </xdr:nvPicPr>
            <xdr:blipFill rotWithShape="1">
              <a:blip xmlns:r="http://schemas.openxmlformats.org/officeDocument/2006/relationships" r:embed="rId2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30"/>
                  </a:ext>
                </a:extLst>
              </xdr:cNvPicPr>
            </xdr:nvPicPr>
            <xdr:blipFill rotWithShape="1">
              <a:blip xmlns:r="http://schemas.openxmlformats.org/officeDocument/2006/relationships" r:embed="rId2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31"/>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32"/>
                  </a:ext>
                </a:extLst>
              </xdr:cNvPicPr>
            </xdr:nvPicPr>
            <xdr:blipFill rotWithShape="1">
              <a:blip xmlns:r="http://schemas.openxmlformats.org/officeDocument/2006/relationships" r:embed="rId1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2"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7" activePane="bottomLeft" state="frozen"/>
      <selection pane="bottomLeft" activeCell="BF17" sqref="BF17"/>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1276</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1279</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1280</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1281</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45374</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2023</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2023</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44927</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45291</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18600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10" workbookViewId="0">
      <pane ySplit="9" topLeftCell="A52" activePane="bottomLeft" state="frozen"/>
      <selection activeCell="BF17" sqref="BF17"/>
      <selection pane="bottomLeft" activeCell="BF17" sqref="BF17"/>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Whitehaven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2023</v>
      </c>
      <c r="E5" s="1232"/>
      <c r="F5" s="1232"/>
      <c r="G5" s="1233"/>
      <c r="H5" s="1225" t="str">
        <f>IF(ISBLANK('Start Page'!AB20),"",TEXT('Start Page'!AB20,"mmm dd yyyy")&amp;" - "&amp;TEXT('Start Page'!AB21,"mmm dd yyyy"))</f>
        <v>Jan 01 2023 - Dec 31 2023</v>
      </c>
      <c r="I5" s="1226"/>
      <c r="J5" s="1227"/>
      <c r="K5" s="1229">
        <f>IF(ISBLANK('Start Page'!AB19),"",'Start Page'!AB19)</f>
        <v>2023</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443.15100000000001</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8.8630200000000006</v>
      </c>
      <c r="Y15" s="130">
        <f>$Y$19/$Y$18*H15</f>
        <v>32.918258906963246</v>
      </c>
      <c r="Z15" s="186">
        <f>$Y$19/$Y$18*ABS(X15)</f>
        <v>0.65836517813926498</v>
      </c>
      <c r="AA15" s="1046">
        <f>IF(W15=1,input_VOS-input_VOS/(1+O15*AB15),Q15*AB15)</f>
        <v>-9.0438979591837096</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452.19489795918372</v>
      </c>
    </row>
    <row r="16" spans="1:33" s="54" customFormat="1">
      <c r="A16" s="113"/>
      <c r="B16" s="666" t="s">
        <v>908</v>
      </c>
      <c r="C16" s="1052" t="s">
        <v>40</v>
      </c>
      <c r="D16" s="983" t="s">
        <v>881</v>
      </c>
      <c r="E16" s="681" t="s">
        <v>882</v>
      </c>
      <c r="F16" s="587">
        <f>'Interactive Data Grading'!D74</f>
        <v>6</v>
      </c>
      <c r="G16" s="336"/>
      <c r="H16" s="630">
        <v>18.786000000000001</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0.37572000000000005</v>
      </c>
      <c r="Y16" s="130">
        <f>$Y$19/$Y$18*H16</f>
        <v>1.3954665832328295</v>
      </c>
      <c r="Z16" s="186">
        <f>$Y$19/$Y$18*ABS(X16)</f>
        <v>2.7909331664656589E-2</v>
      </c>
      <c r="AA16" s="1046">
        <f>IF(W16=1,input_WI-input_WI/(1+O16*AB16),Q16*AB16)</f>
        <v>-0.38338775510204215</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19.169387755102044</v>
      </c>
    </row>
    <row r="17" spans="1:33" s="54" customFormat="1" ht="13.35" customHeight="1">
      <c r="A17" s="113"/>
      <c r="B17" s="666" t="s">
        <v>909</v>
      </c>
      <c r="C17" s="1052" t="s">
        <v>41</v>
      </c>
      <c r="D17" s="983" t="s">
        <v>881</v>
      </c>
      <c r="E17" s="681" t="s">
        <v>882</v>
      </c>
      <c r="F17" s="587">
        <f>'Interactive Data Grading'!D127</f>
        <v>6</v>
      </c>
      <c r="G17" s="336"/>
      <c r="H17" s="396">
        <v>0</v>
      </c>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471.17574000000002</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471.36428571428576</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341.48700000000002</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13.962139287935914</v>
      </c>
      <c r="Z23" s="193"/>
      <c r="AA23" s="304" t="s">
        <v>780</v>
      </c>
      <c r="AB23" s="637"/>
      <c r="AC23" s="297"/>
      <c r="AD23" s="297"/>
      <c r="AE23" s="297"/>
    </row>
    <row r="24" spans="1:33" s="54" customFormat="1">
      <c r="A24" s="113"/>
      <c r="B24" s="666" t="s">
        <v>911</v>
      </c>
      <c r="C24" s="626" t="s">
        <v>482</v>
      </c>
      <c r="D24" s="983" t="s">
        <v>881</v>
      </c>
      <c r="E24" s="681" t="s">
        <v>882</v>
      </c>
      <c r="F24" s="587">
        <f>'Interactive Data Grading'!D200</f>
        <v>10</v>
      </c>
      <c r="G24" s="336"/>
      <c r="H24" s="396">
        <v>0.56599999999999995</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3.7860712064086352E-2</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0.92600000000000005</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342.41300000000001</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6</v>
      </c>
      <c r="G26" s="336"/>
      <c r="H26" s="594">
        <f>IF(OR(W26=1,AND(W26=2,Q26=0)),O26*SUM(H23:H24),Q26)</f>
        <v>8.6310000000000002</v>
      </c>
      <c r="I26" s="337"/>
      <c r="J26" s="338" t="str">
        <f>IF('Start Page'!$AB$22="million gallons (US)","MG/Yr",IF('Start Page'!$AB$22="Megalitres (thousand cubic metres)","ML/Yr",IF('Start Page'!$AB$22="acre-feet","Acre-ft/Yr","")))</f>
        <v>MG/Yr</v>
      </c>
      <c r="K26" s="338"/>
      <c r="L26" s="338"/>
      <c r="M26" s="338"/>
      <c r="N26" s="338"/>
      <c r="O26" s="588">
        <v>2.5000000000000001E-3</v>
      </c>
      <c r="P26" s="755" t="s">
        <v>835</v>
      </c>
      <c r="Q26" s="1192">
        <v>8.6310000000000002</v>
      </c>
      <c r="R26" s="1192"/>
      <c r="S26" s="586" t="str">
        <f>IF('Start Page'!$AB$22="million gallons (US)","MG/Yr",IF('Start Page'!$AB$22="Megalitres (thousand cubic metres)","ML/Yr",IF('Start Page'!$AB$22="acre-feet","acre-ft/yr","")))</f>
        <v>MG/Yr</v>
      </c>
      <c r="T26" s="313"/>
      <c r="U26" s="322"/>
      <c r="V26" s="113"/>
      <c r="W26" s="580">
        <f>IF(P26="default",1,2)</f>
        <v>2</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351.61</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119.75428571428574</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0.85513249999999996</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6.9880204081632655</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0.85513249999999996</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8.6982854081632652</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6.96912244897959</v>
      </c>
      <c r="Y50" s="174">
        <f>IFERROR(IF(W41=1,((H25)/(1-(O41*X41)))-(H25),Q41*H25/(H23+H25)),0)</f>
        <v>1.8897959183673541E-2</v>
      </c>
      <c r="Z50" s="1079">
        <f>SUM(X50:Y50)</f>
        <v>6.9880204081632638</v>
      </c>
      <c r="AA50" s="1190"/>
      <c r="AB50" s="1190"/>
      <c r="AC50" s="1190"/>
      <c r="AD50" s="297"/>
      <c r="AE50" s="297"/>
    </row>
    <row r="51" spans="1:31" s="54" customFormat="1">
      <c r="A51" s="113"/>
      <c r="B51" s="666"/>
      <c r="C51" s="1196" t="s">
        <v>662</v>
      </c>
      <c r="D51" s="1196"/>
      <c r="E51" s="1196"/>
      <c r="F51" s="1196"/>
      <c r="G51" s="1018"/>
      <c r="H51" s="1017">
        <f>IFERROR(H35-H46,"")</f>
        <v>111.05600030612248</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98961.538775510184</v>
      </c>
      <c r="Y51" s="1099">
        <f>Y50*input_VPC</f>
        <v>9.2600000000000353</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119.75428571428574</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129.31128571428576</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187</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8085</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43.235294117647058</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34</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34</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69</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319000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213" activePane="bottomLeft" state="frozen"/>
      <selection activeCell="BF17" sqref="BF17"/>
      <selection pane="bottomLeft" activeCell="BF17" sqref="BF17"/>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Whitehaven Division</v>
      </c>
      <c r="C1" s="718"/>
      <c r="D1" s="719"/>
      <c r="E1" s="1042" t="s">
        <v>1157</v>
      </c>
    </row>
    <row r="2" spans="1:20" ht="30.6" customHeight="1">
      <c r="A2" s="562"/>
      <c r="B2" s="1041">
        <f>IF(ISBLANK('Start Page'!AB18),"",'Start Page'!AB18)</f>
        <v>2023</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Inconsistency between Worksheet WE input and we.0 response</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260</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t="s">
        <v>659</v>
      </c>
      <c r="E197" s="870" t="str">
        <f>IF(OR($D$200=10,$D$200="n/a"),"",IFERROR(IF(H197=MIN($H$197:$H$199),"Limiting",""),""))</f>
        <v/>
      </c>
      <c r="F197" s="402"/>
      <c r="H197" s="959">
        <f>VLOOKUP('Interactive Data Grading'!D197,BUAC!$C$6:$F$15,4,FALSE)</f>
        <v>10</v>
      </c>
      <c r="I197" s="959"/>
    </row>
    <row r="198" spans="1:18" ht="27.6" customHeight="1">
      <c r="A198" s="269"/>
      <c r="B198" s="659" t="s">
        <v>436</v>
      </c>
      <c r="C198" s="1034" t="str">
        <f>BUAC!B36</f>
        <v>Methodology to quantify consumption for unmetered accounts?</v>
      </c>
      <c r="D198" s="404" t="s">
        <v>729</v>
      </c>
      <c r="E198" s="870" t="str">
        <f>IF(OR($D$200=10,$D$200="n/a"),"",IFERROR(IF(H198=MIN($H$197:$H$199),"Limiting",""),""))</f>
        <v/>
      </c>
      <c r="F198" s="402"/>
      <c r="H198" s="959">
        <f>VLOOKUP('Interactive Data Grading'!D198,BUAC!$D$6:$F$15,3,FALSE)</f>
        <v>10</v>
      </c>
      <c r="I198" s="960"/>
    </row>
    <row r="199" spans="1:18" ht="27.6" customHeight="1">
      <c r="A199" s="269"/>
      <c r="B199" s="659" t="s">
        <v>437</v>
      </c>
      <c r="C199" s="1034" t="str">
        <f>BUAC!B37</f>
        <v>How frequently is unmetered customer consumption estimated?</v>
      </c>
      <c r="D199" s="404" t="s">
        <v>268</v>
      </c>
      <c r="E199" s="870" t="str">
        <f>IF(OR($D$200=10,$D$200="n/a"),"",IFERROR(IF(H199=MIN($H$197:$H$199),"Limiting",""),""))</f>
        <v/>
      </c>
      <c r="F199" s="402"/>
      <c r="H199" s="959">
        <f>VLOOKUP('Interactive Data Grading'!D199,BUAC!$E$6:$F$15,2,FALSE)</f>
        <v>10</v>
      </c>
      <c r="I199" s="960"/>
    </row>
    <row r="200" spans="1:18" ht="27.6" customHeight="1">
      <c r="A200" s="269"/>
      <c r="B200" s="269"/>
      <c r="C200" s="403" t="s">
        <v>313</v>
      </c>
      <c r="D200" s="873">
        <f>IFERROR((IF(D196="No","n/a",H200)),"")</f>
        <v>10</v>
      </c>
      <c r="E200" s="870"/>
      <c r="F200" s="402"/>
      <c r="H200" s="962">
        <f>MIN(H196:H199)</f>
        <v>10</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830</v>
      </c>
      <c r="E222" s="870" t="str">
        <f>IF(OR($D$224=10,$D$224="n/a"),"",IFERROR(IF(H222=MIN($H$220:$H$223),"Limiting",""),""))</f>
        <v/>
      </c>
      <c r="F222" s="402"/>
      <c r="H222" s="959">
        <f>VLOOKUP('Interactive Data Grading'!D222,UMAC!$E$6:$G$15,3,FALSE)</f>
        <v>10</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A system specific volume has been entered</v>
      </c>
      <c r="E243" s="870"/>
      <c r="F243" s="402"/>
      <c r="I243" s="958"/>
      <c r="J243" s="951" t="s">
        <v>836</v>
      </c>
    </row>
    <row r="244" spans="1:18" ht="27.6" customHeight="1">
      <c r="A244" s="269"/>
      <c r="B244" s="659" t="s">
        <v>465</v>
      </c>
      <c r="C244" s="1034" t="str">
        <f>UUAC!B35</f>
        <v>How well-understood is the extent of unbilled unmetered use?</v>
      </c>
      <c r="D244" s="405" t="s">
        <v>839</v>
      </c>
      <c r="E244" s="870" t="str">
        <f>IF(OR($D$247=10,$D$247=3),"",IFERROR(IF(H244=MIN($H$244:$H$246),"Limiting",""),""))</f>
        <v/>
      </c>
      <c r="F244" s="402"/>
      <c r="H244" s="959">
        <f>VLOOKUP('Interactive Data Grading'!D244,UUAC!$C$6:$F$15,4,FALSE)</f>
        <v>10</v>
      </c>
      <c r="I244" s="959"/>
    </row>
    <row r="245" spans="1:18" ht="27.6" customHeight="1">
      <c r="A245" s="269"/>
      <c r="B245" s="659" t="s">
        <v>466</v>
      </c>
      <c r="C245" s="1034" t="str">
        <f>UUAC!B36</f>
        <v>Which best describes the records that are kept for events of unbilled unmetered use?</v>
      </c>
      <c r="D245" s="406" t="s">
        <v>832</v>
      </c>
      <c r="E245" s="870" t="str">
        <f>IF(OR($D$247=10,$D$247=3),"",IFERROR(IF(H245=MIN($H$244:$H$246),"Limiting",""),""))</f>
        <v>Limiting</v>
      </c>
      <c r="F245" s="402"/>
      <c r="H245" s="959">
        <f>VLOOKUP('Interactive Data Grading'!D245,UUAC!$D$6:$F$15,3,FALSE)</f>
        <v>6</v>
      </c>
      <c r="I245" s="960"/>
    </row>
    <row r="246" spans="1:18" ht="27.6" customHeight="1">
      <c r="A246" s="269"/>
      <c r="B246" s="659" t="s">
        <v>467</v>
      </c>
      <c r="C246" s="1034" t="str">
        <f>UUAC!B37</f>
        <v>How is the majority of unbilled unmetered use estimated?</v>
      </c>
      <c r="D246" s="406" t="s">
        <v>888</v>
      </c>
      <c r="E246" s="870" t="str">
        <f>IF(OR($D$247=10,$D$247=3),"",IFERROR(IF(H246=MIN($H$244:$H$246),"Limiting",""),""))</f>
        <v/>
      </c>
      <c r="F246" s="402"/>
      <c r="H246" s="959">
        <f>VLOOKUP('Interactive Data Grading'!D246,UUAC!$E$6:$F$15,2,FALSE)</f>
        <v>8</v>
      </c>
      <c r="I246" s="960"/>
    </row>
    <row r="247" spans="1:18" ht="27.6" customHeight="1">
      <c r="A247" s="269"/>
      <c r="B247" s="269"/>
      <c r="C247" s="403" t="s">
        <v>313</v>
      </c>
      <c r="D247" s="1045">
        <f>IFERROR((IF(D243=UUAC!A3,3,H247)),"")</f>
        <v>6</v>
      </c>
      <c r="E247" s="870"/>
      <c r="F247" s="402"/>
      <c r="H247" s="962">
        <f>MIN(H244:H246)</f>
        <v>6</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BF17" sqref="BF17"/>
      <selection pane="bottomLeft" activeCell="BF17" sqref="BF17"/>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Whitehaven Division</v>
      </c>
      <c r="Q3" s="784"/>
      <c r="R3" s="784"/>
      <c r="S3" s="784"/>
      <c r="T3" s="784"/>
      <c r="U3" s="784"/>
      <c r="V3" s="784"/>
      <c r="W3" s="784"/>
      <c r="X3" s="784"/>
      <c r="Y3" s="784"/>
      <c r="Z3" s="784"/>
      <c r="AA3" s="784"/>
      <c r="AB3" s="784"/>
      <c r="AC3" s="781"/>
      <c r="AD3" s="782"/>
      <c r="AE3" s="783"/>
      <c r="AF3" s="780" t="s">
        <v>714</v>
      </c>
      <c r="AG3" s="1267">
        <f>IF(ISBLANK('Start Page'!AB18),"",'Start Page'!AB18)</f>
        <v>2023</v>
      </c>
      <c r="AH3" s="126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66</v>
      </c>
      <c r="BS6" s="826"/>
      <c r="BT6" s="825"/>
      <c r="BU6" s="827"/>
      <c r="BV6" s="827"/>
      <c r="BW6" s="827"/>
      <c r="BX6" s="73"/>
      <c r="BY6" s="73"/>
    </row>
    <row r="7" spans="1:77" s="301" customFormat="1" ht="12.95" customHeight="1">
      <c r="A7" s="300"/>
      <c r="B7" s="410"/>
      <c r="C7" s="78"/>
      <c r="D7" s="788"/>
      <c r="E7" s="996"/>
      <c r="F7" s="789"/>
      <c r="G7" s="789"/>
      <c r="H7" s="787"/>
      <c r="I7" s="931" t="s">
        <v>237</v>
      </c>
      <c r="J7" s="1269">
        <f>BR6</f>
        <v>66</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66</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132.73333333333335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21.975757813915916</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21.975757813915916</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21.975757813915916</v>
      </c>
      <c r="AB18" s="1262"/>
      <c r="AC18" s="1262"/>
      <c r="AD18" s="1020" t="str">
        <f>BD13</f>
        <v>$/conn/year</v>
      </c>
      <c r="AE18" s="1021"/>
      <c r="AF18" s="1022"/>
      <c r="AG18" s="1022"/>
      <c r="AH18" s="1023"/>
      <c r="AI18" s="1023"/>
      <c r="AJ18" s="1021"/>
      <c r="AK18" s="1262">
        <f>BS22</f>
        <v>15.245091128696371</v>
      </c>
      <c r="AL18" s="1262"/>
      <c r="AM18" s="1262"/>
      <c r="AN18" s="1020" t="str">
        <f>BD13</f>
        <v>$/conn/year</v>
      </c>
      <c r="AO18" s="1021"/>
      <c r="AP18" s="1021"/>
      <c r="AQ18" s="1021"/>
      <c r="AR18" s="1021"/>
      <c r="AS18" s="1021"/>
      <c r="AT18" s="1021"/>
      <c r="AU18" s="1262">
        <f>BS29</f>
        <v>6.7306666852195445</v>
      </c>
      <c r="AV18" s="1262"/>
      <c r="AW18" s="1262"/>
      <c r="AX18" s="1020" t="str">
        <f>BD13</f>
        <v>$/conn/year</v>
      </c>
      <c r="AY18" s="814"/>
      <c r="AZ18" s="789"/>
      <c r="BA18" s="789"/>
      <c r="BB18" s="418"/>
      <c r="BC18" s="138"/>
      <c r="BD18" s="73" t="s">
        <v>706</v>
      </c>
      <c r="BE18" s="290">
        <f>(((5.41*Worksheet!H61)+(0.15*Worksheet!H62)+(7.5*(Worksheet!H62*Worksheet!W67/5280)))*Worksheet!H68)/1000000*365</f>
        <v>65.855973168749998</v>
      </c>
      <c r="BM18" s="765"/>
      <c r="BN18" s="766"/>
      <c r="BO18" s="833" t="s">
        <v>1039</v>
      </c>
      <c r="BP18" s="835">
        <f>BQ18-BQ17</f>
        <v>8.9525318444022357</v>
      </c>
      <c r="BQ18" s="1054">
        <f t="shared" si="0"/>
        <v>18.283980813778896</v>
      </c>
      <c r="BR18" s="833" t="s">
        <v>779</v>
      </c>
      <c r="BS18" s="837">
        <f>SUM(BP16:BP20)-SUM(BS16,BS17)</f>
        <v>92.702220772820198</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202.10429558696012</v>
      </c>
      <c r="BF19" s="289">
        <f>BE19*325851.427242/Worksheet!H62/365</f>
        <v>22.316304730983301</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420.74690624999999</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15.245091128696371</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15.245091128696371</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32.833330524946739</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40.580573093852387</v>
      </c>
      <c r="AB29" s="1263"/>
      <c r="AC29" s="1263"/>
      <c r="AD29" s="1019" t="str">
        <f>BD10</f>
        <v>gal/conn/day</v>
      </c>
      <c r="AE29" s="1019"/>
      <c r="AF29" s="1024"/>
      <c r="AG29" s="1024"/>
      <c r="AH29" s="813"/>
      <c r="AI29" s="813"/>
      <c r="AJ29" s="813"/>
      <c r="AK29" s="1263">
        <f>BS43</f>
        <v>2.9475471770531474</v>
      </c>
      <c r="AL29" s="1263"/>
      <c r="AM29" s="1263"/>
      <c r="AN29" s="1020" t="str">
        <f>BD10</f>
        <v>gal/conn/day</v>
      </c>
      <c r="AO29" s="813"/>
      <c r="AP29" s="813"/>
      <c r="AQ29" s="813"/>
      <c r="AR29" s="813"/>
      <c r="AS29" s="813"/>
      <c r="AT29" s="813"/>
      <c r="AU29" s="1258">
        <f>BS55</f>
        <v>37.633025916799241</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6.7306666852195445</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6.7306666852195445</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69</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63.795263731316474</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40.580573093852387</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40.580573093852387</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207.71901509731026</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1.6863466586630114</v>
      </c>
      <c r="AI41" s="1257"/>
      <c r="AJ41" s="1257"/>
      <c r="AK41" s="1019" t="s">
        <v>1048</v>
      </c>
      <c r="AL41" s="938"/>
      <c r="AM41" s="939"/>
      <c r="AN41" s="940"/>
      <c r="AO41" s="940"/>
      <c r="AP41" s="940"/>
      <c r="AQ41" s="940"/>
      <c r="AR41" s="940"/>
      <c r="AS41" s="1256">
        <f>BS69</f>
        <v>1627.0749440498496</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65.855973168749998</v>
      </c>
      <c r="AL43" s="1255"/>
      <c r="AM43" s="1255"/>
      <c r="AN43" s="1255"/>
      <c r="AO43" s="1071" t="str">
        <f>BD7</f>
        <v>MG/Yr</v>
      </c>
      <c r="AP43" s="813"/>
      <c r="AQ43" s="813"/>
      <c r="AR43" s="813"/>
      <c r="AS43" s="1255">
        <f>IF(BG19=1,BF19,IFERROR(AK43*1000000/Worksheet!H62/365,""))</f>
        <v>22.316304730983301</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2.9475471770531474</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2.9475471770531474</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29.433315418200024</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8.6982854081632652</v>
      </c>
      <c r="J49" s="1249"/>
      <c r="K49" s="1249"/>
      <c r="L49" s="1249"/>
      <c r="M49" s="795"/>
      <c r="N49" s="1250">
        <f>IF(OR(ISBLANK('Start Page'!$AB$22),ISBLANK(Worksheet!J76)),"",(SUM(Worksheet!H43+Worksheet!H39+Worksheet!X50)*Worksheet!H76)*INDEX(Sheet1!B2:D4,MATCH('Start Page'!AB22,Sheet1!A2:A4,0),MATCH(Worksheet!J76,Sheet1!B1:D1,0))+Worksheet!Y50*Worksheet!H77)</f>
        <v>123256.56177551016</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111.05600030612248</v>
      </c>
      <c r="J50" s="1249"/>
      <c r="K50" s="1249"/>
      <c r="L50" s="1249"/>
      <c r="M50" s="795"/>
      <c r="N50" s="1250">
        <f>IFERROR(IF(Worksheet!H41="Select under/over","",IF(ISBLANK('Start Page'!AB22),"",Worksheet!H51*(IF(BD29=FALSE,Worksheet!H77,IF(BD29=TRUE,Worksheet!H76*INDEX(Sheet1!B2:D4,MATCH('Start Page'!AB22,Sheet1!A2:A4,0),MATCH(Worksheet!J76,Sheet1!B1:D1,0)),""))))),"")</f>
        <v>54417.440150000017</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9.5570000000000004</v>
      </c>
      <c r="J51" s="1249"/>
      <c r="K51" s="1249"/>
      <c r="L51" s="1249"/>
      <c r="M51" s="795"/>
      <c r="N51" s="1250">
        <f>IFERROR(IF(SUM(Sheet1!D90:D91)=0,"",SUM(Sheet1!D90:D91)),"")</f>
        <v>4682.93</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129.31128571428573</v>
      </c>
      <c r="J52" s="1249"/>
      <c r="K52" s="1249"/>
      <c r="L52" s="1249"/>
      <c r="M52" s="795"/>
      <c r="N52" s="1250">
        <f>IF(SUM(N49:N51)=0,"",SUM(N49:N51))</f>
        <v>182356.93192551017</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37.633025916799241</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37.633025916799241</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191.38600643241375</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1.6863466586630114</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1.6863466586630114</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9.5798310685062305</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1627.0749440498496</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1627.0749440498496</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10423.993965650654</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16.665808526427512</v>
      </c>
      <c r="BQ83" s="850">
        <f>BP83+BQ78</f>
        <v>69</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31" activePane="bottomLeft" state="frozen"/>
      <selection activeCell="BF17" sqref="BF17"/>
      <selection pane="bottomLeft" activeCell="BF17" sqref="BF17"/>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Whitehaven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90"/>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7" t="s">
        <v>1277</v>
      </c>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t="s">
        <v>1278</v>
      </c>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129 MG/Yr</v>
      </c>
    </row>
    <row r="79" spans="1:6" ht="16.5">
      <c r="B79" s="65"/>
      <c r="C79" s="65"/>
      <c r="D79" s="65"/>
      <c r="E79" s="12" t="str">
        <f>IFERROR("Total Cost of NRW = $"&amp;TEXT(SUM(D90,D91,D94,D95,D96,D97,D99),"#,###")&amp;"/Yr","")</f>
        <v>Total Cost of NRW = $182,357/Yr</v>
      </c>
      <c r="F79" s="65"/>
    </row>
    <row r="80" spans="1:6">
      <c r="A80" s="64"/>
      <c r="B80" s="64"/>
      <c r="C80" s="66" t="str">
        <f>"Volume ("&amp;Worksheet!J15&amp;")"</f>
        <v>Volume (MG/Yr)</v>
      </c>
      <c r="D80" s="66" t="s">
        <v>147</v>
      </c>
      <c r="E80" s="119" t="s">
        <v>1085</v>
      </c>
      <c r="F80" s="64"/>
    </row>
    <row r="81" spans="1:6">
      <c r="A81" s="67" t="s">
        <v>127</v>
      </c>
      <c r="B81" s="67"/>
      <c r="C81" s="160">
        <f>IF(Dashboard!BO$2&gt;0,"",Worksheet!H15)</f>
        <v>443.15100000000001</v>
      </c>
      <c r="D81" s="161">
        <f>IF(Dashboard!BO$2&gt;0,"",C81*(Worksheet!$H$77))</f>
        <v>217143.99</v>
      </c>
      <c r="E81" s="712">
        <f>D81</f>
        <v>217143.99</v>
      </c>
      <c r="F81" s="925" t="s">
        <v>1084</v>
      </c>
    </row>
    <row r="82" spans="1:6">
      <c r="A82" s="67" t="str">
        <f>A81&amp;" MA"</f>
        <v>Vol. from own sources: MA</v>
      </c>
      <c r="B82" s="67"/>
      <c r="C82" s="160">
        <f>IF(Dashboard!BO$2&gt;0,"",Worksheet!X15)</f>
        <v>8.8630200000000006</v>
      </c>
      <c r="D82" s="161">
        <f>IF(Dashboard!BO$2&gt;0,"",C82*(Worksheet!$H$77))</f>
        <v>4342.8798000000006</v>
      </c>
      <c r="E82" s="712">
        <f t="shared" ref="E82:E100" si="0">D82</f>
        <v>4342.8798000000006</v>
      </c>
      <c r="F82" s="64"/>
    </row>
    <row r="83" spans="1:6">
      <c r="A83" s="64" t="s">
        <v>0</v>
      </c>
      <c r="B83" s="64"/>
      <c r="C83" s="160">
        <f>IF(Dashboard!BO$2&gt;0,"",Worksheet!H16)</f>
        <v>18.786000000000001</v>
      </c>
      <c r="D83" s="161">
        <f>IF(Dashboard!BO$2&gt;0,"",C83*(Worksheet!$H$77))</f>
        <v>9205.1400000000012</v>
      </c>
      <c r="E83" s="712">
        <f t="shared" si="0"/>
        <v>9205.1400000000012</v>
      </c>
      <c r="F83" s="64"/>
    </row>
    <row r="84" spans="1:6">
      <c r="A84" s="64" t="str">
        <f>A83&amp;" MA"</f>
        <v>Water imported: MA</v>
      </c>
      <c r="B84" s="64"/>
      <c r="C84" s="160">
        <f>IF(Dashboard!BO$2&gt;0,"",Worksheet!X16)</f>
        <v>0.37572000000000005</v>
      </c>
      <c r="D84" s="161">
        <f>IF(Dashboard!BO$2&gt;0,"",C84*(Worksheet!$H$77))</f>
        <v>184.10280000000003</v>
      </c>
      <c r="E84" s="712">
        <f t="shared" si="0"/>
        <v>184.10280000000003</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471.36428571428576</v>
      </c>
      <c r="D87" s="161">
        <f>IF(Dashboard!BO$2&gt;0,"",C87*(Worksheet!$H$77))</f>
        <v>230968.50000000003</v>
      </c>
      <c r="E87" s="712">
        <f t="shared" si="0"/>
        <v>230968.50000000003</v>
      </c>
      <c r="F87" s="64"/>
    </row>
    <row r="88" spans="1:6">
      <c r="A88" s="279" t="s">
        <v>1268</v>
      </c>
      <c r="B88" s="64"/>
      <c r="C88" s="160">
        <f>IF(Dashboard!BO$2&gt;0,"",Worksheet!H23)</f>
        <v>341.48700000000002</v>
      </c>
      <c r="D88" s="161">
        <f>IF(Dashboard!BO$2&gt;0,"",C88*(Worksheet!$H$76*1000))</f>
        <v>4849115.4000000004</v>
      </c>
      <c r="E88" s="712">
        <f t="shared" si="0"/>
        <v>4849115.4000000004</v>
      </c>
      <c r="F88" s="64"/>
    </row>
    <row r="89" spans="1:6">
      <c r="A89" s="279" t="s">
        <v>1269</v>
      </c>
      <c r="B89" s="64"/>
      <c r="C89" s="160">
        <f>IF(Dashboard!BO$2&gt;0,"",Worksheet!H24)</f>
        <v>0.56599999999999995</v>
      </c>
      <c r="D89" s="161">
        <f>IF(Dashboard!BO$2&gt;0,"",C89*(Worksheet!$H$76*1000))</f>
        <v>8037.1999999999989</v>
      </c>
      <c r="E89" s="712">
        <f t="shared" si="0"/>
        <v>8037.1999999999989</v>
      </c>
      <c r="F89" s="64"/>
    </row>
    <row r="90" spans="1:6">
      <c r="A90" s="1107" t="str">
        <f>"Unbilled Metered (UMAC) valued at "&amp;A76&amp;""</f>
        <v xml:space="preserve">Unbilled Metered (UMAC) valued at </v>
      </c>
      <c r="B90" s="1108"/>
      <c r="C90" s="1109">
        <f>IF(Dashboard!BO$2&gt;0,"",Worksheet!H25)</f>
        <v>0.92600000000000005</v>
      </c>
      <c r="D90" s="1110">
        <f>IF(Dashboard!BO$2&gt;0,"",IF(ISBLANK('Start Page'!AB22),"",IF(AND(ISBLANK(Worksheet!H77),Worksheet!Z77&lt;&gt;1),"",Worksheet!H25*(IF(Dashboard!BD29=FALSE,Worksheet!H77,IF(Dashboard!BD29=TRUE,Worksheet!H76*INDEX(Sheet1!B2:D4,MATCH('Start Page'!AB22,Sheet1!A2:A4,0),MATCH(Worksheet!J76,Sheet1!B1:D1,0)),""))))))</f>
        <v>453.74</v>
      </c>
      <c r="E90" s="1111">
        <f t="shared" si="0"/>
        <v>453.74</v>
      </c>
      <c r="F90" s="64"/>
    </row>
    <row r="91" spans="1:6">
      <c r="A91" s="1112" t="str">
        <f>"Unbilled Unmetered (UUAC) valued at "&amp;A76&amp;""</f>
        <v xml:space="preserve">Unbilled Unmetered (UUAC) valued at </v>
      </c>
      <c r="B91" s="1108"/>
      <c r="C91" s="1109">
        <f>IF(Dashboard!BO$2&gt;0,"",Worksheet!H26)</f>
        <v>8.6310000000000002</v>
      </c>
      <c r="D91" s="1110">
        <f>IF(Dashboard!BO$2&gt;0,"",IF(ISBLANK('Start Page'!AB22),"",IF(AND(ISBLANK(Worksheet!H77),Worksheet!Z77&lt;&gt;1),"",Worksheet!H26*(IF(Dashboard!BD29=FALSE,Worksheet!H77,IF(Dashboard!BD29=TRUE,Worksheet!H76*INDEX(Sheet1!B2:D4,MATCH('Start Page'!AB22,Sheet1!A2:A4,0),MATCH(Worksheet!J76,Sheet1!B1:D1,0)),""))))))</f>
        <v>4229.1900000000005</v>
      </c>
      <c r="E91" s="1111">
        <f t="shared" si="0"/>
        <v>4229.1900000000005</v>
      </c>
      <c r="F91" s="64"/>
    </row>
    <row r="92" spans="1:6">
      <c r="A92" s="279" t="s">
        <v>2</v>
      </c>
      <c r="B92" s="164" t="s">
        <v>239</v>
      </c>
      <c r="C92" s="160">
        <f>IF(Dashboard!BO$2&gt;0,"",Worksheet!H30)</f>
        <v>351.61</v>
      </c>
      <c r="D92" s="161">
        <f>IF(Dashboard!BO$2&gt;0,"",C92*(Worksheet!$H$76*1000))</f>
        <v>4992862</v>
      </c>
      <c r="E92" s="712">
        <f t="shared" si="0"/>
        <v>4992862</v>
      </c>
      <c r="F92" s="64"/>
    </row>
    <row r="93" spans="1:6">
      <c r="A93" s="64" t="s">
        <v>51</v>
      </c>
      <c r="B93" s="64"/>
      <c r="C93" s="160">
        <f>IF(Dashboard!BO$2&gt;0,"",Worksheet!H35)</f>
        <v>119.75428571428574</v>
      </c>
      <c r="D93" s="161"/>
      <c r="E93" s="712">
        <f t="shared" si="0"/>
        <v>0</v>
      </c>
      <c r="F93" s="64"/>
    </row>
    <row r="94" spans="1:6">
      <c r="A94" s="278" t="s">
        <v>678</v>
      </c>
      <c r="B94" s="67"/>
      <c r="C94" s="165">
        <f>IF(Dashboard!BO$2&gt;0,"",Worksheet!H43)</f>
        <v>0.85513249999999996</v>
      </c>
      <c r="D94" s="166">
        <f>IF(Dashboard!BO$2&gt;0,"",IF(ISBLANK('Start Page'!AB22),"",IF(AND(ISBLANK(Worksheet!H77),Worksheet!Z77&lt;&gt;1),"",C94*Worksheet!H76*INDEX(Sheet1!B2:D4,MATCH('Start Page'!AB22,Sheet1!A2:A4,0),MATCH(Worksheet!J76,Sheet1!B1:D1,0)))))</f>
        <v>12142.8815</v>
      </c>
      <c r="E94" s="713">
        <f t="shared" si="0"/>
        <v>12142.8815</v>
      </c>
      <c r="F94" s="167"/>
    </row>
    <row r="95" spans="1:6">
      <c r="A95" s="1094" t="s">
        <v>679</v>
      </c>
      <c r="B95" s="1093"/>
      <c r="C95" s="1095">
        <f>Worksheet!X50</f>
        <v>6.96912244897959</v>
      </c>
      <c r="D95" s="1096">
        <f>IF(Dashboard!BO$2&gt;0,"",IF(ISBLANK('Start Page'!AB22),"",IF(AND(ISBLANK(Worksheet!H77),Worksheet!Z77&lt;&gt;1),"",C95*Worksheet!H76*INDEX(Sheet1!B2:D4,MATCH('Start Page'!AB22,Sheet1!A2:A4,0),MATCH(Worksheet!J76,Sheet1!B1:D1,0)))))</f>
        <v>98961.538775510184</v>
      </c>
      <c r="E95" s="1097">
        <f t="shared" si="0"/>
        <v>98961.538775510184</v>
      </c>
      <c r="F95" s="167"/>
    </row>
    <row r="96" spans="1:6">
      <c r="A96" s="1094" t="s">
        <v>1270</v>
      </c>
      <c r="B96" s="1093"/>
      <c r="C96" s="1095">
        <f>Worksheet!Y50</f>
        <v>1.8897959183673541E-2</v>
      </c>
      <c r="D96" s="1096">
        <f>C96*input_VPC</f>
        <v>9.2600000000000353</v>
      </c>
      <c r="E96" s="1097">
        <f t="shared" si="0"/>
        <v>9.2600000000000353</v>
      </c>
      <c r="F96" s="1100" t="s">
        <v>1272</v>
      </c>
    </row>
    <row r="97" spans="1:7">
      <c r="A97" s="278" t="s">
        <v>680</v>
      </c>
      <c r="B97" s="67"/>
      <c r="C97" s="165">
        <f>IF(Dashboard!BO$2&gt;0,"",Worksheet!H39)</f>
        <v>0.85513249999999996</v>
      </c>
      <c r="D97" s="166">
        <f>IF(Dashboard!BO$2&gt;0,"",IF(ISBLANK('Start Page'!AB22),"",IF(AND(ISBLANK(Worksheet!H77),Worksheet!Z77&lt;&gt;1),"",C97*Worksheet!H76*INDEX(Sheet1!B2:D4,MATCH('Start Page'!AB22,Sheet1!A2:A4,0),MATCH(Worksheet!J76,Sheet1!B1:D1,0)))))</f>
        <v>12142.8815</v>
      </c>
      <c r="E97" s="713">
        <f t="shared" si="0"/>
        <v>12142.8815</v>
      </c>
      <c r="F97" s="167"/>
    </row>
    <row r="98" spans="1:7">
      <c r="A98" s="1104" t="s">
        <v>42</v>
      </c>
      <c r="B98" s="1104"/>
      <c r="C98" s="1105">
        <f>IF(Dashboard!BO$2&gt;0,"",Worksheet!H46)</f>
        <v>8.6982854081632652</v>
      </c>
      <c r="D98" s="1106">
        <f>IF(Dashboard!BO$2&gt;0,"",SUM(D94:D97))</f>
        <v>123256.56177551018</v>
      </c>
      <c r="E98" s="712">
        <f t="shared" si="0"/>
        <v>123256.56177551018</v>
      </c>
      <c r="F98" s="64"/>
    </row>
    <row r="99" spans="1:7">
      <c r="A99" s="118" t="str">
        <f>"Real Losses valued at "&amp;A76&amp;""</f>
        <v xml:space="preserve">Real Losses valued at </v>
      </c>
      <c r="B99" s="67"/>
      <c r="C99" s="165">
        <f>IF(Dashboard!BO$2&gt;0,"",Worksheet!H51)</f>
        <v>111.05600030612248</v>
      </c>
      <c r="D99" s="1098">
        <f>IF(Dashboard!BO$2&gt;0,"",Dashboard!N50)</f>
        <v>54417.440150000017</v>
      </c>
      <c r="E99" s="713">
        <f t="shared" si="0"/>
        <v>54417.440150000017</v>
      </c>
      <c r="F99" s="712"/>
    </row>
    <row r="100" spans="1:7">
      <c r="A100" s="64" t="s">
        <v>72</v>
      </c>
      <c r="B100" s="64"/>
      <c r="C100" s="160">
        <f>IF(Dashboard!BO$2&gt;0,"",Worksheet!H57)</f>
        <v>129.31128571428576</v>
      </c>
      <c r="D100" s="162">
        <f>IF(Dashboard!BO$2&gt;0,"",D98+D99+D90+D91)</f>
        <v>182356.9319255102</v>
      </c>
      <c r="E100" s="712">
        <f t="shared" si="0"/>
        <v>182356.9319255102</v>
      </c>
      <c r="F100" s="64"/>
      <c r="G100" s="168"/>
    </row>
    <row r="101" spans="1:7">
      <c r="A101" s="1101"/>
    </row>
    <row r="102" spans="1:7">
      <c r="A102" s="1101" t="s">
        <v>1271</v>
      </c>
      <c r="C102" s="1102">
        <f>C95+C96</f>
        <v>6.9880204081632638</v>
      </c>
      <c r="D102" s="168">
        <f>D95+D96</f>
        <v>98970.798775510179</v>
      </c>
      <c r="E102" s="168">
        <f>E95+E96</f>
        <v>98970.798775510179</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BF17" sqref="BF17"/>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BF17" sqref="BF17"/>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Whitehaven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341.48700000000002</v>
      </c>
      <c r="H12" s="438"/>
      <c r="I12" s="7"/>
      <c r="K12" s="1049"/>
    </row>
    <row r="13" spans="2:16" ht="22.5" customHeight="1">
      <c r="B13" s="1293"/>
      <c r="C13" s="439"/>
      <c r="D13" s="436"/>
      <c r="E13" s="1302"/>
      <c r="F13" s="441">
        <f>Worksheet!H23+Worksheet!H24</f>
        <v>342.053</v>
      </c>
      <c r="G13" s="442" t="s">
        <v>1090</v>
      </c>
      <c r="H13" s="443">
        <f>SUM(G12+G14)</f>
        <v>342.053</v>
      </c>
      <c r="I13" s="7"/>
      <c r="K13" s="163"/>
      <c r="L13" s="159"/>
      <c r="M13" s="159"/>
      <c r="N13" s="159"/>
      <c r="O13" s="159"/>
      <c r="P13" s="159"/>
    </row>
    <row r="14" spans="2:16" ht="15.75" customHeight="1">
      <c r="B14" s="1305" t="s">
        <v>762</v>
      </c>
      <c r="C14" s="444"/>
      <c r="D14" s="436"/>
      <c r="E14" s="445"/>
      <c r="F14" s="446"/>
      <c r="G14" s="447">
        <f>Worksheet!H24</f>
        <v>0.56599999999999995</v>
      </c>
      <c r="H14" s="448"/>
      <c r="I14" s="7"/>
      <c r="K14" s="163"/>
    </row>
    <row r="15" spans="2:16" ht="15.75" customHeight="1">
      <c r="B15" s="1306"/>
      <c r="C15" s="444"/>
      <c r="D15" s="436"/>
      <c r="E15" s="449">
        <f>Worksheet!H30</f>
        <v>351.61</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0.92600000000000005</v>
      </c>
      <c r="H16" s="1301"/>
      <c r="I16" s="7"/>
      <c r="K16" s="163"/>
    </row>
    <row r="17" spans="2:16" ht="22.5" customHeight="1">
      <c r="B17" s="453">
        <f>Worksheet!AG15</f>
        <v>452.19489795918372</v>
      </c>
      <c r="C17" s="454"/>
      <c r="D17" s="455"/>
      <c r="E17" s="311"/>
      <c r="F17" s="456">
        <f>Worksheet!H25+Worksheet!H26</f>
        <v>9.5570000000000004</v>
      </c>
      <c r="G17" s="440" t="s">
        <v>1092</v>
      </c>
      <c r="H17" s="438"/>
      <c r="I17" s="7"/>
      <c r="K17" s="163"/>
      <c r="L17" s="159"/>
      <c r="M17" s="159"/>
      <c r="N17" s="159"/>
      <c r="O17" s="159"/>
      <c r="P17" s="159"/>
    </row>
    <row r="18" spans="2:16" ht="15.75" customHeight="1">
      <c r="B18" s="451"/>
      <c r="C18" s="1315" t="s">
        <v>763</v>
      </c>
      <c r="D18" s="436"/>
      <c r="E18" s="457"/>
      <c r="F18" s="446"/>
      <c r="G18" s="458">
        <f>Worksheet!H26</f>
        <v>8.6310000000000002</v>
      </c>
      <c r="H18" s="438"/>
      <c r="I18" s="7"/>
      <c r="K18" s="163"/>
    </row>
    <row r="19" spans="2:16" ht="22.5" customHeight="1">
      <c r="B19" s="451"/>
      <c r="C19" s="1315"/>
      <c r="D19" s="459" t="s">
        <v>116</v>
      </c>
      <c r="E19" s="432"/>
      <c r="F19" s="460"/>
      <c r="G19" s="707" t="s">
        <v>695</v>
      </c>
      <c r="H19" s="461">
        <f>Worksheet!H25+Worksheet!H26+Worksheet!H46+Worksheet!H51</f>
        <v>129.31128571428576</v>
      </c>
      <c r="I19" s="7"/>
      <c r="K19" s="163"/>
      <c r="L19" s="159"/>
      <c r="M19" s="159"/>
      <c r="N19" s="159"/>
      <c r="O19" s="159"/>
      <c r="P19" s="159"/>
    </row>
    <row r="20" spans="2:16" ht="15.75" customHeight="1">
      <c r="B20" s="451"/>
      <c r="C20" s="462">
        <f>B17+B27</f>
        <v>471.36428571428576</v>
      </c>
      <c r="D20" s="436"/>
      <c r="E20" s="311"/>
      <c r="F20" s="463" t="s">
        <v>52</v>
      </c>
      <c r="G20" s="452">
        <f>Worksheet!H39</f>
        <v>0.85513249999999996</v>
      </c>
      <c r="H20" s="438"/>
      <c r="I20" s="7"/>
      <c r="K20" s="163"/>
    </row>
    <row r="21" spans="2:16" ht="14.25" customHeight="1">
      <c r="B21" s="464"/>
      <c r="C21" s="465"/>
      <c r="D21" s="462">
        <f>Worksheet!H19</f>
        <v>471.36428571428576</v>
      </c>
      <c r="E21" s="466"/>
      <c r="F21" s="456">
        <f>Worksheet!H46</f>
        <v>8.6982854081632652</v>
      </c>
      <c r="G21" s="440" t="s">
        <v>694</v>
      </c>
      <c r="H21" s="438"/>
      <c r="I21" s="7"/>
      <c r="K21" s="163"/>
      <c r="L21" s="159"/>
      <c r="M21" s="159"/>
      <c r="N21" s="159"/>
      <c r="O21" s="159"/>
      <c r="P21" s="159"/>
    </row>
    <row r="22" spans="2:16" ht="15.75" customHeight="1">
      <c r="B22" s="451"/>
      <c r="C22" s="435"/>
      <c r="D22" s="436"/>
      <c r="E22" s="311"/>
      <c r="F22" s="466"/>
      <c r="G22" s="467">
        <f>Worksheet!H41</f>
        <v>6.9880204081632655</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0.85513249999999996</v>
      </c>
      <c r="H24" s="438"/>
      <c r="I24" s="7"/>
      <c r="K24" s="163"/>
    </row>
    <row r="25" spans="2:16" ht="26.25" customHeight="1">
      <c r="B25" s="1292" t="s">
        <v>1087</v>
      </c>
      <c r="C25" s="439"/>
      <c r="D25" s="436"/>
      <c r="E25" s="469">
        <f>Worksheet!H53</f>
        <v>119.75428571428574</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19.169387755102044</v>
      </c>
      <c r="C27" s="454"/>
      <c r="D27" s="436"/>
      <c r="E27" s="311"/>
      <c r="F27" s="456">
        <f>Worksheet!H51</f>
        <v>111.05600030612248</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BF17" sqref="BF17"/>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Whitehaven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2023</v>
      </c>
      <c r="H5" s="1335" t="str">
        <f>IF(ISBLANK('Start Page'!AB20),"",TEXT('Start Page'!AB20,"mmm dd yyyy")&amp;" - "&amp;TEXT('Start Page'!AB21,"mmm dd yyyy"))</f>
        <v>Jan 01 2023 - Dec 31 2023</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32.918258906963246</v>
      </c>
      <c r="AF98" s="47">
        <f t="shared" ref="AF98:AF103" si="0">AE98</f>
        <v>32.918258906963246</v>
      </c>
      <c r="AG98" s="47">
        <f>IF(AE98&lt;&gt;0,AF98/10,0)</f>
        <v>3.2918258906963245</v>
      </c>
      <c r="AH98" s="44">
        <f>IFERROR(AD98*AG98,0)</f>
        <v>19.750955344177946</v>
      </c>
      <c r="AI98" s="45">
        <f t="shared" ref="AI98:AI117" si="1">IF(AG98=0,0,AF98-AH98)</f>
        <v>13.1673035627853</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0.65836517813926498</v>
      </c>
      <c r="AF99" s="47">
        <f t="shared" si="0"/>
        <v>0.65836517813926498</v>
      </c>
      <c r="AG99" s="47">
        <f t="shared" ref="AG99:AG117" si="3">IF(AE99&lt;&gt;0,AF99/10,0)</f>
        <v>6.5836517813926493E-2</v>
      </c>
      <c r="AH99" s="44">
        <f t="shared" ref="AH99:AH106" si="4">IFERROR(AD99*AG99,0)</f>
        <v>0.26334607125570597</v>
      </c>
      <c r="AI99" s="45">
        <f t="shared" si="1"/>
        <v>0.39501910688355901</v>
      </c>
      <c r="AJ99">
        <f t="array" aca="1" ref="AJ99" ca="1">SUM(1*(AI99&lt;$AI$98:$AI$117))+1+IF(ROW(AI99)-ROW($AI$98)=0,0,SUM(1*(AI99=OFFSET($AI$98,0,0,INDEX(ROW(AI99)-ROW($AI$98)+1,1)-1,1))))</f>
        <v>14</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1.3954665832328295</v>
      </c>
      <c r="AF100" s="47">
        <f t="shared" si="0"/>
        <v>1.3954665832328295</v>
      </c>
      <c r="AG100" s="47">
        <f t="shared" si="3"/>
        <v>0.13954665832328295</v>
      </c>
      <c r="AH100" s="44">
        <f t="shared" si="4"/>
        <v>0.83727994993969768</v>
      </c>
      <c r="AI100" s="45">
        <f t="shared" si="1"/>
        <v>0.55818663329313178</v>
      </c>
      <c r="AJ100">
        <f t="array" aca="1" ref="AJ100" ca="1">SUM(1*(AI100&lt;$AI$98:$AI$117))+1+IF(ROW(AI100)-ROW($AI$98)=0,0,SUM(1*(AI100=OFFSET($AI$98,0,0,INDEX(ROW(AI100)-ROW($AI$98)+1,1)-1,1))))</f>
        <v>12</v>
      </c>
      <c r="AK100" s="104" t="str">
        <f t="shared" si="5"/>
        <v>Water Imported (WI)</v>
      </c>
      <c r="AL100">
        <f t="shared" si="6"/>
        <v>1</v>
      </c>
      <c r="AM100">
        <f t="shared" si="7"/>
        <v>1</v>
      </c>
      <c r="AN100">
        <f t="shared" si="2"/>
        <v>0</v>
      </c>
    </row>
    <row r="101" spans="28:40">
      <c r="AC101" s="274" t="s">
        <v>702</v>
      </c>
      <c r="AD101" s="46">
        <f>IF(Worksheet!M16="n/a",0,Worksheet!M16)</f>
        <v>4</v>
      </c>
      <c r="AE101" s="80">
        <f>Worksheet!Z16</f>
        <v>2.7909331664656589E-2</v>
      </c>
      <c r="AF101" s="47">
        <f t="shared" si="0"/>
        <v>2.7909331664656589E-2</v>
      </c>
      <c r="AG101" s="47">
        <f t="shared" si="3"/>
        <v>2.7909331664656587E-3</v>
      </c>
      <c r="AH101" s="44">
        <f t="shared" si="4"/>
        <v>1.1163732665862635E-2</v>
      </c>
      <c r="AI101" s="45">
        <f t="shared" si="1"/>
        <v>1.6745598998793954E-2</v>
      </c>
      <c r="AJ101">
        <f t="array" aca="1" ref="AJ101" ca="1">SUM(1*(AI101&lt;$AI$98:$AI$117))+1+IF(ROW(AI101)-ROW($AI$98)=0,0,SUM(1*(AI101=OFFSET($AI$98,0,0,INDEX(ROW(AI101)-ROW($AI$98)+1,1)-1,1))))</f>
        <v>16</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1</v>
      </c>
      <c r="AN102">
        <f t="shared" si="2"/>
        <v>0</v>
      </c>
    </row>
    <row r="103" spans="28:40">
      <c r="AC103" s="274" t="s">
        <v>704</v>
      </c>
      <c r="AD103" s="81">
        <f>IF(Worksheet!M17="n/a",0,Worksheet!M17)</f>
        <v>4</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1</v>
      </c>
      <c r="AN103" s="84">
        <f t="shared" si="2"/>
        <v>0</v>
      </c>
    </row>
    <row r="104" spans="28:40">
      <c r="AC104" s="271" t="s">
        <v>690</v>
      </c>
      <c r="AD104" s="90">
        <f>IF(Worksheet!F23="n/a",0,Worksheet!F23)</f>
        <v>8</v>
      </c>
      <c r="AE104" s="275">
        <f>IF(Worksheet!H23&gt;0,Worksheet!Y23,0)</f>
        <v>13.962139287935914</v>
      </c>
      <c r="AF104" s="92">
        <f t="shared" ref="AF104:AF117" si="8">AE104/$AE$120</f>
        <v>13.962139287935914</v>
      </c>
      <c r="AG104" s="92">
        <f t="shared" si="3"/>
        <v>1.3962139287935913</v>
      </c>
      <c r="AH104" s="92">
        <f t="shared" ref="AH104:AH117" si="9">AD104*AG104</f>
        <v>11.16971143034873</v>
      </c>
      <c r="AI104" s="93">
        <f t="shared" si="1"/>
        <v>2.7924278575871835</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10</v>
      </c>
      <c r="AE105" s="276">
        <f>IF(Worksheet!H24=0,0,12)</f>
        <v>12</v>
      </c>
      <c r="AF105" s="97">
        <f t="shared" si="8"/>
        <v>12</v>
      </c>
      <c r="AG105" s="97">
        <f t="shared" si="3"/>
        <v>1.2</v>
      </c>
      <c r="AH105" s="44">
        <f t="shared" si="4"/>
        <v>12</v>
      </c>
      <c r="AI105" s="98">
        <f t="shared" si="1"/>
        <v>0</v>
      </c>
      <c r="AJ105" s="99">
        <f t="array" aca="1" ref="AJ105" ca="1">SUM(1*(AI105&lt;$AI$98:$AI$117))+1+IF(ROW(AI105)-ROW($AI$98)=0,0,SUM(1*(AI105=OFFSET($AI$98,0,0,INDEX(ROW(AI105)-ROW($AI$98)+1,1)-1,1))))</f>
        <v>19</v>
      </c>
      <c r="AK105" s="107" t="str">
        <f t="shared" si="5"/>
        <v>Billed Unmetered (BUAC)</v>
      </c>
      <c r="AL105" s="99">
        <f t="shared" si="10"/>
        <v>1</v>
      </c>
      <c r="AM105" s="99">
        <f t="shared" si="7"/>
        <v>1</v>
      </c>
      <c r="AN105" s="99">
        <f t="shared" si="2"/>
        <v>0</v>
      </c>
    </row>
    <row r="106" spans="28:40">
      <c r="AC106" s="272" t="s">
        <v>692</v>
      </c>
      <c r="AD106" s="96">
        <f>IF(Worksheet!F25="n/a",0,Worksheet!F25)</f>
        <v>4</v>
      </c>
      <c r="AE106" s="276">
        <f>IF(Worksheet!H25&gt;0,Worksheet!Y24,0)</f>
        <v>3.7860712064086352E-2</v>
      </c>
      <c r="AF106" s="97">
        <f t="shared" si="8"/>
        <v>3.7860712064086352E-2</v>
      </c>
      <c r="AG106" s="97">
        <f t="shared" si="3"/>
        <v>3.7860712064086352E-3</v>
      </c>
      <c r="AH106" s="44">
        <f t="shared" si="4"/>
        <v>1.5144284825634541E-2</v>
      </c>
      <c r="AI106" s="98">
        <f t="shared" si="1"/>
        <v>2.2716427238451811E-2</v>
      </c>
      <c r="AJ106" s="99">
        <f t="array" aca="1" ref="AJ106" ca="1">SUM(1*(AI106&lt;$AI$98:$AI$117))+1+IF(ROW(AI106)-ROW($AI$98)=0,0,SUM(1*(AI106=OFFSET($AI$98,0,0,INDEX(ROW(AI106)-ROW($AI$98)+1,1)-1,1))))</f>
        <v>15</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6</v>
      </c>
      <c r="AE107" s="86">
        <v>2</v>
      </c>
      <c r="AF107" s="87">
        <f t="shared" si="8"/>
        <v>2</v>
      </c>
      <c r="AG107" s="87">
        <f t="shared" si="3"/>
        <v>0.2</v>
      </c>
      <c r="AH107" s="87">
        <f t="shared" si="9"/>
        <v>1.2000000000000002</v>
      </c>
      <c r="AI107" s="88">
        <f t="shared" si="1"/>
        <v>0.79999999999999982</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3.5</v>
      </c>
      <c r="AG108" s="87">
        <f t="shared" si="3"/>
        <v>0.35</v>
      </c>
      <c r="AH108" s="87">
        <f t="shared" si="9"/>
        <v>1.0499999999999998</v>
      </c>
      <c r="AI108" s="88">
        <f t="shared" si="1"/>
        <v>2.4500000000000002</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6</v>
      </c>
      <c r="AG109" s="92">
        <f t="shared" si="3"/>
        <v>0.6</v>
      </c>
      <c r="AH109" s="92">
        <f t="shared" si="9"/>
        <v>3.5999999999999996</v>
      </c>
      <c r="AI109" s="93">
        <f t="shared" si="1"/>
        <v>2.4000000000000004</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3.5</v>
      </c>
      <c r="AG110" s="87">
        <f t="shared" si="3"/>
        <v>0.35</v>
      </c>
      <c r="AH110" s="87">
        <f t="shared" si="9"/>
        <v>1.0499999999999998</v>
      </c>
      <c r="AI110" s="88">
        <f t="shared" si="1"/>
        <v>2.4500000000000002</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5</v>
      </c>
      <c r="AG111" s="87">
        <f t="shared" si="3"/>
        <v>0.5</v>
      </c>
      <c r="AH111" s="87">
        <f t="shared" si="9"/>
        <v>3.5</v>
      </c>
      <c r="AI111" s="88">
        <f t="shared" si="1"/>
        <v>1.5</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5</v>
      </c>
      <c r="AG112" s="87">
        <f t="shared" si="3"/>
        <v>0.5</v>
      </c>
      <c r="AH112" s="87">
        <f t="shared" si="9"/>
        <v>2.5</v>
      </c>
      <c r="AI112" s="88">
        <f t="shared" si="1"/>
        <v>2.5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v>
      </c>
      <c r="AG113" s="87">
        <f t="shared" si="3"/>
        <v>0.2</v>
      </c>
      <c r="AH113" s="87">
        <f t="shared" si="9"/>
        <v>0.2</v>
      </c>
      <c r="AI113" s="88">
        <f t="shared" si="1"/>
        <v>1.8</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v>
      </c>
      <c r="AG114" s="87">
        <f t="shared" si="3"/>
        <v>0.2</v>
      </c>
      <c r="AH114" s="87">
        <f t="shared" si="9"/>
        <v>1.4000000000000001</v>
      </c>
      <c r="AI114" s="88">
        <f t="shared" si="1"/>
        <v>0.59999999999999987</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5</v>
      </c>
      <c r="AG116" s="87">
        <f t="shared" si="3"/>
        <v>0.5</v>
      </c>
      <c r="AH116" s="87">
        <f t="shared" si="9"/>
        <v>2.5</v>
      </c>
      <c r="AI116" s="88">
        <f t="shared" si="1"/>
        <v>2.5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5</v>
      </c>
      <c r="AG117" s="87">
        <f t="shared" si="3"/>
        <v>0.5</v>
      </c>
      <c r="AH117" s="87">
        <f t="shared" si="9"/>
        <v>4.5</v>
      </c>
      <c r="AI117" s="88">
        <f t="shared" si="1"/>
        <v>0.5</v>
      </c>
      <c r="AJ117" s="89">
        <f t="array" aca="1" ref="AJ117" ca="1">SUM(1*(AI117&lt;$AI$98:$AI$117))+1+IF(ROW(AI117)-ROW($AI$98)=0,0,SUM(1*(AI117=OFFSET($AI$98,0,0,INDEX(ROW(AI117)-ROW($AI$98)+1,1)-1,1))))</f>
        <v>13</v>
      </c>
      <c r="AK117" s="108" t="str">
        <f t="shared" si="5"/>
        <v>Variable Production Cost (VPC)</v>
      </c>
      <c r="AL117" s="89">
        <f t="shared" si="10"/>
        <v>1</v>
      </c>
      <c r="AM117" s="89">
        <f t="shared" si="7"/>
        <v>1</v>
      </c>
      <c r="AN117" s="89">
        <f t="shared" si="2"/>
        <v>0</v>
      </c>
    </row>
    <row r="118" spans="29:40">
      <c r="AE118" s="100">
        <f>SUM(AE98:AE117)</f>
        <v>100</v>
      </c>
      <c r="AF118" s="43">
        <f>SUM(AF98:AF117)</f>
        <v>100</v>
      </c>
      <c r="AG118" s="43">
        <f>SUM(AG98:AG117)</f>
        <v>9.9999999999999964</v>
      </c>
      <c r="AH118" s="116">
        <f>SUM(AH98:AH117)</f>
        <v>65.547600813213592</v>
      </c>
      <c r="AN118" s="49">
        <f>SUM(AN98:AN117)</f>
        <v>0</v>
      </c>
    </row>
    <row r="119" spans="29:40">
      <c r="AE119" s="43">
        <f>SUM(AE104:AE117)</f>
        <v>65</v>
      </c>
      <c r="AK119" s="109"/>
      <c r="AN119" s="48"/>
    </row>
    <row r="120" spans="29:40">
      <c r="AE120" s="42">
        <f>AE119/(100-AE121)</f>
        <v>1</v>
      </c>
    </row>
    <row r="121" spans="29:40">
      <c r="AD121" s="101" t="s">
        <v>135</v>
      </c>
      <c r="AE121" s="102">
        <v>35</v>
      </c>
      <c r="AM121">
        <f>IF(SUM(Worksheet!W26,Worksheet!W43)=2,2,IF(SUM(Worksheet!W26,Worksheet!W43)=3,1,0))</f>
        <v>1</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21" zoomScaleNormal="115" zoomScaleSheetLayoutView="100" workbookViewId="0">
      <selection activeCell="BF17" sqref="BF17"/>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BF17" sqref="BF17"/>
      <selection pane="bottomLeft" activeCell="BF17" sqref="BF17"/>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3" activePane="bottomLeft" state="frozen"/>
      <selection activeCell="BF17" sqref="BF17"/>
      <selection pane="bottomLeft" activeCell="BF17" sqref="BF17"/>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documentManagement/types"/>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http://purl.org/dc/dcmitype/"/>
    <ds:schemaRef ds:uri="http://schemas.microsoft.com/office/infopath/2007/PartnerControls"/>
    <ds:schemaRef ds:uri="df5a1bbb-24dc-472d-b5b2-ad007ec20f6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2024-04-29T19:34:20Z</cp:lastPrinted>
  <dcterms:created xsi:type="dcterms:W3CDTF">2004-11-04T17:59:53Z</dcterms:created>
  <dcterms:modified xsi:type="dcterms:W3CDTF">2024-04-29T19:35:16Z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