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A6EE701F-2531-4BDA-AF79-A2FF39E50AF7}"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<sst xmlns="http://schemas.openxmlformats.org/spreadsheetml/2006/main" count="2565" uniqueCount="1281">
  <si>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</si>
  <si>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</si>
  <si>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</si>
  <si>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</si>
  <si>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</si>
  <si>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</si>
  <si>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</si>
  <si>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</si>
  <si>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</si>
  <si>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</si>
  <si>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</si>
  <si>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</si>
  <si>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</si>
  <si>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</si>
  <si>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</si>
  <si>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</si>
  <si>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</si>
  <si>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</si>
  <si>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</si>
  <si>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</si>
  <si>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</si>
  <si>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</si>
  <si>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</si>
  <si>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</si>
  <si>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</si>
  <si>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</si>
  <si>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</si>
  <si>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</si>
  <si>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</si>
  <si>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</si>
  <si>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</si>
  <si>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</si>
  <si>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</si>
  <si>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</si>
  <si>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</si>
  <si>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</si>
  <si>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</si>
  <si>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</si>
  <si>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</si>
  <si>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</si>
  <si>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</si>
  <si>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</si>
  <si>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</si>
  <si>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</si>
  <si>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</si>
  <si>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</si>
  <si>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</si>
  <si>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</si>
  <si>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</si>
  <si>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</si>
  <si>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</si>
  <si>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</si>
  <si>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</si>
  <si>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</si>
  <si>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</si>
  <si>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</si>
  <si>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</si>
  <si>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</si>
  <si>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</si>
  <si>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</si>
  <si>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</si>
  <si>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</si>
  <si>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</si>
  <si>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</si>
  <si>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</si>
  <si>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</si>
  <si>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</si>
  <si>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</si>
  <si>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</si>
  <si>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</si>
  <si>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</si>
  <si>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</si>
  <si>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</si>
  <si>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</si>
  <si>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</si>
  <si>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</si>
  <si>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</si>
  <si>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</si>
  <si>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</si>
  <si>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</si>
  <si>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</si>
  <si>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</si>
  <si>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</si>
  <si>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</si>
  <si>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</si>
  <si>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</si>
  <si>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</si>
  <si>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</si>
  <si>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</si>
  <si>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</si>
  <si>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</si>
  <si>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</si>
  <si>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</si>
  <si>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</si>
  <si>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</si>
  <si>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</si>
  <si>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</si>
  <si>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</si>
  <si>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</si>
  <si>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</si>
  <si>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</si>
  <si>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</si>
  <si>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</si>
  <si>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</si>
  <si>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</si>
  <si>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</si>
  <si>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</si>
  <si>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</si>
  <si>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</si>
  <si>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</si>
  <si>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</si>
  <si>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</si>
  <si>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</si>
  <si>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</si>
  <si>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</si>
  <si>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</si>
  <si>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</si>
  <si>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</si>
  <si>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</si>
  <si>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</si>
  <si>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</si>
  <si>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</si>
  <si>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</si>
  <si>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</si>
  <si>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</si>
  <si>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</si>
  <si>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</si>
  <si>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</si>
  <si>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</si>
  <si>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</si>
  <si>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</si>
  <si>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</si>
  <si>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</si>
  <si>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</si>
  <si>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</si>
  <si>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</si>
  <si>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</si>
  <si>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</si>
  <si>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</si>
  <si>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</si>
  <si>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</si>
  <si>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</si>
  <si>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</si>
  <si>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</si>
  <si>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</si>
  <si>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</si>
  <si>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</si>
  <si>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</si>
  <si>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</si>
  <si>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</si>
  <si>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</si>
  <si>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</si>
  <si>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</si>
  <si>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</si>
  <si>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</si>
  <si>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</si>
  <si>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</si>
  <si>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</si>
  <si>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</si>
  <si>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</si>
  <si>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</si>
  <si>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</si>
  <si>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</si>
  <si>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</si>
  <si>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</si>
  <si>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</si>
  <si>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</si>
  <si>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</si>
  <si>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</si>
  <si>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</si>
  <si>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</si>
  <si>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</si>
  <si>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</si>
  <si>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</si>
  <si>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</si>
  <si>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</si>
  <si>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</si>
  <si>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</si>
  <si>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</si>
  <si>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</si>
  <si>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</si>
  <si>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</si>
  <si>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</si>
  <si>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</si>
  <si>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</si>
  <si>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</si>
  <si>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</si>
  <si>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</si>
  <si>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</si>
  <si>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</si>
  <si>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</si>
  <si>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</si>
  <si>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</si>
  <si>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</si>
  <si>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</si>
  <si>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</si>
  <si>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</si>
  <si>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</si>
  <si>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</si>
  <si>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</si>
  <si>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</si>
  <si>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</si>
  <si>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</si>
  <si>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</si>
  <si>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</si>
  <si>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</si>
  <si>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</si>
  <si>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</si>
  <si>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</si>
  <si>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</si>
  <si>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</si>
  <si>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</si>
  <si>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</si>
  <si>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</si>
  <si>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</si>
  <si>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</si>
  <si>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</si>
  <si>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</si>
  <si>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</si>
  <si>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</si>
  <si>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</si>
  <si>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</si>
  <si>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</si>
  <si>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</si>
  <si>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</si>
  <si>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</si>
  <si>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</si>
  <si>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</si>
  <si>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</si>
  <si>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</si>
  <si>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</si>
  <si>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</si>
  <si>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</si>
  <si>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</si>
  <si>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</si>
  <si>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</si>
  <si>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</si>
  <si>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</si>
  <si>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</si>
  <si>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</si>
  <si>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</si>
  <si>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</si>
  <si>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</si>
  <si>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</si>
  <si>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</si>
  <si>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</si>
  <si>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</si>
  <si>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</si>
  <si>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</si>
  <si>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</si>
  <si>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</si>
  <si>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</si>
  <si>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</si>
  <si>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</si>
  <si>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</si>
  <si>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</si>
  <si>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</si>
  <si>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</si>
  <si>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</si>
  <si>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</si>
  <si>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</si>
  <si>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</si>
  <si>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</si>
  <si>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</si>
  <si>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</si>
  <si>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</si>
  <si>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</si>
  <si>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</si>
  <si>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</si>
  <si>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</si>
  <si>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</si>
  <si>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</si>
  <si>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</si>
  <si>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</si>
  <si>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</si>
  <si>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</si>
  <si>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</si>
  <si>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</si>
  <si>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</si>
  <si>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</si>
  <si>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</si>
  <si>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</si>
  <si>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</si>
  <si>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</si>
  <si>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</si>
  <si>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</si>
  <si>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</si>
  <si>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</si>
  <si>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</si>
  <si>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</si>
  <si>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</si>
  <si>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</si>
  <si>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</si>
  <si>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</si>
  <si>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</si>
  <si>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</si>
  <si>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</si>
  <si>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</si>
  <si>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</si>
  <si>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</si>
  <si>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</si>
  <si>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</si>
  <si>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</si>
  <si>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</si>
  <si>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</si>
  <si>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</si>
  <si>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</si>
  <si>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</si>
  <si>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</si>
  <si>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</si>
  <si>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</si>
  <si>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</si>
  <si>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</si>
  <si>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</si>
  <si>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</si>
  <si>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</si>
  <si>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</si>
  <si>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</si>
  <si>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</si>
  <si>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</si>
  <si>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</si>
  <si>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</si>
  <si>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</si>
  <si>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</si>
  <si>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</si>
  <si>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</si>
  <si>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</si>
  <si>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</si>
  <si>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</si>
  <si>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</si>
  <si>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</si>
  <si>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</si>
  <si>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</si>
  <si>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</si>
  <si>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</si>
  <si>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</si>
  <si>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</si>
  <si>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</si>
  <si>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</si>
  <si>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</si>
  <si>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</si>
  <si>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</si>
  <si>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</si>
  <si>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</si>
  <si>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</si>
  <si>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</si>
  <si>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</si>
  <si>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</si>
  <si>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</si>
  <si>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</si>
  <si>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</si>
  <si>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</si>
  <si>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</si>
  <si>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</si>
  <si>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</si>
  <si>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</si>
  <si>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</si>
  <si>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</si>
  <si>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</si>
  <si>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</si>
  <si>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</si>
  <si>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</si>
  <si>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</si>
  <si>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</si>
  <si>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</si>
  <si>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</si>
  <si>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</si>
  <si>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</si>
  <si>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</si>
  <si>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</si>
  <si>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</si>
  <si>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</si>
  <si>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</si>
  <si>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</si>
  <si>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</si>
  <si>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</si>
  <si>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</si>
  <si>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</si>
  <si>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</si>
  <si>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</si>
  <si>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</si>
  <si>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</si>
  <si>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</si>
  <si>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</si>
  <si>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</si>
  <si>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</si>
  <si>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</si>
  <si>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</si>
  <si>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</si>
  <si>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</si>
  <si>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</si>
  <si>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</si>
  <si>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</si>
  <si>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</si>
  <si>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</si>
  <si>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</si>
  <si>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</si>
  <si>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</si>
  <si>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</si>
  <si>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</si>
  <si>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</si>
  <si>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</si>
  <si>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</si>
  <si>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</si>
  <si>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</si>
  <si>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</si>
  <si>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</si>
  <si>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</si>
  <si>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</si>
  <si>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</si>
  <si>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</si>
  <si>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</si>
  <si>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</si>
  <si>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</si>
  <si>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</si>
  <si>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</si>
  <si>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</si>
  <si>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</si>
  <si>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</si>
  <si>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</si>
  <si>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</si>
  <si>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</si>
  <si>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</si>
  <si>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</si>
  <si>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</si>
  <si>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</si>
  <si>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</si>
  <si>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</si>
  <si>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</si>
  <si>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</si>
  <si>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</si>
  <si>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</si>
  <si>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</si>
  <si>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</si>
  <si>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</si>
  <si>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</si>
  <si>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</si>
  <si>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</si>
  <si>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</si>
  <si>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</si>
  <si>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</si>
  <si>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</si>
  <si>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</si>
  <si>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</si>
  <si>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</si>
  <si>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</si>
  <si>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</si>
  <si>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</si>
  <si>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</si>
  <si>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</si>
  <si>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</si>
  <si>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</si>
  <si>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</si>
  <si>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</si>
  <si>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</si>
  <si>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</si>
  <si>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</si>
  <si>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</si>
  <si>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</si>
  <si>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</si>
  <si>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</si>
  <si>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</si>
  <si>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</si>
  <si>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</si>
  <si>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</si>
  <si>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</si>
  <si>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</si>
  <si>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</si>
  <si>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</si>
  <si>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</si>
  <si>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</si>
  <si>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</si>
  <si>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</si>
  <si>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</si>
  <si>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</si>
  <si>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</si>
  <si>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</si>
  <si>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</si>
  <si>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</si>
  <si>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</si>
  <si>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</si>
  <si>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</si>
  <si>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</si>
  <si>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</si>
  <si>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</si>
  <si>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</si>
  <si>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</si>
  <si>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</si>
  <si>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</si>
  <si>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</si>
  <si>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</si>
  <si>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</si>
  <si>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</si>
  <si>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</si>
  <si>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</si>
  <si>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</si>
  <si>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</si>
  <si>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</si>
  <si>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</si>
  <si>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</si>
  <si>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</si>
  <si>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</si>
  <si>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</si>
  <si>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</si>
  <si>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</si>
  <si>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</si>
  <si>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</si>
  <si>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</si>
  <si>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</si>
  <si>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</si>
  <si>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</si>
  <si>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</si>
  <si>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</si>
  <si>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</si>
  <si>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</si>
  <si>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</si>
  <si>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</si>
  <si>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</si>
  <si>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</si>
  <si>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</si>
  <si>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</si>
  <si>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</si>
  <si>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</si>
  <si>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</si>
  <si>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</si>
  <si>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</si>
  <si>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</si>
  <si>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</si>
  <si>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</si>
  <si>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</si>
  <si>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</si>
  <si>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</si>
  <si>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</si>
  <si>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</si>
  <si>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</si>
  <si>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</si>
  <si>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</si>
  <si>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</si>
  <si>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</si>
  <si>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</si>
  <si>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</si>
  <si>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</si>
  <si>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</si>
  <si>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</si>
  <si>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</si>
  <si>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</si>
  <si>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</si>
  <si>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</si>
  <si>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</si>
  <si>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</si>
  <si>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</si>
  <si>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</si>
  <si>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</si>
  <si>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</si>
  <si>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</si>
  <si>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</si>
  <si>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</si>
  <si>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</si>
  <si>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</si>
  <si>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</si>
  <si>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</si>
  <si>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</si>
  <si>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</si>
  <si>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</si>
  <si>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</si>
  <si>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</si>
  <si>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</si>
  <si>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</si>
  <si>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</si>
  <si>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</si>
  <si>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</si>
  <si>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</si>
  <si>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</si>
  <si>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</si>
  <si>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</si>
  <si>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</si>
  <si>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</si>
  <si>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</si>
  <si>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</si>
  <si>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</si>
  <si>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</si>
  <si>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</si>
  <si>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</si>
  <si>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</si>
  <si>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</si>
  <si>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</si>
  <si>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</si>
  <si>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</si>
  <si>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</si>
  <si>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</si>
  <si>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</si>
  <si>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</si>
  <si>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</si>
  <si>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</si>
  <si>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</si>
  <si>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</si>
  <si>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</si>
  <si>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</si>
  <si>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</si>
  <si>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</si>
  <si>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</si>
  <si>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</si>
  <si>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</si>
  <si>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</si>
  <si>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</si>
  <si>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</si>
  <si>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</si>
  <si>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</si>
  <si>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</si>
  <si>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</si>
  <si>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</si>
  <si>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</si>
  <si>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</si>
  <si>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</si>
  <si>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</si>
  <si>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</si>
  <si>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</si>
  <si>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</si>
  <si>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</si>
  <si>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</si>
  <si>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</si>
  <si>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</si>
  <si>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</si>
  <si>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</si>
  <si>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</si>
  <si>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</si>
  <si>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</si>
  <si>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</si>
  <si>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</si>
  <si>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</si>
  <si>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</si>
  <si>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</si>
  <si>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</si>
  <si>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</si>
  <si>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</si>
  <si>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</si>
  <si>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</si>
  <si>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</si>
  <si>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</si>
  <si>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</si>
  <si>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</si>
  <si>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</si>
  <si>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</si>
  <si>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</si>
  <si>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</si>
  <si>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</si>
  <si>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</si>
  <si>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</si>
  <si>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</si>
  <si>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</si>
  <si>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</si>
  <si>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</si>
  <si>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</si>
  <si>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</si>
  <si>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</si>
  <si>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</si>
  <si>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</si>
  <si>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</si>
  <si>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</si>
  <si>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</si>
  <si>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</si>
  <si>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</si>
  <si>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</si>
  <si>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</si>
  <si>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</si>
  <si>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</si>
  <si>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</si>
  <si>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</si>
  <si>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</si>
  <si>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</si>
  <si>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</si>
  <si>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</si>
  <si>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</si>
  <si>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</si>
  <si>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</si>
  <si>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</si>
  <si>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</si>
  <si>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</si>
  <si>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</si>
  <si>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</si>
  <si>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</si>
  <si>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</si>
  <si>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</si>
  <si>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</si>
  <si>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</si>
  <si>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</si>
  <si>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</si>
  <si>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</si>
  <si>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</si>
  <si>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</si>
  <si>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</si>
  <si>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</si>
  <si>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</si>
  <si>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</si>
  <si>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</si>
  <si>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</si>
  <si>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</si>
  <si>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</si>
  <si>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</si>
  <si>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</si>
  <si>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</si>
  <si>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</si>
  <si>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</si>
  <si>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</si>
  <si>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</si>
  <si>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</si>
  <si>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</si>
  <si>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</si>
  <si>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</si>
  <si>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</si>
  <si>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</si>
  <si>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</si>
  <si>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</si>
  <si>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</si>
  <si>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</si>
  <si>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</si>
  <si>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</si>
  <si>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</si>
  <si>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</si>
  <si>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</si>
  <si>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</si>
  <si>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</si>
  <si>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</si>
  <si>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</si>
  <si>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</si>
  <si>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</si>
  <si>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</si>
  <si>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</si>
  <si>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</si>
  <si>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</si>
  <si>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</si>
  <si>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</si>
  <si>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</si>
  <si>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</si>
  <si>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</si>
  <si>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</si>
  <si>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</si>
  <si>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</si>
  <si>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</si>
  <si>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</si>
  <si>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</si>
  <si>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</si>
  <si>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</si>
  <si>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</si>
  <si>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</si>
  <si>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</si>
  <si>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</si>
  <si>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</si>
  <si>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</si>
  <si>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</si>
  <si>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</si>
  <si>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</si>
  <si>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</si>
  <si>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</si>
  <si>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</si>
  <si>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</si>
  <si>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</si>
  <si>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</si>
  <si>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</si>
  <si>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</si>
  <si>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</si>
  <si>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</si>
  <si>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</si>
  <si>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</si>
  <si>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</si>
  <si>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</si>
  <si>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</si>
  <si>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</si>
  <si>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</si>
  <si>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</si>
  <si>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</si>
  <si>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</si>
  <si>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</si>
  <si>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</si>
  <si>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</si>
  <si>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</si>
  <si>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</si>
  <si>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</si>
  <si>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</si>
  <si>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</si>
  <si>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</si>
  <si>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</si>
  <si>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</si>
  <si>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</si>
  <si>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</si>
  <si>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</si>
  <si>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</si>
  <si>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</si>
  <si>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</si>
  <si>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</si>
  <si>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</si>
  <si>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</si>
  <si>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</si>
  <si>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</si>
  <si>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</si>
  <si>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</si>
  <si>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</si>
  <si>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</si>
  <si>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</si>
  <si>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</si>
  <si>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</si>
  <si>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</si>
  <si>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</si>
  <si>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</si>
  <si>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</si>
  <si>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</si>
  <si>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</si>
  <si>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</si>
  <si>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</si>
  <si>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</si>
  <si>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</si>
  <si>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</si>
  <si>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</si>
  <si>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</si>
  <si>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</si>
  <si>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</si>
  <si>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</si>
  <si>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</si>
  <si>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</si>
  <si>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</si>
  <si>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</si>
  <si>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</si>
  <si>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</si>
  <si>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</si>
  <si>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</si>
  <si>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</si>
  <si>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</si>
  <si>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</si>
  <si>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</si>
  <si>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</si>
  <si>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</si>
  <si>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</si>
  <si>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</si>
  <si>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</si>
  <si>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</si>
  <si>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</si>
  <si>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</si>
  <si>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</si>
  <si>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</si>
  <si>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</si>
  <si>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</si>
  <si>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</si>
  <si>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</si>
  <si>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</si>
  <si>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</si>
  <si>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</si>
  <si>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</si>
  <si>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</si>
  <si>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</si>
  <si>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</si>
  <si>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</si>
  <si>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</si>
  <si>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</si>
  <si>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</si>
  <si>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</si>
  <si>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</si>
  <si>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</si>
  <si>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</si>
  <si>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</si>
  <si>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</si>
  <si>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</si>
  <si>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</si>
  <si>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</si>
  <si>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</si>
  <si>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</si>
  <si>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</si>
  <si>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</si>
  <si>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</si>
  <si>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</si>
  <si>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</si>
  <si>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</si>
  <si>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</si>
  <si>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</si>
  <si>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</si>
  <si>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</si>
  <si>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</si>
  <si>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</si>
  <si>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</si>
  <si>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</si>
  <si>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</si>
  <si>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</si>
  <si>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</si>
  <si>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</si>
  <si>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</si>
  <si>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</si>
  <si>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</si>
  <si>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</si>
  <si>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</si>
  <si>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</si>
  <si>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</si>
  <si>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</si>
  <si>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</si>
  <si>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</si>
  <si>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</si>
  <si>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</si>
  <si>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</si>
  <si>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</si>
  <si>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</si>
  <si>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</si>
  <si>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</si>
  <si>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</si>
  <si>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</si>
  <si>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</si>
  <si>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</si>
  <si>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</si>
  <si>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</si>
  <si>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</si>
  <si>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</si>
  <si>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</si>
  <si>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</si>
  <si>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</si>
  <si>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</si>
  <si>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</si>
  <si>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</si>
  <si>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</si>
  <si>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</si>
  <si>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</si>
  <si>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</si>
  <si>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</si>
  <si>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</si>
  <si>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</si>
  <si>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</si>
  <si>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</si>
  <si>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</si>
  <si>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</si>
  <si>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</si>
  <si>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</si>
  <si>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</si>
  <si>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</si>
  <si>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</si>
  <si>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</si>
  <si>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</si>
  <si>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</si>
  <si>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</si>
  <si>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</si>
  <si>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</si>
  <si>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</si>
  <si>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</si>
  <si>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</si>
  <si>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</si>
  <si>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</si>
  <si>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</si>
  <si>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</si>
  <si>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</si>
  <si>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</si>
  <si>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</si>
  <si>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</si>
  <si>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</si>
  <si>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</si>
  <si>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</si>
  <si>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</si>
  <si>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</si>
  <si>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</si>
  <si>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</si>
  <si>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</si>
  <si>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</si>
  <si>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</si>
  <si>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</si>
  <si>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</si>
  <si>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</si>
  <si>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</si>
  <si>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</si>
  <si>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</si>
  <si>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</si>
  <si>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</si>
  <si>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</si>
  <si>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</si>
  <si>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</si>
  <si>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</si>
  <si>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</si>
  <si>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</si>
  <si>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</si>
  <si>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</si>
  <si>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</si>
  <si>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</si>
  <si>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</si>
  <si>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</si>
  <si>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</si>
  <si>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</si>
  <si>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</si>
  <si>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</si>
  <si>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</si>
  <si>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</si>
  <si>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</si>
  <si>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</si>
  <si>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</si>
  <si>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</si>
  <si>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</si>
  <si>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</si>
  <si>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</si>
  <si>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</si>
  <si>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</si>
  <si>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</si>
  <si>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</si>
  <si>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</si>
  <si>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</si>
  <si>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</si>
  <si>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</si>
  <si>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</si>
  <si>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</si>
  <si>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</si>
  <si>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</si>
  <si>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</si>
  <si>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</si>
  <si>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</si>
  <si>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</si>
  <si>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</si>
  <si>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</si>
  <si>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</si>
  <si>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</si>
  <si>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</si>
  <si>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</si>
  <si>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</si>
  <si>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</si>
  <si>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</si>
  <si>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</si>
  <si>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</si>
  <si>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</si>
  <si>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</si>
  <si>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</si>
  <si>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</si>
  <si>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</si>
  <si>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</si>
  <si>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</si>
  <si>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</si>
  <si>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</si>
  <si>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</si>
  <si>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</si>
  <si>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</si>
  <si>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</si>
  <si>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</si>
  <si>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</si>
  <si>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</si>
  <si>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</si>
  <si>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</si>
  <si>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</si>
  <si>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</si>
  <si>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</si>
  <si>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</si>
  <si>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</si>
  <si>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</si>
  <si>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</si>
  <si>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</si>
  <si>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</si>
  <si>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</si>
  <si>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</si>
  <si>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</si>
  <si>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</si>
  <si>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</si>
  <si>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</si>
  <si>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</si>
  <si>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</si>
  <si>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</si>
  <si>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</si>
  <si>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</si>
  <si>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</si>
  <si>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</si>
  <si>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</si>
  <si>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</si>
  <si>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</si>
  <si>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</si>
  <si>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</si>
  <si>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</si>
  <si>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</si>
  <si>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</si>
  <si>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</si>
  <si>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</si>
  <si>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</si>
  <si>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</si>
  <si>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</si>
  <si>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</si>
  <si>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</si>
  <si>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</si>
  <si>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</si>
  <si>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</si>
  <si>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</si>
  <si>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</si>
  <si>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</si>
  <si>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</si>
  <si>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</si>
  <si>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</si>
  <si>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</si>
  <si>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</si>
  <si>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</si>
  <si>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</si>
  <si>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</si>
  <si>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</si>
  <si>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</si>
  <si>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</si>
  <si>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</si>
  <si>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</si>
  <si>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</si>
  <si>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</si>
  <si>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</si>
  <si>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</si>
  <si>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</si>
  <si>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</si>
  <si>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</si>
  <si>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</si>
  <si>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</si>
  <si>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</si>
  <si>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</si>
  <si>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</si>
  <si>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</si>
  <si>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</si>
  <si>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</si>
  <si>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</si>
  <si>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</si>
  <si>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</si>
  <si>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</si>
  <si>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</si>
  <si>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</si>
  <si>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</si>
  <si>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</si>
  <si>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</si>
  <si>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</si>
  <si>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</si>
  <si>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</si>
  <si>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</si>
  <si>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</si>
  <si>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</si>
  <si>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</si>
  <si>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</si>
  <si>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</si>
  <si>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</si>
  <si>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</si>
  <si>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</si>
  <si>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</si>
  <si>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</si>
  <si>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</si>
  <si>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</si>
  <si>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</si>
  <si>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</si>
  <si>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</si>
  <si>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</si>
  <si>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</si>
  <si>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</si>
  <si>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</si>
  <si>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</si>
  <si>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</si>
  <si>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</si>
  <si>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</si>
  <si>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</si>
  <si>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</si>
  <si>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</si>
  <si>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</si>
  <si>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</si>
  <si>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</si>
  <si>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</si>
  <si>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</si>
  <si>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</si>
  <si>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</si>
  <si>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</si>
  <si>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</si>
  <si>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</si>
  <si>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</si>
  <si>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</si>
  <si>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</si>
  <si>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</si>
  <si>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</si>
  <si>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</si>
  <si>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</si>
  <si>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</si>
  <si>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</si>
  <si>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</si>
  <si>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</si>
  <si>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</si>
  <si>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</si>
  <si>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</si>
  <si>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</si>
  <si>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</si>
  <si>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</si>
  <si>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</si>
  <si>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</si>
  <si>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</si>
  <si>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</si>
  <si>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</si>
  <si>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</si>
  <si>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</si>
  <si>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</si>
  <si>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</si>
  <si>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</si>
  <si>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</si>
  <si>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</si>
  <si>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</si>
  <si>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</si>
  <si>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</si>
  <si>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</si>
  <si>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</si>
  <si>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</si>
  <si>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</si>
  <si>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</si>
  <si>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</si>
  <si>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</si>
  <si>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</si>
  <si>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</si>
  <si>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</si>
  <si>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</si>
  <si>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</si>
  <si>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</si>
  <si>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</si>
  <si>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</si>
  <si>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</si>
  <si>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</si>
  <si>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</si>
  <si>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</si>
  <si>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</si>
  <si>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</si>
  <si>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</si>
  <si>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</si>
  <si>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</si>
  <si>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</si>
  <si>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</si>
  <si>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</si>
  <si>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</si>
  <si>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</si>
  <si>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</si>
  <si>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</si>
  <si>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</si>
  <si>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</si>
  <si>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</si>
  <si>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</si>
  <si>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</si>
  <si>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</si>
  <si>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</si>
  <si>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</si>
  <si>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</si>
  <si>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</si>
  <si>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</si>
  <si>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</si>
  <si>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</si>
  <si>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</si>
  <si>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</si>
  <si>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</si>
  <si>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</si>
  <si>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</si>
  <si>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</si>
  <si>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</si>
  <si>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</si>
  <si>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</si>
  <si>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</si>
  <si>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</si>
  <si>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</si>
  <si>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</si>
  <si>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</si>
  <si>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</si>
  <si>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</si>
  <si>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</si>
  <si>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</si>
  <si>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</si>
  <si>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</si>
  <si>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</si>
  <si>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</si>
  <si>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</si>
  <si>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</si>
  <si>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</si>
  <si>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</si>
  <si>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</si>
  <si>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</si>
  <si>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</si>
  <si>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</si>
  <si>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</si>
  <si>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</si>
  <si>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</si>
  <si>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</si>
  <si>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</si>
  <si>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</si>
  <si>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</si>
  <si>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</si>
  <si>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</si>
  <si>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</si>
  <si>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</si>
  <si>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</si>
  <si>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</si>
  <si>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</si>
  <si>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</si>
  <si>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</si>
  <si>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Honesdale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</si>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</sst>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82.791095053192848</c:v>
                </c:pt>
                <c:pt idx="1">
                  <c:v>2.0024160337996988</c:v>
                </c:pt>
                <c:pt idx="2">
                  <c:v>165.50849313796977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4.272526325152227</c:v>
                </c:pt>
                <c:pt idx="1">
                  <c:v>0.26113598867139654</c:v>
                </c:pt>
                <c:pt idx="2">
                  <c:v>28.108336270100946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35.145990549734535</c:v>
                </c:pt>
                <c:pt idx="1">
                  <c:v>0.92482240795754933</c:v>
                </c:pt>
                <c:pt idx="2">
                  <c:v>79.531988037001582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21.102944532724464</c:v>
                </c:pt>
                <c:pt idx="1">
                  <c:v>0.38772920688421864</c:v>
                </c:pt>
                <c:pt idx="2">
                  <c:v>26.975477120918644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14.043046017010067</c:v>
                </c:pt>
                <c:pt idx="1">
                  <c:v>0.56875750335916142</c:v>
                </c:pt>
                <c:pt idx="2">
                  <c:v>56.48288439952595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283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31.076000000000001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0.751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1.2185325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10.581408163265316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1.2185325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239.24764928571435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$308,994/Yr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15227.24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367.99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17303.161499999998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141561.05795918382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17303.161499999998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117231.34815000003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3.8497805255280326</c:v>
                </c:pt>
                <c:pt idx="1">
                  <c:v>9.0856271993300333E-2</c:v>
                </c:pt>
                <c:pt idx="2">
                  <c:v>7.4163972016412094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78.51856872804062</c:v>
                </c:pt>
                <c:pt idx="1">
                  <c:v>1.8469276802355887</c:v>
                </c:pt>
                <c:pt idx="2">
                  <c:v>150.50046362117237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2540.5930687662135</c:v>
                </c:pt>
                <c:pt idx="1">
                  <c:v>97.186039594358903</c:v>
                </c:pt>
                <c:pt idx="2" formatCode="_(* #,##0_);_(* \(#,##0\);_(* &quot;-&quot;??_);_(@_)">
                  <c:v>9510.4758409342903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2.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image" Target="../media/image11.emf"/><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3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3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3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3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3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4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41"/>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42"/>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43"/>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44"/>
                  </a:ext>
                </a:extLst>
              </xdr:cNvPicPr>
            </xdr:nvPicPr>
            <xdr:blipFill rotWithShape="1">
              <a:blip xmlns:r="http://schemas.openxmlformats.org/officeDocument/2006/relationships" r:embed="rId1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4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46"/>
                  </a:ext>
                </a:extLst>
              </xdr:cNvPicPr>
            </xdr:nvPicPr>
            <xdr:blipFill rotWithShape="1">
              <a:blip xmlns:r="http://schemas.openxmlformats.org/officeDocument/2006/relationships" r:embed="rId13"/>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4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48"/>
                  </a:ext>
                </a:extLst>
              </xdr:cNvPicPr>
            </xdr:nvPicPr>
            <xdr:blipFill rotWithShape="1">
              <a:blip xmlns:r="http://schemas.openxmlformats.org/officeDocument/2006/relationships" r:embed="rId20"/>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49"/>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50"/>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51"/>
                  </a:ext>
                </a:extLst>
              </xdr:cNvPicPr>
            </xdr:nvPicPr>
            <xdr:blipFill rotWithShape="1">
              <a:blip xmlns:r="http://schemas.openxmlformats.org/officeDocument/2006/relationships" r:embed="rId2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52"/>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53"/>
                  </a:ext>
                </a:extLst>
              </xdr:cNvPicPr>
            </xdr:nvPicPr>
            <xdr:blipFill rotWithShape="1">
              <a:blip xmlns:r="http://schemas.openxmlformats.org/officeDocument/2006/relationships" r:embed="rId2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BE27" sqref="BE27"/>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1277</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1278</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1279</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1280</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45374</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2023</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2023</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44927</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45291</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19000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Normal="100" workbookViewId="0">
      <pane ySplit="9" topLeftCell="A12" activePane="bottomLeft" state="frozen"/>
      <selection activeCell="BE27" sqref="BE27"/>
      <selection pane="bottomLeft" activeCell="BE27" sqref="BE27"/>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Honesdale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2023</v>
      </c>
      <c r="E5" s="1207"/>
      <c r="F5" s="1207"/>
      <c r="G5" s="1208"/>
      <c r="H5" s="1200" t="str">
        <f>IF(ISBLANK('Start Page'!AB20),"",TEXT('Start Page'!AB20,"mmm dd yyyy")&amp;" - "&amp;TEXT('Start Page'!AB21,"mmm dd yyyy"))</f>
        <v>Jan 01 2023 - Dec 31 2023</v>
      </c>
      <c r="I5" s="1201"/>
      <c r="J5" s="1202"/>
      <c r="K5" s="1204">
        <f>IF(ISBLANK('Start Page'!AB19),"",'Start Page'!AB19)</f>
        <v>2023</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756.07600000000002</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15.12152</v>
      </c>
      <c r="Y15" s="130">
        <f>$Y$19/$Y$18*H15</f>
        <v>27.856764011954425</v>
      </c>
      <c r="Z15" s="186">
        <f>$Y$19/$Y$18*ABS(X15)</f>
        <v>0.55713528023908854</v>
      </c>
      <c r="AA15" s="1046">
        <f>IF(W15=1,input_VOS-input_VOS/(1+O15*AB15),Q15*AB15)</f>
        <v>-15.43012244897966</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771.50612244897968</v>
      </c>
    </row>
    <row r="16" spans="1:33" s="54" customFormat="1">
      <c r="A16" s="113"/>
      <c r="B16" s="666" t="s">
        <v>908</v>
      </c>
      <c r="C16" s="1052" t="s">
        <v>40</v>
      </c>
      <c r="D16" s="983" t="s">
        <v>881</v>
      </c>
      <c r="E16" s="681" t="s">
        <v>882</v>
      </c>
      <c r="F16" s="587">
        <f>'Interactive Data Grading'!D74</f>
        <v>6</v>
      </c>
      <c r="G16" s="336"/>
      <c r="H16" s="630">
        <v>87.626000000000005</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1.7525200000000001</v>
      </c>
      <c r="Y16" s="130">
        <f>$Y$19/$Y$18*H16</f>
        <v>3.228480739120827</v>
      </c>
      <c r="Z16" s="186">
        <f>$Y$19/$Y$18*ABS(X16)</f>
        <v>6.4569614782416546E-2</v>
      </c>
      <c r="AA16" s="1046">
        <f>IF(W16=1,input_WI-input_WI/(1+O16*AB16),Q16*AB16)</f>
        <v>-1.7882857142857205</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89.414285714285725</v>
      </c>
    </row>
    <row r="17" spans="1:33" s="54" customFormat="1" ht="13.35" customHeight="1">
      <c r="A17" s="113"/>
      <c r="B17" s="666" t="s">
        <v>909</v>
      </c>
      <c r="C17" s="1052" t="s">
        <v>41</v>
      </c>
      <c r="D17" s="983" t="s">
        <v>881</v>
      </c>
      <c r="E17" s="681" t="s">
        <v>882</v>
      </c>
      <c r="F17" s="587">
        <f>'Interactive Data Grading'!D127</f>
        <v>6</v>
      </c>
      <c r="G17" s="336"/>
      <c r="H17" s="396">
        <v>87.626000000000005</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1.7525200000000001</v>
      </c>
      <c r="Y17" s="130">
        <f>$Y$19/$Y$18*H17</f>
        <v>3.228480739120827</v>
      </c>
      <c r="Z17" s="186">
        <f>$Y$19/$Y$18*ABS(X17)</f>
        <v>6.4569614782416546E-2</v>
      </c>
      <c r="AA17" s="1046">
        <f>IF(W17=1,input_WE-input_WE/(1+O17*AB17),Q17*AB17)</f>
        <v>-1.7882857142857205</v>
      </c>
      <c r="AB17" s="636">
        <f t="shared" si="1"/>
        <v>-1</v>
      </c>
      <c r="AC17" s="297" t="str">
        <f t="shared" si="2"/>
        <v>yes</v>
      </c>
      <c r="AD17" s="297" t="str">
        <f>IF(OR(T17="select…..",T17=""),"no","yes")</f>
        <v>yes</v>
      </c>
      <c r="AE17" s="297" t="str">
        <f t="shared" si="3"/>
        <v>no</v>
      </c>
      <c r="AF17" s="638">
        <f t="shared" si="4"/>
        <v>0</v>
      </c>
      <c r="AG17" s="1046">
        <f>input_WE-AA17</f>
        <v>89.414285714285725</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949.95456000000001</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771.50612244897968</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487.41300000000001</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13.160900231248878</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0.83909976875112102</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31.076000000000001</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518.48900000000003</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5</v>
      </c>
      <c r="G26" s="336"/>
      <c r="H26" s="594">
        <f>IF(OR(W26=1,AND(W26=2,Q26=0)),O26*SUM(H23:H24),Q26)</f>
        <v>0.751</v>
      </c>
      <c r="I26" s="337"/>
      <c r="J26" s="338" t="str">
        <f>IF('Start Page'!$AB$22="million gallons (US)","MG/Yr",IF('Start Page'!$AB$22="Megalitres (thousand cubic metres)","ML/Yr",IF('Start Page'!$AB$22="acre-feet","Acre-ft/Yr","")))</f>
        <v>MG/Yr</v>
      </c>
      <c r="K26" s="338"/>
      <c r="L26" s="338"/>
      <c r="M26" s="338"/>
      <c r="N26" s="338"/>
      <c r="O26" s="588">
        <v>2.5000000000000001E-3</v>
      </c>
      <c r="P26" s="755" t="s">
        <v>835</v>
      </c>
      <c r="Q26" s="1192">
        <v>0.751</v>
      </c>
      <c r="R26" s="1192"/>
      <c r="S26" s="586" t="str">
        <f>IF('Start Page'!$AB$22="million gallons (US)","MG/Yr",IF('Start Page'!$AB$22="Megalitres (thousand cubic metres)","ML/Yr",IF('Start Page'!$AB$22="acre-feet","acre-ft/yr","")))</f>
        <v>MG/Yr</v>
      </c>
      <c r="T26" s="313"/>
      <c r="U26" s="322"/>
      <c r="V26" s="113"/>
      <c r="W26" s="580">
        <f>IF(P26="default",1,2)</f>
        <v>2</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519.24</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252.26612244897967</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1.2185325</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10.581408163265337</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1.2185325</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13.018473163265337</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9.9472040816326626</v>
      </c>
      <c r="Y50" s="174">
        <f>IFERROR(IF(W41=1,((H25)/(1-(O41*X41)))-(H25),Q41*H25/(H23+H25)),0)</f>
        <v>0.63420408163265307</v>
      </c>
      <c r="Z50" s="1079">
        <f>SUM(X50:Y50)</f>
        <v>10.581408163265316</v>
      </c>
      <c r="AA50" s="1229"/>
      <c r="AB50" s="1229"/>
      <c r="AC50" s="1229"/>
      <c r="AD50" s="297"/>
      <c r="AE50" s="297"/>
    </row>
    <row r="51" spans="1:31" s="54" customFormat="1">
      <c r="A51" s="113"/>
      <c r="B51" s="666"/>
      <c r="C51" s="1209" t="s">
        <v>662</v>
      </c>
      <c r="D51" s="1209"/>
      <c r="E51" s="1209"/>
      <c r="F51" s="1209"/>
      <c r="G51" s="1018"/>
      <c r="H51" s="1017">
        <f>IFERROR(H35-H46,"")</f>
        <v>239.24764928571435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141250.29795918381</v>
      </c>
      <c r="Y51" s="1099">
        <f>Y50*input_VPC</f>
        <v>310.76</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252.26612244897967</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284.09312244897967</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258</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8348</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32.356589147286819</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16</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16</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60</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522000</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18" activePane="bottomLeft" state="frozen"/>
      <selection activeCell="BE27" sqref="BE27"/>
      <selection pane="bottomLeft" activeCell="BE27" sqref="BE27"/>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Honesdale Division</v>
      </c>
      <c r="C1" s="718"/>
      <c r="D1" s="719"/>
      <c r="E1" s="1042" t="s">
        <v>1157</v>
      </c>
    </row>
    <row r="2" spans="1:20" ht="30.6" customHeight="1">
      <c r="A2" s="562"/>
      <c r="B2" s="1041">
        <f>IF(ISBLANK('Start Page'!AB18),"",'Start Page'!AB18)</f>
        <v>2023</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A system specific volume has been entered</v>
      </c>
      <c r="E243" s="870"/>
      <c r="F243" s="402"/>
      <c r="I243" s="958"/>
      <c r="J243" s="951" t="s">
        <v>836</v>
      </c>
    </row>
    <row r="244" spans="1:18" ht="27.6" customHeight="1">
      <c r="A244" s="269"/>
      <c r="B244" s="659" t="s">
        <v>465</v>
      </c>
      <c r="C244" s="1034" t="str">
        <f>UUAC!B35</f>
        <v>How well-understood is the extent of unbilled unmetered use?</v>
      </c>
      <c r="D244" s="405" t="s">
        <v>838</v>
      </c>
      <c r="E244" s="870" t="str">
        <f>IF(OR($D$247=10,$D$247=3),"",IFERROR(IF(H244=MIN($H$244:$H$246),"Limiting",""),""))</f>
        <v/>
      </c>
      <c r="F244" s="402"/>
      <c r="H244" s="959">
        <f>VLOOKUP('Interactive Data Grading'!D244,UUAC!$C$6:$F$15,4,FALSE)</f>
        <v>8</v>
      </c>
      <c r="I244" s="959"/>
    </row>
    <row r="245" spans="1:18" ht="27.6" customHeight="1">
      <c r="A245" s="269"/>
      <c r="B245" s="659" t="s">
        <v>466</v>
      </c>
      <c r="C245" s="1034" t="str">
        <f>UUAC!B36</f>
        <v>Which best describes the records that are kept for events of unbilled unmetered use?</v>
      </c>
      <c r="D245" s="406" t="s">
        <v>832</v>
      </c>
      <c r="E245" s="870" t="str">
        <f>IF(OR($D$247=10,$D$247=3),"",IFERROR(IF(H245=MIN($H$244:$H$246),"Limiting",""),""))</f>
        <v/>
      </c>
      <c r="F245" s="402"/>
      <c r="H245" s="959">
        <f>VLOOKUP('Interactive Data Grading'!D245,UUAC!$D$6:$F$15,3,FALSE)</f>
        <v>6</v>
      </c>
      <c r="I245" s="960"/>
    </row>
    <row r="246" spans="1:18" ht="27.6" customHeight="1">
      <c r="A246" s="269"/>
      <c r="B246" s="659" t="s">
        <v>467</v>
      </c>
      <c r="C246" s="1034" t="str">
        <f>UUAC!B37</f>
        <v>How is the majority of unbilled unmetered use estimated?</v>
      </c>
      <c r="D246" s="406" t="s">
        <v>478</v>
      </c>
      <c r="E246" s="870" t="str">
        <f>IF(OR($D$247=10,$D$247=3),"",IFERROR(IF(H246=MIN($H$244:$H$246),"Limiting",""),""))</f>
        <v>Limiting</v>
      </c>
      <c r="F246" s="402"/>
      <c r="H246" s="959">
        <f>VLOOKUP('Interactive Data Grading'!D246,UUAC!$E$6:$F$15,2,FALSE)</f>
        <v>5</v>
      </c>
      <c r="I246" s="960"/>
    </row>
    <row r="247" spans="1:18" ht="27.6" customHeight="1">
      <c r="A247" s="269"/>
      <c r="B247" s="269"/>
      <c r="C247" s="403" t="s">
        <v>313</v>
      </c>
      <c r="D247" s="1045">
        <f>IFERROR((IF(D243=UUAC!A3,3,H247)),"")</f>
        <v>5</v>
      </c>
      <c r="E247" s="870"/>
      <c r="F247" s="402"/>
      <c r="H247" s="962">
        <f>MIN(H244:H246)</f>
        <v>5</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activeCell="BE27" sqref="BE27"/>
      <selection pane="bottomLeft" activeCell="BE27" sqref="BE27"/>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Honesdale Division</v>
      </c>
      <c r="Q3" s="784"/>
      <c r="R3" s="784"/>
      <c r="S3" s="784"/>
      <c r="T3" s="784"/>
      <c r="U3" s="784"/>
      <c r="V3" s="784"/>
      <c r="W3" s="784"/>
      <c r="X3" s="784"/>
      <c r="Y3" s="784"/>
      <c r="Z3" s="784"/>
      <c r="AA3" s="784"/>
      <c r="AB3" s="784"/>
      <c r="AC3" s="781"/>
      <c r="AD3" s="782"/>
      <c r="AE3" s="783"/>
      <c r="AF3" s="780" t="s">
        <v>714</v>
      </c>
      <c r="AG3" s="1247">
        <f>IF(ISBLANK('Start Page'!AB18),"",'Start Page'!AB18)</f>
        <v>2023</v>
      </c>
      <c r="AH3" s="124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49">
        <f>BR6</f>
        <v>60</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35.145990549734535</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35.145990549734535</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35.145990549734535</v>
      </c>
      <c r="AB18" s="1259"/>
      <c r="AC18" s="1259"/>
      <c r="AD18" s="1020" t="str">
        <f>BD13</f>
        <v>$/conn/year</v>
      </c>
      <c r="AE18" s="1021"/>
      <c r="AF18" s="1022"/>
      <c r="AG18" s="1022"/>
      <c r="AH18" s="1023"/>
      <c r="AI18" s="1023"/>
      <c r="AJ18" s="1021"/>
      <c r="AK18" s="1259">
        <f>BS22</f>
        <v>21.102944532724464</v>
      </c>
      <c r="AL18" s="1259"/>
      <c r="AM18" s="1259"/>
      <c r="AN18" s="1020" t="str">
        <f>BD13</f>
        <v>$/conn/year</v>
      </c>
      <c r="AO18" s="1021"/>
      <c r="AP18" s="1021"/>
      <c r="AQ18" s="1021"/>
      <c r="AR18" s="1021"/>
      <c r="AS18" s="1021"/>
      <c r="AT18" s="1021"/>
      <c r="AU18" s="1259">
        <f>BS29</f>
        <v>14.043046017010067</v>
      </c>
      <c r="AV18" s="1259"/>
      <c r="AW18" s="1259"/>
      <c r="AX18" s="1020" t="str">
        <f>BD13</f>
        <v>$/conn/year</v>
      </c>
      <c r="AY18" s="814"/>
      <c r="AZ18" s="789"/>
      <c r="BA18" s="789"/>
      <c r="BB18" s="418"/>
      <c r="BC18" s="138"/>
      <c r="BD18" s="73" t="s">
        <v>706</v>
      </c>
      <c r="BE18" s="290">
        <f>(((5.41*Worksheet!H61)+(0.15*Worksheet!H62)+(7.5*(Worksheet!H62*Worksheet!W67/5280)))*Worksheet!H68)/1000000*365</f>
        <v>62.145789272727264</v>
      </c>
      <c r="BM18" s="765"/>
      <c r="BN18" s="766"/>
      <c r="BO18" s="833" t="s">
        <v>1039</v>
      </c>
      <c r="BP18" s="835">
        <f>BQ18-BQ17</f>
        <v>8.9525318444022357</v>
      </c>
      <c r="BQ18" s="1054">
        <f t="shared" si="0"/>
        <v>18.283980813778896</v>
      </c>
      <c r="BR18" s="833" t="s">
        <v>779</v>
      </c>
      <c r="BS18" s="837">
        <f>SUM(BP16:BP20)-SUM(BS16,BS17)</f>
        <v>79.531988037001582</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190.71817422660379</v>
      </c>
      <c r="BF19" s="289">
        <f>BE19*325851.427242/Worksheet!H62/365</f>
        <v>20.395596114474884</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321.08904000000007</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21.102944532724464</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21.102944532724464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26.975477120918644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82.791095053192848</v>
      </c>
      <c r="AB29" s="1263"/>
      <c r="AC29" s="1263"/>
      <c r="AD29" s="1019" t="str">
        <f>BD10</f>
        <v>gal/conn/day</v>
      </c>
      <c r="AE29" s="1019"/>
      <c r="AF29" s="1024"/>
      <c r="AG29" s="1024"/>
      <c r="AH29" s="813"/>
      <c r="AI29" s="813"/>
      <c r="AJ29" s="813"/>
      <c r="AK29" s="1263">
        <f>BS43</f>
        <v>4.272526325152227</v>
      </c>
      <c r="AL29" s="1263"/>
      <c r="AM29" s="1263"/>
      <c r="AN29" s="1020" t="str">
        <f>BD10</f>
        <v>gal/conn/day</v>
      </c>
      <c r="AO29" s="813"/>
      <c r="AP29" s="813"/>
      <c r="AQ29" s="813"/>
      <c r="AR29" s="813"/>
      <c r="AS29" s="813"/>
      <c r="AT29" s="813"/>
      <c r="AU29" s="1269">
        <f>BS55</f>
        <v>78.51856872804062</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14.043046017010067</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14.043046017010067</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60</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56.48288439952595</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82.791095053192848</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82.791095053192848</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165.50849313796977</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3.8497805255280326</v>
      </c>
      <c r="AI41" s="1268"/>
      <c r="AJ41" s="1268"/>
      <c r="AK41" s="1019" t="s">
        <v>1048</v>
      </c>
      <c r="AL41" s="938"/>
      <c r="AM41" s="939"/>
      <c r="AN41" s="940"/>
      <c r="AO41" s="940"/>
      <c r="AP41" s="940"/>
      <c r="AQ41" s="940"/>
      <c r="AR41" s="940"/>
      <c r="AS41" s="1267">
        <f>BS69</f>
        <v>2540.5930687662135</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62.145789272727264</v>
      </c>
      <c r="AL43" s="1265"/>
      <c r="AM43" s="1265"/>
      <c r="AN43" s="1265"/>
      <c r="AO43" s="1071" t="str">
        <f>BD7</f>
        <v>MG/Yr</v>
      </c>
      <c r="AP43" s="813"/>
      <c r="AQ43" s="813"/>
      <c r="AR43" s="813"/>
      <c r="AS43" s="1265">
        <f>IF(BG19=1,BF19,IFERROR(AK43*1000000/Worksheet!H62/365,""))</f>
        <v>20.395596114474884</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4.272526325152227</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4.272526325152227</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28.108336270100946</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13.018473163265337</v>
      </c>
      <c r="J49" s="1275"/>
      <c r="K49" s="1275"/>
      <c r="L49" s="1275"/>
      <c r="M49" s="795"/>
      <c r="N49" s="1276">
        <f>IF(OR(ISBLANK('Start Page'!$AB$22),ISBLANK(Worksheet!J76)),"",(SUM(Worksheet!H43+Worksheet!H39+Worksheet!X50)*Worksheet!H76)*INDEX(Sheet1!B2:D4,MATCH('Start Page'!AB22,Sheet1!A2:A4,0),MATCH(Worksheet!J76,Sheet1!B1:D1,0))+Worksheet!Y50*Worksheet!H77)</f>
        <v>176167.38095918382</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239.24764928571435</v>
      </c>
      <c r="J50" s="1275"/>
      <c r="K50" s="1275"/>
      <c r="L50" s="1275"/>
      <c r="M50" s="795"/>
      <c r="N50" s="1276">
        <f>IFERROR(IF(Worksheet!H41="Select under/over","",IF(ISBLANK('Start Page'!AB22),"",Worksheet!H51*(IF(BD29=FALSE,Worksheet!H77,IF(BD29=TRUE,Worksheet!H76*INDEX(Sheet1!B2:D4,MATCH('Start Page'!AB22,Sheet1!A2:A4,0),MATCH(Worksheet!J76,Sheet1!B1:D1,0)),""))))),"")</f>
        <v>117231.34815000003</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31.827000000000002</v>
      </c>
      <c r="J51" s="1275"/>
      <c r="K51" s="1275"/>
      <c r="L51" s="1275"/>
      <c r="M51" s="795"/>
      <c r="N51" s="1276">
        <f>IFERROR(IF(SUM(Sheet1!D90:D91)=0,"",SUM(Sheet1!D90:D91)),"")</f>
        <v>15595.23</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284.09312244897967</v>
      </c>
      <c r="J52" s="1275"/>
      <c r="K52" s="1275"/>
      <c r="L52" s="1275"/>
      <c r="M52" s="795"/>
      <c r="N52" s="1276">
        <f>IF(SUM(N49:N51)=0,"",SUM(N49:N51))</f>
        <v>308993.95910918387</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78.51856872804062</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78.51856872804062</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150.50046362117237</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3.8497805255280326</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3.8497805255280326</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7.4163972016412094</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2540.5930687662135</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2540.5930687662135</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9510.4758409342903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7.6658085264275115</v>
      </c>
      <c r="BQ83" s="850">
        <f>BP83+BQ78</f>
        <v>60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4" activePane="bottomLeft" state="frozen"/>
      <selection activeCell="BE27" sqref="BE27"/>
      <selection pane="bottomLeft" activeCell="BE27" sqref="BE2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Honesdale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84" t="s">
        <v>1276</v>
      </c>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8"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283 MG/Yr</v>
      </c>
    </row>
    <row r="79" spans="1:6" ht="16.5">
      <c r="B79" s="65"/>
      <c r="C79" s="65"/>
      <c r="D79" s="65"/>
      <c r="E79" s="12" t="str">
        <f>IFERROR("Total Cost of NRW = $"&amp;TEXT(SUM(D90,D91,D94,D95,D96,D97,D99),"#,###")&amp;"/Yr","")</f>
        <v>Total Cost of NRW = $308,994/Yr</v>
      </c>
      <c r="F79" s="65"/>
    </row>
    <row r="80" spans="1:6">
      <c r="A80" s="64"/>
      <c r="B80" s="64"/>
      <c r="C80" s="66" t="str">
        <f>"Volume ("&amp;Worksheet!J15&amp;")"</f>
        <v>Volume (MG/Yr)</v>
      </c>
      <c r="D80" s="66" t="s">
        <v>147</v>
      </c>
      <c r="E80" s="119" t="s">
        <v>1085</v>
      </c>
      <c r="F80" s="64"/>
    </row>
    <row r="81" spans="1:6">
      <c r="A81" s="67" t="s">
        <v>127</v>
      </c>
      <c r="B81" s="67"/>
      <c r="C81" s="160">
        <f>IF(Dashboard!BO$2&gt;0,"",Worksheet!H15)</f>
        <v>756.07600000000002</v>
      </c>
      <c r="D81" s="161">
        <f>IF(Dashboard!BO$2&gt;0,"",C81*(Worksheet!$H$77))</f>
        <v>370477.24</v>
      </c>
      <c r="E81" s="712">
        <f>D81</f>
        <v>370477.24</v>
      </c>
      <c r="F81" s="925" t="s">
        <v>1084</v>
      </c>
    </row>
    <row r="82" spans="1:6">
      <c r="A82" s="67" t="str">
        <f>A81&amp;" MA"</f>
        <v>Vol. from own sources: MA</v>
      </c>
      <c r="B82" s="67"/>
      <c r="C82" s="160">
        <f>IF(Dashboard!BO$2&gt;0,"",Worksheet!X15)</f>
        <v>15.12152</v>
      </c>
      <c r="D82" s="161">
        <f>IF(Dashboard!BO$2&gt;0,"",C82*(Worksheet!$H$77))</f>
        <v>7409.5448000000006</v>
      </c>
      <c r="E82" s="712">
        <f t="shared" ref="E82:E100" si="0">D82</f>
        <v>7409.5448000000006</v>
      </c>
      <c r="F82" s="64"/>
    </row>
    <row r="83" spans="1:6">
      <c r="A83" s="64" t="s">
        <v>0</v>
      </c>
      <c r="B83" s="64"/>
      <c r="C83" s="160">
        <f>IF(Dashboard!BO$2&gt;0,"",Worksheet!H16)</f>
        <v>87.626000000000005</v>
      </c>
      <c r="D83" s="161">
        <f>IF(Dashboard!BO$2&gt;0,"",C83*(Worksheet!$H$77))</f>
        <v>42936.740000000005</v>
      </c>
      <c r="E83" s="712">
        <f t="shared" si="0"/>
        <v>42936.740000000005</v>
      </c>
      <c r="F83" s="64"/>
    </row>
    <row r="84" spans="1:6">
      <c r="A84" s="64" t="str">
        <f>A83&amp;" MA"</f>
        <v>Water imported: MA</v>
      </c>
      <c r="B84" s="64"/>
      <c r="C84" s="160">
        <f>IF(Dashboard!BO$2&gt;0,"",Worksheet!X16)</f>
        <v>1.7525200000000001</v>
      </c>
      <c r="D84" s="161">
        <f>IF(Dashboard!BO$2&gt;0,"",C84*(Worksheet!$H$77))</f>
        <v>858.73480000000006</v>
      </c>
      <c r="E84" s="712">
        <f t="shared" si="0"/>
        <v>858.73480000000006</v>
      </c>
      <c r="F84" s="64"/>
    </row>
    <row r="85" spans="1:6">
      <c r="A85" s="64" t="s">
        <v>1</v>
      </c>
      <c r="B85" s="64"/>
      <c r="C85" s="160">
        <f>IF(Dashboard!BO$2&gt;0,"",Worksheet!H17)</f>
        <v>87.626000000000005</v>
      </c>
      <c r="D85" s="161">
        <f>IF(Dashboard!BO$2&gt;0,"",C85*(Worksheet!$H$77))</f>
        <v>42936.740000000005</v>
      </c>
      <c r="E85" s="712">
        <f t="shared" si="0"/>
        <v>42936.740000000005</v>
      </c>
      <c r="F85" s="64"/>
    </row>
    <row r="86" spans="1:6">
      <c r="A86" s="64" t="str">
        <f>A85&amp;" MA"</f>
        <v>Water exported: MA</v>
      </c>
      <c r="B86" s="64"/>
      <c r="C86" s="160">
        <f>IF(Dashboard!BO$2&gt;0,"",Worksheet!X17)</f>
        <v>1.7525200000000001</v>
      </c>
      <c r="D86" s="161">
        <f>IF(Dashboard!BO$2&gt;0,"",C86*(Worksheet!$H$77))</f>
        <v>858.73480000000006</v>
      </c>
      <c r="E86" s="712">
        <f t="shared" si="0"/>
        <v>858.73480000000006</v>
      </c>
      <c r="F86" s="64"/>
    </row>
    <row r="87" spans="1:6">
      <c r="A87" s="64" t="s">
        <v>109</v>
      </c>
      <c r="B87" s="64"/>
      <c r="C87" s="160">
        <f>IF(Dashboard!BO$2&gt;0,"",Worksheet!H19)</f>
        <v>771.50612244897968</v>
      </c>
      <c r="D87" s="161">
        <f>IF(Dashboard!BO$2&gt;0,"",C87*(Worksheet!$H$77))</f>
        <v>378038.00000000006</v>
      </c>
      <c r="E87" s="712">
        <f t="shared" si="0"/>
        <v>378038.00000000006</v>
      </c>
      <c r="F87" s="64"/>
    </row>
    <row r="88" spans="1:6">
      <c r="A88" s="279" t="s">
        <v>1268</v>
      </c>
      <c r="B88" s="64"/>
      <c r="C88" s="160">
        <f>IF(Dashboard!BO$2&gt;0,"",Worksheet!H23)</f>
        <v>487.41300000000001</v>
      </c>
      <c r="D88" s="161">
        <f>IF(Dashboard!BO$2&gt;0,"",C88*(Worksheet!$H$76*1000))</f>
        <v>6921264.6000000006</v>
      </c>
      <c r="E88" s="712">
        <f t="shared" si="0"/>
        <v>6921264.6000000006</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31.076000000000001</v>
      </c>
      <c r="D90" s="1110">
        <f>IF(Dashboard!BO$2&gt;0,"",IF(ISBLANK('Start Page'!AB22),"",IF(AND(ISBLANK(Worksheet!H77),Worksheet!Z77&lt;&gt;1),"",Worksheet!H25*(IF(Dashboard!BD29=FALSE,Worksheet!H77,IF(Dashboard!BD29=TRUE,Worksheet!H76*INDEX(Sheet1!B2:D4,MATCH('Start Page'!AB22,Sheet1!A2:A4,0),MATCH(Worksheet!J76,Sheet1!B1:D1,0)),""))))))</f>
        <v>15227.24</v>
      </c>
      <c r="E90" s="1111">
        <f t="shared" si="0"/>
        <v>15227.24</v>
      </c>
      <c r="F90" s="64"/>
    </row>
    <row r="91" spans="1:6">
      <c r="A91" s="1112" t="str">
        <f>"Unbilled Unmetered (UUAC) valued at "&amp;A76&amp;""</f>
        <v xml:space="preserve">Unbilled Unmetered (UUAC) valued at </v>
      </c>
      <c r="B91" s="1108"/>
      <c r="C91" s="1109">
        <f>IF(Dashboard!BO$2&gt;0,"",Worksheet!H26)</f>
        <v>0.751</v>
      </c>
      <c r="D91" s="1110">
        <f>IF(Dashboard!BO$2&gt;0,"",IF(ISBLANK('Start Page'!AB22),"",IF(AND(ISBLANK(Worksheet!H77),Worksheet!Z77&lt;&gt;1),"",Worksheet!H26*(IF(Dashboard!BD29=FALSE,Worksheet!H77,IF(Dashboard!BD29=TRUE,Worksheet!H76*INDEX(Sheet1!B2:D4,MATCH('Start Page'!AB22,Sheet1!A2:A4,0),MATCH(Worksheet!J76,Sheet1!B1:D1,0)),""))))))</f>
        <v>367.99</v>
      </c>
      <c r="E91" s="1111">
        <f t="shared" si="0"/>
        <v>367.99</v>
      </c>
      <c r="F91" s="64"/>
    </row>
    <row r="92" spans="1:6">
      <c r="A92" s="279" t="s">
        <v>2</v>
      </c>
      <c r="B92" s="164" t="s">
        <v>239</v>
      </c>
      <c r="C92" s="160">
        <f>IF(Dashboard!BO$2&gt;0,"",Worksheet!H30)</f>
        <v>519.24</v>
      </c>
      <c r="D92" s="161">
        <f>IF(Dashboard!BO$2&gt;0,"",C92*(Worksheet!$H$76*1000))</f>
        <v>7373208</v>
      </c>
      <c r="E92" s="712">
        <f t="shared" si="0"/>
        <v>7373208</v>
      </c>
      <c r="F92" s="64"/>
    </row>
    <row r="93" spans="1:6">
      <c r="A93" s="64" t="s">
        <v>51</v>
      </c>
      <c r="B93" s="64"/>
      <c r="C93" s="160">
        <f>IF(Dashboard!BO$2&gt;0,"",Worksheet!H35)</f>
        <v>252.26612244897967</v>
      </c>
      <c r="D93" s="161"/>
      <c r="E93" s="712">
        <f t="shared" si="0"/>
        <v>0</v>
      </c>
      <c r="F93" s="64"/>
    </row>
    <row r="94" spans="1:6">
      <c r="A94" s="278" t="s">
        <v>678</v>
      </c>
      <c r="B94" s="67"/>
      <c r="C94" s="165">
        <f>IF(Dashboard!BO$2&gt;0,"",Worksheet!H43)</f>
        <v>1.2185325</v>
      </c>
      <c r="D94" s="166">
        <f>IF(Dashboard!BO$2&gt;0,"",IF(ISBLANK('Start Page'!AB22),"",IF(AND(ISBLANK(Worksheet!H77),Worksheet!Z77&lt;&gt;1),"",C94*Worksheet!H76*INDEX(Sheet1!B2:D4,MATCH('Start Page'!AB22,Sheet1!A2:A4,0),MATCH(Worksheet!J76,Sheet1!B1:D1,0)))))</f>
        <v>17303.161499999998</v>
      </c>
      <c r="E94" s="713">
        <f t="shared" si="0"/>
        <v>17303.161499999998</v>
      </c>
      <c r="F94" s="167"/>
    </row>
    <row r="95" spans="1:6">
      <c r="A95" s="1094" t="s">
        <v>679</v>
      </c>
      <c r="B95" s="1093"/>
      <c r="C95" s="1095">
        <f>Worksheet!X50</f>
        <v>9.9472040816326626</v>
      </c>
      <c r="D95" s="1096">
        <f>IF(Dashboard!BO$2&gt;0,"",IF(ISBLANK('Start Page'!AB22),"",IF(AND(ISBLANK(Worksheet!H77),Worksheet!Z77&lt;&gt;1),"",C95*Worksheet!H76*INDEX(Sheet1!B2:D4,MATCH('Start Page'!AB22,Sheet1!A2:A4,0),MATCH(Worksheet!J76,Sheet1!B1:D1,0)))))</f>
        <v>141250.29795918381</v>
      </c>
      <c r="E95" s="1097">
        <f t="shared" si="0"/>
        <v>141250.29795918381</v>
      </c>
      <c r="F95" s="167"/>
    </row>
    <row r="96" spans="1:6">
      <c r="A96" s="1094" t="s">
        <v>1270</v>
      </c>
      <c r="B96" s="1093"/>
      <c r="C96" s="1095">
        <f>Worksheet!Y50</f>
        <v>0.63420408163265307</v>
      </c>
      <c r="D96" s="1096">
        <f>C96*input_VPC</f>
        <v>310.76</v>
      </c>
      <c r="E96" s="1097">
        <f t="shared" si="0"/>
        <v>310.76</v>
      </c>
      <c r="F96" s="1100" t="s">
        <v>1272</v>
      </c>
    </row>
    <row r="97" spans="1:7">
      <c r="A97" s="278" t="s">
        <v>680</v>
      </c>
      <c r="B97" s="67"/>
      <c r="C97" s="165">
        <f>IF(Dashboard!BO$2&gt;0,"",Worksheet!H39)</f>
        <v>1.2185325</v>
      </c>
      <c r="D97" s="166">
        <f>IF(Dashboard!BO$2&gt;0,"",IF(ISBLANK('Start Page'!AB22),"",IF(AND(ISBLANK(Worksheet!H77),Worksheet!Z77&lt;&gt;1),"",C97*Worksheet!H76*INDEX(Sheet1!B2:D4,MATCH('Start Page'!AB22,Sheet1!A2:A4,0),MATCH(Worksheet!J76,Sheet1!B1:D1,0)))))</f>
        <v>17303.161499999998</v>
      </c>
      <c r="E97" s="713">
        <f t="shared" si="0"/>
        <v>17303.161499999998</v>
      </c>
      <c r="F97" s="167"/>
    </row>
    <row r="98" spans="1:7">
      <c r="A98" s="1104" t="s">
        <v>42</v>
      </c>
      <c r="B98" s="1104"/>
      <c r="C98" s="1105">
        <f>IF(Dashboard!BO$2&gt;0,"",Worksheet!H46)</f>
        <v>13.018473163265337</v>
      </c>
      <c r="D98" s="1106">
        <f>IF(Dashboard!BO$2&gt;0,"",SUM(D94:D97))</f>
        <v>176167.38095918379</v>
      </c>
      <c r="E98" s="712">
        <f t="shared" si="0"/>
        <v>176167.38095918379</v>
      </c>
      <c r="F98" s="64"/>
    </row>
    <row r="99" spans="1:7">
      <c r="A99" s="118" t="str">
        <f>"Real Losses valued at "&amp;A76&amp;""</f>
        <v xml:space="preserve">Real Losses valued at </v>
      </c>
      <c r="B99" s="67"/>
      <c r="C99" s="165">
        <f>IF(Dashboard!BO$2&gt;0,"",Worksheet!H51)</f>
        <v>239.24764928571435</v>
      </c>
      <c r="D99" s="1098">
        <f>IF(Dashboard!BO$2&gt;0,"",Dashboard!N50)</f>
        <v>117231.34815000003</v>
      </c>
      <c r="E99" s="713">
        <f t="shared" si="0"/>
        <v>117231.34815000003</v>
      </c>
      <c r="F99" s="712"/>
    </row>
    <row r="100" spans="1:7">
      <c r="A100" s="64" t="s">
        <v>72</v>
      </c>
      <c r="B100" s="64"/>
      <c r="C100" s="160">
        <f>IF(Dashboard!BO$2&gt;0,"",Worksheet!H57)</f>
        <v>284.09312244897967</v>
      </c>
      <c r="D100" s="162">
        <f>IF(Dashboard!BO$2&gt;0,"",D98+D99+D90+D91)</f>
        <v>308993.95910918381</v>
      </c>
      <c r="E100" s="712">
        <f t="shared" si="0"/>
        <v>308993.95910918381</v>
      </c>
      <c r="F100" s="64"/>
      <c r="G100" s="168"/>
    </row>
    <row r="101" spans="1:7">
      <c r="A101" s="1101"/>
    </row>
    <row r="102" spans="1:7">
      <c r="A102" s="1101" t="s">
        <v>1271</v>
      </c>
      <c r="C102" s="1102">
        <f>C95+C96</f>
        <v>10.581408163265316</v>
      </c>
      <c r="D102" s="168">
        <f>D95+D96</f>
        <v>141561.05795918382</v>
      </c>
      <c r="E102" s="168">
        <f>E95+E96</f>
        <v>141561.05795918382</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election activeCell="BE27" sqref="BE27"/>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E27" sqref="BE27"/>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Honesdale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89.414285714285725</v>
      </c>
      <c r="E10" s="1312"/>
      <c r="F10" s="1313"/>
      <c r="G10" s="1314"/>
      <c r="H10" s="428">
        <f>D10</f>
        <v>89.414285714285725</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487.41300000000001</v>
      </c>
      <c r="H12" s="438"/>
      <c r="I12" s="7"/>
      <c r="K12" s="1049"/>
    </row>
    <row r="13" spans="2:16" ht="22.5" customHeight="1">
      <c r="B13" s="1293"/>
      <c r="C13" s="439"/>
      <c r="D13" s="436"/>
      <c r="E13" s="1302"/>
      <c r="F13" s="441">
        <f>Worksheet!H23+Worksheet!H24</f>
        <v>487.41300000000001</v>
      </c>
      <c r="G13" s="442" t="s">
        <v>1090</v>
      </c>
      <c r="H13" s="443">
        <f>SUM(G12+G14)</f>
        <v>487.41300000000001</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519.24</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31.076000000000001</v>
      </c>
      <c r="H16" s="1301"/>
      <c r="I16" s="7"/>
      <c r="K16" s="163"/>
    </row>
    <row r="17" spans="2:16" ht="22.5" customHeight="1">
      <c r="B17" s="453">
        <f>Worksheet!AG15</f>
        <v>771.50612244897968</v>
      </c>
      <c r="C17" s="454"/>
      <c r="D17" s="455"/>
      <c r="E17" s="311"/>
      <c r="F17" s="456">
        <f>Worksheet!H25+Worksheet!H26</f>
        <v>31.827000000000002</v>
      </c>
      <c r="G17" s="440" t="s">
        <v>1092</v>
      </c>
      <c r="H17" s="438"/>
      <c r="I17" s="7"/>
      <c r="K17" s="163"/>
      <c r="L17" s="159"/>
      <c r="M17" s="159"/>
      <c r="N17" s="159"/>
      <c r="O17" s="159"/>
      <c r="P17" s="159"/>
    </row>
    <row r="18" spans="2:16" ht="15.75" customHeight="1">
      <c r="B18" s="451"/>
      <c r="C18" s="1315" t="s">
        <v>763</v>
      </c>
      <c r="D18" s="436"/>
      <c r="E18" s="457"/>
      <c r="F18" s="446"/>
      <c r="G18" s="458">
        <f>Worksheet!H26</f>
        <v>0.751</v>
      </c>
      <c r="H18" s="438"/>
      <c r="I18" s="7"/>
      <c r="K18" s="163"/>
    </row>
    <row r="19" spans="2:16" ht="22.5" customHeight="1">
      <c r="B19" s="451"/>
      <c r="C19" s="1315"/>
      <c r="D19" s="459" t="s">
        <v>116</v>
      </c>
      <c r="E19" s="432"/>
      <c r="F19" s="460"/>
      <c r="G19" s="707" t="s">
        <v>695</v>
      </c>
      <c r="H19" s="461">
        <f>Worksheet!H25+Worksheet!H26+Worksheet!H46+Worksheet!H51</f>
        <v>284.09312244897967</v>
      </c>
      <c r="I19" s="7"/>
      <c r="K19" s="163"/>
      <c r="L19" s="159"/>
      <c r="M19" s="159"/>
      <c r="N19" s="159"/>
      <c r="O19" s="159"/>
      <c r="P19" s="159"/>
    </row>
    <row r="20" spans="2:16" ht="15.75" customHeight="1">
      <c r="B20" s="451"/>
      <c r="C20" s="462">
        <f>B17+B27</f>
        <v>860.92040816326539</v>
      </c>
      <c r="D20" s="436"/>
      <c r="E20" s="311"/>
      <c r="F20" s="463" t="s">
        <v>52</v>
      </c>
      <c r="G20" s="452">
        <f>Worksheet!H39</f>
        <v>1.2185325</v>
      </c>
      <c r="H20" s="438"/>
      <c r="I20" s="7"/>
      <c r="K20" s="163"/>
    </row>
    <row r="21" spans="2:16" ht="14.25" customHeight="1">
      <c r="B21" s="464"/>
      <c r="C21" s="465"/>
      <c r="D21" s="462">
        <f>Worksheet!H19</f>
        <v>771.50612244897968</v>
      </c>
      <c r="E21" s="466"/>
      <c r="F21" s="456">
        <f>Worksheet!H46</f>
        <v>13.018473163265337</v>
      </c>
      <c r="G21" s="440" t="s">
        <v>694</v>
      </c>
      <c r="H21" s="438"/>
      <c r="I21" s="7"/>
      <c r="K21" s="163"/>
      <c r="L21" s="159"/>
      <c r="M21" s="159"/>
      <c r="N21" s="159"/>
      <c r="O21" s="159"/>
      <c r="P21" s="159"/>
    </row>
    <row r="22" spans="2:16" ht="15.75" customHeight="1">
      <c r="B22" s="451"/>
      <c r="C22" s="435"/>
      <c r="D22" s="436"/>
      <c r="E22" s="311"/>
      <c r="F22" s="466"/>
      <c r="G22" s="467">
        <f>Worksheet!H41</f>
        <v>10.581408163265337</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1.2185325</v>
      </c>
      <c r="H24" s="438"/>
      <c r="I24" s="7"/>
      <c r="K24" s="163"/>
    </row>
    <row r="25" spans="2:16" ht="26.25" customHeight="1">
      <c r="B25" s="1292" t="s">
        <v>1087</v>
      </c>
      <c r="C25" s="439"/>
      <c r="D25" s="436"/>
      <c r="E25" s="469">
        <f>Worksheet!H53</f>
        <v>252.26612244897967</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89.414285714285725</v>
      </c>
      <c r="C27" s="454"/>
      <c r="D27" s="436"/>
      <c r="E27" s="311"/>
      <c r="F27" s="456">
        <f>Worksheet!H51</f>
        <v>239.24764928571435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E27" sqref="BE27"/>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Honesdale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2023</v>
      </c>
      <c r="H5" s="1360" t="str">
        <f>IF(ISBLANK('Start Page'!AB20),"",TEXT('Start Page'!AB20,"mmm dd yyyy")&amp;" - "&amp;TEXT('Start Page'!AB21,"mmm dd yyyy"))</f>
        <v>Jan 01 2023 - Dec 31 2023</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27.856764011954425</v>
      </c>
      <c r="AF98" s="47">
        <f t="shared" ref="AF98:AF103" si="0">AE98</f>
        <v>27.856764011954425</v>
      </c>
      <c r="AG98" s="47">
        <f>IF(AE98&lt;&gt;0,AF98/10,0)</f>
        <v>2.7856764011954427</v>
      </c>
      <c r="AH98" s="44">
        <f>IFERROR(AD98*AG98,0)</f>
        <v>16.714058407172658</v>
      </c>
      <c r="AI98" s="45">
        <f t="shared" ref="AI98:AI117" si="1">IF(AG98=0,0,AF98-AH98)</f>
        <v>11.142705604781767</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0.55713528023908854</v>
      </c>
      <c r="AF99" s="47">
        <f t="shared" si="0"/>
        <v>0.55713528023908854</v>
      </c>
      <c r="AG99" s="47">
        <f t="shared" ref="AG99:AG117" si="3">IF(AE99&lt;&gt;0,AF99/10,0)</f>
        <v>5.5713528023908852E-2</v>
      </c>
      <c r="AH99" s="44">
        <f t="shared" ref="AH99:AH106" si="4">IFERROR(AD99*AG99,0)</f>
        <v>0.22285411209563541</v>
      </c>
      <c r="AI99" s="45">
        <f t="shared" si="1"/>
        <v>0.3342811681434531</v>
      </c>
      <c r="AJ99">
        <f t="array" aca="1" ref="AJ99" ca="1">SUM(1*(AI99&lt;$AI$98:$AI$117))+1+IF(ROW(AI99)-ROW($AI$98)=0,0,SUM(1*(AI99=OFFSET($AI$98,0,0,INDEX(ROW(AI99)-ROW($AI$98)+1,1)-1,1))))</f>
        <v>16</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3.228480739120827</v>
      </c>
      <c r="AF100" s="47">
        <f t="shared" si="0"/>
        <v>3.228480739120827</v>
      </c>
      <c r="AG100" s="47">
        <f t="shared" si="3"/>
        <v>0.3228480739120827</v>
      </c>
      <c r="AH100" s="44">
        <f t="shared" si="4"/>
        <v>1.9370884434724962</v>
      </c>
      <c r="AI100" s="45">
        <f t="shared" si="1"/>
        <v>1.2913922956483308</v>
      </c>
      <c r="AJ100">
        <f t="array" aca="1" ref="AJ100" ca="1">SUM(1*(AI100&lt;$AI$98:$AI$117))+1+IF(ROW(AI100)-ROW($AI$98)=0,0,SUM(1*(AI100=OFFSET($AI$98,0,0,INDEX(ROW(AI100)-ROW($AI$98)+1,1)-1,1))))</f>
        <v>10</v>
      </c>
      <c r="AK100" s="104" t="str">
        <f t="shared" si="5"/>
        <v>Water Imported (WI)</v>
      </c>
      <c r="AL100">
        <f t="shared" si="6"/>
        <v>1</v>
      </c>
      <c r="AM100">
        <f t="shared" si="7"/>
        <v>1</v>
      </c>
      <c r="AN100">
        <f t="shared" si="2"/>
        <v>0</v>
      </c>
    </row>
    <row r="101" spans="28:40">
      <c r="AC101" s="274" t="s">
        <v>702</v>
      </c>
      <c r="AD101" s="46">
        <f>IF(Worksheet!M16="n/a",0,Worksheet!M16)</f>
        <v>4</v>
      </c>
      <c r="AE101" s="80">
        <f>Worksheet!Z16</f>
        <v>6.4569614782416546E-2</v>
      </c>
      <c r="AF101" s="47">
        <f t="shared" si="0"/>
        <v>6.4569614782416546E-2</v>
      </c>
      <c r="AG101" s="47">
        <f t="shared" si="3"/>
        <v>6.4569614782416544E-3</v>
      </c>
      <c r="AH101" s="44">
        <f t="shared" si="4"/>
        <v>2.5827845912966618E-2</v>
      </c>
      <c r="AI101" s="45">
        <f t="shared" si="1"/>
        <v>3.8741768869449925E-2</v>
      </c>
      <c r="AJ101">
        <f t="array" aca="1" ref="AJ101" ca="1">SUM(1*(AI101&lt;$AI$98:$AI$117))+1+IF(ROW(AI101)-ROW($AI$98)=0,0,SUM(1*(AI101=OFFSET($AI$98,0,0,INDEX(ROW(AI101)-ROW($AI$98)+1,1)-1,1))))</f>
        <v>17</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3.228480739120827</v>
      </c>
      <c r="AF102" s="47">
        <f t="shared" si="0"/>
        <v>3.228480739120827</v>
      </c>
      <c r="AG102" s="47">
        <f t="shared" si="3"/>
        <v>0.3228480739120827</v>
      </c>
      <c r="AH102" s="44">
        <f t="shared" si="4"/>
        <v>1.9370884434724962</v>
      </c>
      <c r="AI102" s="45">
        <f t="shared" si="1"/>
        <v>1.2913922956483308</v>
      </c>
      <c r="AJ102">
        <f t="array" aca="1" ref="AJ102" ca="1">SUM(1*(AI102&lt;$AI$98:$AI$117))+1+IF(ROW(AI102)-ROW($AI$98)=0,0,SUM(1*(AI102=OFFSET($AI$98,0,0,INDEX(ROW(AI102)-ROW($AI$98)+1,1)-1,1))))</f>
        <v>11</v>
      </c>
      <c r="AK102" s="104" t="str">
        <f t="shared" si="5"/>
        <v>Water Exported (WE)</v>
      </c>
      <c r="AL102">
        <f t="shared" si="6"/>
        <v>1</v>
      </c>
      <c r="AM102">
        <f t="shared" si="7"/>
        <v>1</v>
      </c>
      <c r="AN102">
        <f t="shared" si="2"/>
        <v>0</v>
      </c>
    </row>
    <row r="103" spans="28:40">
      <c r="AC103" s="274" t="s">
        <v>704</v>
      </c>
      <c r="AD103" s="81">
        <f>IF(Worksheet!M17="n/a",0,Worksheet!M17)</f>
        <v>4</v>
      </c>
      <c r="AE103" s="82">
        <f>Worksheet!Z17</f>
        <v>6.4569614782416546E-2</v>
      </c>
      <c r="AF103" s="83">
        <f t="shared" si="0"/>
        <v>6.4569614782416546E-2</v>
      </c>
      <c r="AG103" s="83">
        <f t="shared" si="3"/>
        <v>6.4569614782416544E-3</v>
      </c>
      <c r="AH103" s="44">
        <f t="shared" si="4"/>
        <v>2.5827845912966618E-2</v>
      </c>
      <c r="AI103" s="83">
        <f t="shared" si="1"/>
        <v>3.8741768869449925E-2</v>
      </c>
      <c r="AJ103" s="84">
        <f t="array" aca="1" ref="AJ103" ca="1">SUM(1*(AI103&lt;$AI$98:$AI$117))+1+IF(ROW(AI103)-ROW($AI$98)=0,0,SUM(1*(AI103=OFFSET($AI$98,0,0,INDEX(ROW(AI103)-ROW($AI$98)+1,1)-1,1))))</f>
        <v>18</v>
      </c>
      <c r="AK103" s="105" t="str">
        <f t="shared" si="5"/>
        <v>WE Error Adjustment (WEEA)</v>
      </c>
      <c r="AL103">
        <f t="shared" si="6"/>
        <v>1</v>
      </c>
      <c r="AM103" s="84">
        <f t="shared" si="7"/>
        <v>1</v>
      </c>
      <c r="AN103" s="84">
        <f t="shared" si="2"/>
        <v>0</v>
      </c>
    </row>
    <row r="104" spans="28:40">
      <c r="AC104" s="271" t="s">
        <v>690</v>
      </c>
      <c r="AD104" s="90">
        <f>IF(Worksheet!F23="n/a",0,Worksheet!F23)</f>
        <v>8</v>
      </c>
      <c r="AE104" s="275">
        <f>IF(Worksheet!H23&gt;0,Worksheet!Y23,0)</f>
        <v>13.160900231248878</v>
      </c>
      <c r="AF104" s="92">
        <f t="shared" ref="AF104:AF117" si="8">AE104/$AE$120</f>
        <v>16.140726698701453</v>
      </c>
      <c r="AG104" s="92">
        <f t="shared" si="3"/>
        <v>1.6140726698701453</v>
      </c>
      <c r="AH104" s="92">
        <f t="shared" ref="AH104:AH117" si="9">AD104*AG104</f>
        <v>12.912581358961162</v>
      </c>
      <c r="AI104" s="93">
        <f t="shared" si="1"/>
        <v>3.2281453397402906</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0.83909976875112102</v>
      </c>
      <c r="AF106" s="97">
        <f t="shared" si="8"/>
        <v>1.0290846220532617</v>
      </c>
      <c r="AG106" s="97">
        <f t="shared" si="3"/>
        <v>0.10290846220532616</v>
      </c>
      <c r="AH106" s="44">
        <f t="shared" si="4"/>
        <v>0.41163384882130466</v>
      </c>
      <c r="AI106" s="98">
        <f t="shared" si="1"/>
        <v>0.61745077323195696</v>
      </c>
      <c r="AJ106" s="99">
        <f t="array" aca="1" ref="AJ106" ca="1">SUM(1*(AI106&lt;$AI$98:$AI$117))+1+IF(ROW(AI106)-ROW($AI$98)=0,0,SUM(1*(AI106=OFFSET($AI$98,0,0,INDEX(ROW(AI106)-ROW($AI$98)+1,1)-1,1))))</f>
        <v>14</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5</v>
      </c>
      <c r="AE107" s="86">
        <v>2</v>
      </c>
      <c r="AF107" s="87">
        <f t="shared" si="8"/>
        <v>2.4528301886792452</v>
      </c>
      <c r="AG107" s="87">
        <f t="shared" si="3"/>
        <v>0.24528301886792453</v>
      </c>
      <c r="AH107" s="87">
        <f t="shared" si="9"/>
        <v>1.2264150943396226</v>
      </c>
      <c r="AI107" s="88">
        <f t="shared" si="1"/>
        <v>1.2264150943396226</v>
      </c>
      <c r="AJ107" s="89">
        <f t="array" aca="1" ref="AJ107" ca="1">SUM(1*(AI107&lt;$AI$98:$AI$117))+1+IF(ROW(AI107)-ROW($AI$98)=0,0,SUM(1*(AI107=OFFSET($AI$98,0,0,INDEX(ROW(AI107)-ROW($AI$98)+1,1)-1,1))))</f>
        <v>12</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13</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15</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60.309601815255654</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1</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7" zoomScale="115" zoomScaleNormal="115" zoomScaleSheetLayoutView="100" workbookViewId="0">
      <selection activeCell="BE27" sqref="BE27"/>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BE27" sqref="BE27"/>
      <selection pane="bottomLeft" activeCell="BE27" sqref="BE27"/>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27" activePane="bottomLeft" state="frozen"/>
      <selection activeCell="BE27" sqref="BE27"/>
      <selection pane="bottomLeft" activeCell="BE27" sqref="BE27"/>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f5a1bbb-24dc-472d-b5b2-ad007ec20f6c"/>
    <ds:schemaRef ds:uri="http://purl.org/dc/elements/1.1/"/>
    <ds:schemaRef ds:uri="http://schemas.microsoft.com/office/2006/metadata/properties"/>
    <ds:schemaRef ds:uri="6b11e1cc-f8f4-4753-8eb9-82c6086f7ab0"/>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2024-05-01T16:32:04Z</cp:lastPrinted>
  <dcterms:created xsi:type="dcterms:W3CDTF">2004-11-04T17:59:53Z</dcterms:created>
  <dcterms:modified xsi:type="dcterms:W3CDTF">2024-05-01T16:32:55Z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