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mc:AlternateContent xmlns:mc="http://schemas.openxmlformats.org/markup-compatibility/2006">
    <mc:Choice Requires="x15">
      <x15ac:absPath xmlns:x15ac="http://schemas.microsoft.com/office/spreadsheetml/2010/11/ac" url="https://nmrgroupinc.sharepoint.com/PA_PUC_PhIV_Internal/Shared Documents/TRM and IMPs/2026 TRM Update/2026 TRM Measure Characterizations/Commercial/3.11 Miscellaneous/3.11.5 Building Operator Certification/"/>
    </mc:Choice>
  </mc:AlternateContent>
  <xr:revisionPtr revIDLastSave="772" documentId="8_{EBD3D647-001C-450F-873B-9EB6600448C5}" xr6:coauthVersionLast="47" xr6:coauthVersionMax="47" xr10:uidLastSave="{39895414-0736-4EF9-A6FB-10BCBAF8E17D}"/>
  <bookViews>
    <workbookView xWindow="-120" yWindow="-120" windowWidth="29040" windowHeight="15720" firstSheet="3" activeTab="11" xr2:uid="{C5A1F8FE-6ECE-4511-BF29-7FB9F9920B48}"/>
  </bookViews>
  <sheets>
    <sheet name="1. Manual" sheetId="9" r:id="rId1"/>
    <sheet name="2 .Facility Charaterization" sheetId="17" r:id="rId2"/>
    <sheet name="3. Savings" sheetId="7" r:id="rId3"/>
    <sheet name="3a. Relative Savings" sheetId="6" r:id="rId4"/>
    <sheet name="3b. Analysis" sheetId="23" r:id="rId5"/>
    <sheet name="CBECS Elec" sheetId="5" r:id="rId6"/>
    <sheet name="CBECS Gas" sheetId="8" r:id="rId7"/>
    <sheet name="ETDF" sheetId="11" r:id="rId8"/>
    <sheet name="ETDF Raw Data" sheetId="24" r:id="rId9"/>
    <sheet name="Baseline Tables" sheetId="12" r:id="rId10"/>
    <sheet name="Lookups" sheetId="18" r:id="rId11"/>
    <sheet name="Changelog" sheetId="16" r:id="rId12"/>
  </sheets>
  <definedNames>
    <definedName name="_xlnm._FilterDatabase" localSheetId="5" hidden="1">'CBECS Elec'!$B$19:$M$37</definedName>
    <definedName name="_xlnm._FilterDatabase" localSheetId="6" hidden="1">'CBECS Gas'!$C$12:$Q$286</definedName>
    <definedName name="CBECS_Elec_Building_List">'CBECS Elec'!$B$20:$B$37</definedName>
    <definedName name="CBECS_Elec_Building_List_Index">OFFSET(CBECS_Elec_Building_List,0,1,ROWS(CBECS_Elec_Building_List),COLUMNS(CBECS_Elec_End_Uses))</definedName>
    <definedName name="CBECS_Elec_End_Uses">'CBECS Elec'!$C$8:$M$8</definedName>
    <definedName name="CBECS_Elec_Index">OFFSET('CBECS Elec'!$C$9,0,0,ROWS(CBECS_Elec_Rows),COLUMNS(CBECS_Elec_End_Uses))</definedName>
    <definedName name="CBECS_Elec_Refrigeration_EUI">'3b. Analysis'!$E$169</definedName>
    <definedName name="CBECS_Elec_Rows">'CBECS Elec'!$B$9:$B$328</definedName>
    <definedName name="CBECS_Gas_End_Uses">'CBECS Gas'!$C$10:$Q$10</definedName>
    <definedName name="CBECS_Gas_Index">OFFSET('CBECS Gas'!$C$12,0,0,ROWS(CBECS_Gas_Rows),COLUMNS(CBECS_Gas_End_Uses))</definedName>
    <definedName name="CBECS_Gas_Rows">'CBECS Gas'!$B$12:$B$286</definedName>
    <definedName name="ETDF_Building_List">OFFSET(ETDF!$B$10,1,0,COUNTA(ETDF!$B:$B)-3,1)</definedName>
    <definedName name="ETDF_End_Use_Summer">ETDF!$BN$10:$BW$10</definedName>
    <definedName name="ETDF_End_Use_Winter">ETDF!$BD$10:$BM$10</definedName>
    <definedName name="ETDF_Index_Summer">OFFSET(ETDF_End_Use_Summer,1,0,ROWS(ETDF_Building_List),COLUMNS(ETDF_End_Use_Summer))</definedName>
    <definedName name="ETDF_Index_Winter">OFFSET(ETDF_End_Use_Winter,1,0,ROWS(ETDF_Building_List),COLUMNS(ETDF_End_Use_Winter))</definedName>
    <definedName name="FacilityChar_Building_Area">'2 .Facility Charaterization'!$D$24</definedName>
    <definedName name="FacilityChar_Building_Type_CBECS">_xlfn.XLOOKUP(FacilityChar_Building_Type_Workbook,Lookups_Building_List_Workbook,Lookups_Building_List_CBECS,0)</definedName>
    <definedName name="FacilityChar_Building_Type_TRM">_xlfn.XLOOKUP(FacilityChar_Building_Type_Workbook,Lookups_Building_List_Workbook,Lookups_Building_List_TRM,0)</definedName>
    <definedName name="FacilityChar_Building_Type_Workbook">'2 .Facility Charaterization'!$D$23</definedName>
    <definedName name="FacilityChar_Cooling_Percent">'2 .Facility Charaterization'!$J$34</definedName>
    <definedName name="FacilityChar_Heating_Percent">'3b. Analysis'!$D$45</definedName>
    <definedName name="FacilityChar_Nearby_City">'2 .Facility Charaterization'!$D$21</definedName>
    <definedName name="Lookups_Building_List_CBECS">OFFSET(Lookups!$G$6,1,0,COUNTA(Lookups!$G:$G)-1,1)</definedName>
    <definedName name="Lookups_Building_List_NREL">OFFSET(Lookups!$I$6,1,0,COUNTA(Lookups!$I:$I)-1,1)</definedName>
    <definedName name="Lookups_Building_List_TRM">OFFSET(Lookups!$H$6,1,0,COUNTA(Lookups!$H:$H)-1,1)</definedName>
    <definedName name="Lookups_Building_List_Workbook">OFFSET(Lookups!$F$6,1,0,COUNTA(Lookups!$F:$F)-1,1)</definedName>
    <definedName name="Lookups_Building_Percent_Cooled">OFFSET(Lookups!$Z$6,1,0,COUNTA(Lookups!$Z:$Z)-1,1)</definedName>
    <definedName name="Lookups_Building_Percent_Heated">OFFSET(Lookups!$AG$6,1,0,COUNTA(Lookups!$AG:$AG)-1,1)</definedName>
    <definedName name="Lookups_Cities">OFFSET(Lookups!$K$6,1,0,COUNTA(Lookups!$K:$K)-1,1)</definedName>
    <definedName name="Lookups_Climate_Region">OFFSET(Lookups!$P$6,1,0,COUNTA(Lookups!$P$1:'Lookups'!$P:$P)-1,1)</definedName>
    <definedName name="Lookups_Conversion_CF_to_kBTU">Lookups!$AO$7</definedName>
    <definedName name="Lookups_Cooling_Equipment">OFFSET(Lookups!$U$6,1,0,COUNTA(Lookups!$U:$U)-1,1)</definedName>
    <definedName name="Lookups_End_Use_Base">OFFSET(Lookups!$B$6,1,0,ROWS(Lookups_End_Use_CBECS),1)</definedName>
    <definedName name="Lookups_End_Use_CBECS">OFFSET(Lookups!$C$6,1,0,COUNTA(Lookups!$C:$C)-1,1)</definedName>
    <definedName name="Lookups_End_Use_NREL">OFFSET(Lookups!$D$6,1,0,COUNTA(Lookups!$D:$D)-1,1)</definedName>
    <definedName name="Lookups_Heating_Type_Gas">OFFSET(Lookups!$AD$6,1,0,COUNTA(Lookups!$AD:$AD)-1,1)</definedName>
    <definedName name="Lookups_Heating_Type_Gas_Eff">OFFSET(Lookups!$AE$6,1,0,COUNTA(Lookups!$AE:$AE)-1,1)</definedName>
    <definedName name="Lookups_Heating_Types_Elec">OFFSET(Lookups!$W$6,1,0,COUNTA(Lookups!$W:$W)-1,1)</definedName>
    <definedName name="Lookups_Heating_Types_Elec_COP">OFFSET(Lookups!$X$6,1,0,COUNTA(Lookups!$X:$X)-1,1)</definedName>
    <definedName name="Lookups_Lighting_EUI_Scale_Factor">Lookups!$AI$7</definedName>
    <definedName name="Lookups_Office_Equipment">OFFSET(Lookups!$AK$6,1,0,COUNTA(Lookups!$AK:$AK)-1,1)</definedName>
    <definedName name="Lookups_Percentages">OFFSET(Lookups!$S$6,1,0,COUNTA(Lookups!$S:$S)-1,1)</definedName>
    <definedName name="Lookups_Percentages_Unknown">OFFSET(Lookups!$AB$6,1,0,COUNTA(Lookups!$AB:$AB)-1,1)</definedName>
    <definedName name="Lookups_Ref_City">OFFSET(Lookups!$Q$6,1,0,COUNTA(Lookups!$Q:$Q)-1,1)</definedName>
    <definedName name="Lookups_Servers">OFFSET(Lookups!$AM$6,1,0,COUNTA(Lookups!$AM:$AM)-1,1)</definedName>
    <definedName name="Lookups_Utility_Co">OFFSET(Lookups!$M$6,1,0,COUNTA(Lookups!$M:$M)-1,1)</definedName>
    <definedName name="Lookups_Zip">OFFSET(Lookups!$O$6,1,0,COUNTA(Lookups!$O:$O)-1,1)</definedName>
    <definedName name="NREL_Building_List">OFFSET('ETDF Raw Data'!$B$6,1,0,COUNTA('ETDF Raw Data'!$B:$B)-3,1)</definedName>
    <definedName name="NREL_End_Use_ETDF">'ETDF Raw Data'!$D$6:$AM$6</definedName>
    <definedName name="NREL_ETDF_Index">OFFSET(NREL_End_Use_ETDF,1,0,ROWS(NREL_Building_List),COLUMNS(NREL_End_Use_ETDF))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1" i="5" l="1"/>
  <c r="M21" i="5"/>
  <c r="K35" i="5"/>
  <c r="B2" i="8"/>
  <c r="B2" i="5"/>
  <c r="B2" i="9"/>
  <c r="B2" i="24"/>
  <c r="B2" i="12"/>
  <c r="B100" i="23"/>
  <c r="B101" i="23"/>
  <c r="B102" i="23"/>
  <c r="B103" i="23"/>
  <c r="B104" i="23"/>
  <c r="B105" i="23"/>
  <c r="B106" i="23"/>
  <c r="B107" i="23"/>
  <c r="B108" i="23"/>
  <c r="B109" i="23"/>
  <c r="B110" i="23"/>
  <c r="B111" i="23"/>
  <c r="B112" i="23"/>
  <c r="B113" i="23"/>
  <c r="B114" i="23"/>
  <c r="B115" i="23"/>
  <c r="B116" i="23"/>
  <c r="B117" i="23"/>
  <c r="BA10" i="11" l="1"/>
  <c r="BM10" i="11" s="1"/>
  <c r="BW10" i="11" s="1"/>
  <c r="AZ10" i="11"/>
  <c r="BL10" i="11" s="1"/>
  <c r="BV10" i="11" s="1"/>
  <c r="AY10" i="11"/>
  <c r="BK10" i="11" s="1"/>
  <c r="BU10" i="11" s="1"/>
  <c r="AX10" i="11"/>
  <c r="BJ10" i="11" s="1"/>
  <c r="BT10" i="11" s="1"/>
  <c r="AW10" i="11"/>
  <c r="BI10" i="11" s="1"/>
  <c r="BS10" i="11" s="1"/>
  <c r="AV10" i="11"/>
  <c r="BH10" i="11" s="1"/>
  <c r="BR10" i="11" s="1"/>
  <c r="AU10" i="11"/>
  <c r="BG10" i="11" s="1"/>
  <c r="BQ10" i="11" s="1"/>
  <c r="AT10" i="11"/>
  <c r="BF10" i="11" s="1"/>
  <c r="BP10" i="11" s="1"/>
  <c r="AS10" i="11"/>
  <c r="BE10" i="11" s="1"/>
  <c r="BO10" i="11" s="1"/>
  <c r="AR10" i="11"/>
  <c r="BD10" i="11" s="1"/>
  <c r="BN10" i="11" s="1"/>
  <c r="I60" i="7"/>
  <c r="I59" i="7"/>
  <c r="AF10" i="11" a="1"/>
  <c r="AF10" i="11" s="1"/>
  <c r="U10" i="11" a="1"/>
  <c r="U10" i="11" s="1"/>
  <c r="B11" i="11" a="1"/>
  <c r="B11" i="11" s="1"/>
  <c r="C11" i="11" s="1" a="1"/>
  <c r="C11" i="11" s="1"/>
  <c r="AR11" i="11" s="1"/>
  <c r="E10" i="11"/>
  <c r="K10" i="11" s="1"/>
  <c r="F10" i="11"/>
  <c r="L10" i="11" s="1"/>
  <c r="G10" i="11"/>
  <c r="M10" i="11" s="1"/>
  <c r="H10" i="11"/>
  <c r="S10" i="11" s="1"/>
  <c r="Q286" i="8"/>
  <c r="P286" i="8"/>
  <c r="O286" i="8"/>
  <c r="N286" i="8"/>
  <c r="M286" i="8"/>
  <c r="Q285" i="8"/>
  <c r="P285" i="8"/>
  <c r="O285" i="8"/>
  <c r="N285" i="8"/>
  <c r="M285" i="8"/>
  <c r="Q284" i="8"/>
  <c r="P284" i="8"/>
  <c r="O284" i="8"/>
  <c r="N284" i="8"/>
  <c r="M284" i="8"/>
  <c r="Q283" i="8"/>
  <c r="P283" i="8"/>
  <c r="O283" i="8"/>
  <c r="N283" i="8"/>
  <c r="M283" i="8"/>
  <c r="Q282" i="8"/>
  <c r="P282" i="8"/>
  <c r="O282" i="8"/>
  <c r="N282" i="8"/>
  <c r="M282" i="8"/>
  <c r="Q281" i="8"/>
  <c r="P281" i="8"/>
  <c r="O281" i="8"/>
  <c r="N281" i="8"/>
  <c r="M281" i="8"/>
  <c r="Q280" i="8"/>
  <c r="P280" i="8"/>
  <c r="O280" i="8"/>
  <c r="N280" i="8"/>
  <c r="M280" i="8"/>
  <c r="Q277" i="8"/>
  <c r="P277" i="8"/>
  <c r="O277" i="8"/>
  <c r="N277" i="8"/>
  <c r="M277" i="8"/>
  <c r="Q275" i="8"/>
  <c r="P275" i="8"/>
  <c r="O275" i="8"/>
  <c r="N275" i="8"/>
  <c r="M275" i="8"/>
  <c r="Q274" i="8"/>
  <c r="P274" i="8"/>
  <c r="O274" i="8"/>
  <c r="N274" i="8"/>
  <c r="M274" i="8"/>
  <c r="Q273" i="8"/>
  <c r="P273" i="8"/>
  <c r="O273" i="8"/>
  <c r="N273" i="8"/>
  <c r="M273" i="8"/>
  <c r="Q272" i="8"/>
  <c r="P272" i="8"/>
  <c r="O272" i="8"/>
  <c r="N272" i="8"/>
  <c r="M272" i="8"/>
  <c r="Q268" i="8"/>
  <c r="P268" i="8"/>
  <c r="O268" i="8"/>
  <c r="N268" i="8"/>
  <c r="M268" i="8"/>
  <c r="Q267" i="8"/>
  <c r="P267" i="8"/>
  <c r="O267" i="8"/>
  <c r="N267" i="8"/>
  <c r="M267" i="8"/>
  <c r="Q266" i="8"/>
  <c r="P266" i="8"/>
  <c r="O266" i="8"/>
  <c r="N266" i="8"/>
  <c r="M266" i="8"/>
  <c r="Q262" i="8"/>
  <c r="P262" i="8"/>
  <c r="O262" i="8"/>
  <c r="N262" i="8"/>
  <c r="M262" i="8"/>
  <c r="Q261" i="8"/>
  <c r="P261" i="8"/>
  <c r="O261" i="8"/>
  <c r="N261" i="8"/>
  <c r="M261" i="8"/>
  <c r="Q260" i="8"/>
  <c r="P260" i="8"/>
  <c r="O260" i="8"/>
  <c r="N260" i="8"/>
  <c r="M260" i="8"/>
  <c r="Q258" i="8"/>
  <c r="P258" i="8"/>
  <c r="O258" i="8"/>
  <c r="N258" i="8"/>
  <c r="M258" i="8"/>
  <c r="Q257" i="8"/>
  <c r="P257" i="8"/>
  <c r="O257" i="8"/>
  <c r="N257" i="8"/>
  <c r="M257" i="8"/>
  <c r="Q254" i="8"/>
  <c r="P254" i="8"/>
  <c r="O254" i="8"/>
  <c r="N254" i="8"/>
  <c r="M254" i="8"/>
  <c r="Q252" i="8"/>
  <c r="P252" i="8"/>
  <c r="O252" i="8"/>
  <c r="N252" i="8"/>
  <c r="M252" i="8"/>
  <c r="Q251" i="8"/>
  <c r="P251" i="8"/>
  <c r="O251" i="8"/>
  <c r="N251" i="8"/>
  <c r="M251" i="8"/>
  <c r="Q250" i="8"/>
  <c r="P250" i="8"/>
  <c r="O250" i="8"/>
  <c r="N250" i="8"/>
  <c r="M250" i="8"/>
  <c r="Q249" i="8"/>
  <c r="P249" i="8"/>
  <c r="O249" i="8"/>
  <c r="N249" i="8"/>
  <c r="M249" i="8"/>
  <c r="Q248" i="8"/>
  <c r="P248" i="8"/>
  <c r="O248" i="8"/>
  <c r="N248" i="8"/>
  <c r="M248" i="8"/>
  <c r="Q247" i="8"/>
  <c r="P247" i="8"/>
  <c r="O247" i="8"/>
  <c r="N247" i="8"/>
  <c r="M247" i="8"/>
  <c r="Q246" i="8"/>
  <c r="P246" i="8"/>
  <c r="O246" i="8"/>
  <c r="N246" i="8"/>
  <c r="M246" i="8"/>
  <c r="Q243" i="8"/>
  <c r="P243" i="8"/>
  <c r="O243" i="8"/>
  <c r="N243" i="8"/>
  <c r="M243" i="8"/>
  <c r="Q242" i="8"/>
  <c r="P242" i="8"/>
  <c r="O242" i="8"/>
  <c r="N242" i="8"/>
  <c r="M242" i="8"/>
  <c r="Q241" i="8"/>
  <c r="P241" i="8"/>
  <c r="O241" i="8"/>
  <c r="N241" i="8"/>
  <c r="M241" i="8"/>
  <c r="Q240" i="8"/>
  <c r="P240" i="8"/>
  <c r="O240" i="8"/>
  <c r="N240" i="8"/>
  <c r="M240" i="8"/>
  <c r="Q239" i="8"/>
  <c r="P239" i="8"/>
  <c r="O239" i="8"/>
  <c r="N239" i="8"/>
  <c r="M239" i="8"/>
  <c r="Q238" i="8"/>
  <c r="P238" i="8"/>
  <c r="O238" i="8"/>
  <c r="N238" i="8"/>
  <c r="M238" i="8"/>
  <c r="Q236" i="8"/>
  <c r="P236" i="8"/>
  <c r="O236" i="8"/>
  <c r="N236" i="8"/>
  <c r="M236" i="8"/>
  <c r="Q235" i="8"/>
  <c r="P235" i="8"/>
  <c r="O235" i="8"/>
  <c r="N235" i="8"/>
  <c r="M235" i="8"/>
  <c r="Q232" i="8"/>
  <c r="P232" i="8"/>
  <c r="O232" i="8"/>
  <c r="N232" i="8"/>
  <c r="M232" i="8"/>
  <c r="Q231" i="8"/>
  <c r="P231" i="8"/>
  <c r="O231" i="8"/>
  <c r="N231" i="8"/>
  <c r="M231" i="8"/>
  <c r="Q230" i="8"/>
  <c r="P230" i="8"/>
  <c r="O230" i="8"/>
  <c r="N230" i="8"/>
  <c r="M230" i="8"/>
  <c r="Q229" i="8"/>
  <c r="P229" i="8"/>
  <c r="O229" i="8"/>
  <c r="N229" i="8"/>
  <c r="M229" i="8"/>
  <c r="Q228" i="8"/>
  <c r="P228" i="8"/>
  <c r="O228" i="8"/>
  <c r="N228" i="8"/>
  <c r="M228" i="8"/>
  <c r="Q227" i="8"/>
  <c r="P227" i="8"/>
  <c r="O227" i="8"/>
  <c r="N227" i="8"/>
  <c r="M227" i="8"/>
  <c r="Q226" i="8"/>
  <c r="P226" i="8"/>
  <c r="O226" i="8"/>
  <c r="N226" i="8"/>
  <c r="M226" i="8"/>
  <c r="Q225" i="8"/>
  <c r="P225" i="8"/>
  <c r="O225" i="8"/>
  <c r="N225" i="8"/>
  <c r="M225" i="8"/>
  <c r="Q222" i="8"/>
  <c r="P222" i="8"/>
  <c r="O222" i="8"/>
  <c r="N222" i="8"/>
  <c r="M222" i="8"/>
  <c r="Q221" i="8"/>
  <c r="P221" i="8"/>
  <c r="O221" i="8"/>
  <c r="N221" i="8"/>
  <c r="M221" i="8"/>
  <c r="Q220" i="8"/>
  <c r="P220" i="8"/>
  <c r="O220" i="8"/>
  <c r="N220" i="8"/>
  <c r="M220" i="8"/>
  <c r="Q219" i="8"/>
  <c r="P219" i="8"/>
  <c r="O219" i="8"/>
  <c r="N219" i="8"/>
  <c r="M219" i="8"/>
  <c r="Q217" i="8"/>
  <c r="P217" i="8"/>
  <c r="O217" i="8"/>
  <c r="N217" i="8"/>
  <c r="M217" i="8"/>
  <c r="Q216" i="8"/>
  <c r="P216" i="8"/>
  <c r="O216" i="8"/>
  <c r="N216" i="8"/>
  <c r="M216" i="8"/>
  <c r="Q215" i="8"/>
  <c r="P215" i="8"/>
  <c r="O215" i="8"/>
  <c r="N215" i="8"/>
  <c r="M215" i="8"/>
  <c r="Q214" i="8"/>
  <c r="P214" i="8"/>
  <c r="O214" i="8"/>
  <c r="N214" i="8"/>
  <c r="M214" i="8"/>
  <c r="Q212" i="8"/>
  <c r="P212" i="8"/>
  <c r="O212" i="8"/>
  <c r="N212" i="8"/>
  <c r="M212" i="8"/>
  <c r="Q210" i="8"/>
  <c r="P210" i="8"/>
  <c r="O210" i="8"/>
  <c r="N210" i="8"/>
  <c r="M210" i="8"/>
  <c r="Q209" i="8"/>
  <c r="P209" i="8"/>
  <c r="O209" i="8"/>
  <c r="N209" i="8"/>
  <c r="M209" i="8"/>
  <c r="Q208" i="8"/>
  <c r="P208" i="8"/>
  <c r="O208" i="8"/>
  <c r="N208" i="8"/>
  <c r="M208" i="8"/>
  <c r="Q207" i="8"/>
  <c r="P207" i="8"/>
  <c r="O207" i="8"/>
  <c r="N207" i="8"/>
  <c r="M207" i="8"/>
  <c r="Q206" i="8"/>
  <c r="P206" i="8"/>
  <c r="O206" i="8"/>
  <c r="N206" i="8"/>
  <c r="M206" i="8"/>
  <c r="Q205" i="8"/>
  <c r="P205" i="8"/>
  <c r="O205" i="8"/>
  <c r="N205" i="8"/>
  <c r="M205" i="8"/>
  <c r="Q202" i="8"/>
  <c r="P202" i="8"/>
  <c r="O202" i="8"/>
  <c r="N202" i="8"/>
  <c r="M202" i="8"/>
  <c r="Q201" i="8"/>
  <c r="P201" i="8"/>
  <c r="O201" i="8"/>
  <c r="N201" i="8"/>
  <c r="M201" i="8"/>
  <c r="Q200" i="8"/>
  <c r="P200" i="8"/>
  <c r="O200" i="8"/>
  <c r="N200" i="8"/>
  <c r="M200" i="8"/>
  <c r="Q198" i="8"/>
  <c r="P198" i="8"/>
  <c r="O198" i="8"/>
  <c r="N198" i="8"/>
  <c r="M198" i="8"/>
  <c r="Q197" i="8"/>
  <c r="P197" i="8"/>
  <c r="O197" i="8"/>
  <c r="N197" i="8"/>
  <c r="M197" i="8"/>
  <c r="Q196" i="8"/>
  <c r="P196" i="8"/>
  <c r="O196" i="8"/>
  <c r="N196" i="8"/>
  <c r="M196" i="8"/>
  <c r="Q194" i="8"/>
  <c r="P194" i="8"/>
  <c r="O194" i="8"/>
  <c r="N194" i="8"/>
  <c r="M194" i="8"/>
  <c r="Q193" i="8"/>
  <c r="P193" i="8"/>
  <c r="O193" i="8"/>
  <c r="N193" i="8"/>
  <c r="M193" i="8"/>
  <c r="Q192" i="8"/>
  <c r="P192" i="8"/>
  <c r="O192" i="8"/>
  <c r="N192" i="8"/>
  <c r="M192" i="8"/>
  <c r="Q190" i="8"/>
  <c r="P190" i="8"/>
  <c r="O190" i="8"/>
  <c r="N190" i="8"/>
  <c r="M190" i="8"/>
  <c r="Q189" i="8"/>
  <c r="P189" i="8"/>
  <c r="O189" i="8"/>
  <c r="N189" i="8"/>
  <c r="M189" i="8"/>
  <c r="Q188" i="8"/>
  <c r="P188" i="8"/>
  <c r="O188" i="8"/>
  <c r="N188" i="8"/>
  <c r="M188" i="8"/>
  <c r="Q187" i="8"/>
  <c r="P187" i="8"/>
  <c r="O187" i="8"/>
  <c r="N187" i="8"/>
  <c r="M187" i="8"/>
  <c r="Q186" i="8"/>
  <c r="P186" i="8"/>
  <c r="O186" i="8"/>
  <c r="N186" i="8"/>
  <c r="M186" i="8"/>
  <c r="Q185" i="8"/>
  <c r="P185" i="8"/>
  <c r="O185" i="8"/>
  <c r="N185" i="8"/>
  <c r="M185" i="8"/>
  <c r="Q182" i="8"/>
  <c r="P182" i="8"/>
  <c r="O182" i="8"/>
  <c r="N182" i="8"/>
  <c r="M182" i="8"/>
  <c r="Q181" i="8"/>
  <c r="P181" i="8"/>
  <c r="O181" i="8"/>
  <c r="N181" i="8"/>
  <c r="M181" i="8"/>
  <c r="Q180" i="8"/>
  <c r="P180" i="8"/>
  <c r="O180" i="8"/>
  <c r="N180" i="8"/>
  <c r="M180" i="8"/>
  <c r="Q179" i="8"/>
  <c r="P179" i="8"/>
  <c r="O179" i="8"/>
  <c r="N179" i="8"/>
  <c r="M179" i="8"/>
  <c r="Q178" i="8"/>
  <c r="P178" i="8"/>
  <c r="O178" i="8"/>
  <c r="N178" i="8"/>
  <c r="M178" i="8"/>
  <c r="Q176" i="8"/>
  <c r="P176" i="8"/>
  <c r="O176" i="8"/>
  <c r="N176" i="8"/>
  <c r="M176" i="8"/>
  <c r="Q175" i="8"/>
  <c r="P175" i="8"/>
  <c r="O175" i="8"/>
  <c r="N175" i="8"/>
  <c r="M175" i="8"/>
  <c r="Q174" i="8"/>
  <c r="P174" i="8"/>
  <c r="O174" i="8"/>
  <c r="N174" i="8"/>
  <c r="M174" i="8"/>
  <c r="Q173" i="8"/>
  <c r="P173" i="8"/>
  <c r="O173" i="8"/>
  <c r="N173" i="8"/>
  <c r="M173" i="8"/>
  <c r="Q172" i="8"/>
  <c r="P172" i="8"/>
  <c r="O172" i="8"/>
  <c r="N172" i="8"/>
  <c r="M172" i="8"/>
  <c r="Q171" i="8"/>
  <c r="P171" i="8"/>
  <c r="O171" i="8"/>
  <c r="N171" i="8"/>
  <c r="M171" i="8"/>
  <c r="Q170" i="8"/>
  <c r="P170" i="8"/>
  <c r="O170" i="8"/>
  <c r="N170" i="8"/>
  <c r="M170" i="8"/>
  <c r="Q169" i="8"/>
  <c r="P169" i="8"/>
  <c r="O169" i="8"/>
  <c r="N169" i="8"/>
  <c r="M169" i="8"/>
  <c r="Q166" i="8"/>
  <c r="P166" i="8"/>
  <c r="O166" i="8"/>
  <c r="N166" i="8"/>
  <c r="M166" i="8"/>
  <c r="Q165" i="8"/>
  <c r="P165" i="8"/>
  <c r="O165" i="8"/>
  <c r="N165" i="8"/>
  <c r="M165" i="8"/>
  <c r="Q164" i="8"/>
  <c r="P164" i="8"/>
  <c r="O164" i="8"/>
  <c r="N164" i="8"/>
  <c r="M164" i="8"/>
  <c r="Q163" i="8"/>
  <c r="P163" i="8"/>
  <c r="O163" i="8"/>
  <c r="N163" i="8"/>
  <c r="M163" i="8"/>
  <c r="Q162" i="8"/>
  <c r="P162" i="8"/>
  <c r="O162" i="8"/>
  <c r="N162" i="8"/>
  <c r="M162" i="8"/>
  <c r="Q161" i="8"/>
  <c r="P161" i="8"/>
  <c r="O161" i="8"/>
  <c r="N161" i="8"/>
  <c r="M161" i="8"/>
  <c r="Q160" i="8"/>
  <c r="P160" i="8"/>
  <c r="O160" i="8"/>
  <c r="N160" i="8"/>
  <c r="M160" i="8"/>
  <c r="Q159" i="8"/>
  <c r="P159" i="8"/>
  <c r="O159" i="8"/>
  <c r="N159" i="8"/>
  <c r="M159" i="8"/>
  <c r="Q158" i="8"/>
  <c r="P158" i="8"/>
  <c r="O158" i="8"/>
  <c r="N158" i="8"/>
  <c r="M158" i="8"/>
  <c r="Q157" i="8"/>
  <c r="P157" i="8"/>
  <c r="O157" i="8"/>
  <c r="N157" i="8"/>
  <c r="M157" i="8"/>
  <c r="Q156" i="8"/>
  <c r="P156" i="8"/>
  <c r="O156" i="8"/>
  <c r="N156" i="8"/>
  <c r="M156" i="8"/>
  <c r="Q155" i="8"/>
  <c r="P155" i="8"/>
  <c r="O155" i="8"/>
  <c r="N155" i="8"/>
  <c r="M155" i="8"/>
  <c r="Q154" i="8"/>
  <c r="P154" i="8"/>
  <c r="O154" i="8"/>
  <c r="N154" i="8"/>
  <c r="M154" i="8"/>
  <c r="Q153" i="8"/>
  <c r="P153" i="8"/>
  <c r="O153" i="8"/>
  <c r="N153" i="8"/>
  <c r="M153" i="8"/>
  <c r="Q152" i="8"/>
  <c r="P152" i="8"/>
  <c r="O152" i="8"/>
  <c r="N152" i="8"/>
  <c r="M152" i="8"/>
  <c r="Q151" i="8"/>
  <c r="P151" i="8"/>
  <c r="O151" i="8"/>
  <c r="N151" i="8"/>
  <c r="M151" i="8"/>
  <c r="Q148" i="8"/>
  <c r="P148" i="8"/>
  <c r="O148" i="8"/>
  <c r="N148" i="8"/>
  <c r="M148" i="8"/>
  <c r="Q147" i="8"/>
  <c r="P147" i="8"/>
  <c r="O147" i="8"/>
  <c r="N147" i="8"/>
  <c r="M147" i="8"/>
  <c r="Q146" i="8"/>
  <c r="P146" i="8"/>
  <c r="O146" i="8"/>
  <c r="N146" i="8"/>
  <c r="M146" i="8"/>
  <c r="Q145" i="8"/>
  <c r="P145" i="8"/>
  <c r="O145" i="8"/>
  <c r="N145" i="8"/>
  <c r="M145" i="8"/>
  <c r="Q144" i="8"/>
  <c r="P144" i="8"/>
  <c r="O144" i="8"/>
  <c r="N144" i="8"/>
  <c r="M144" i="8"/>
  <c r="Q142" i="8"/>
  <c r="P142" i="8"/>
  <c r="O142" i="8"/>
  <c r="N142" i="8"/>
  <c r="M142" i="8"/>
  <c r="Q141" i="8"/>
  <c r="P141" i="8"/>
  <c r="O141" i="8"/>
  <c r="N141" i="8"/>
  <c r="M141" i="8"/>
  <c r="Q140" i="8"/>
  <c r="P140" i="8"/>
  <c r="O140" i="8"/>
  <c r="N140" i="8"/>
  <c r="M140" i="8"/>
  <c r="Q138" i="8"/>
  <c r="P138" i="8"/>
  <c r="O138" i="8"/>
  <c r="N138" i="8"/>
  <c r="M138" i="8"/>
  <c r="Q137" i="8"/>
  <c r="P137" i="8"/>
  <c r="O137" i="8"/>
  <c r="N137" i="8"/>
  <c r="M137" i="8"/>
  <c r="Q135" i="8"/>
  <c r="P135" i="8"/>
  <c r="O135" i="8"/>
  <c r="N135" i="8"/>
  <c r="M135" i="8"/>
  <c r="Q133" i="8"/>
  <c r="P133" i="8"/>
  <c r="O133" i="8"/>
  <c r="N133" i="8"/>
  <c r="M133" i="8"/>
  <c r="Q132" i="8"/>
  <c r="P132" i="8"/>
  <c r="O132" i="8"/>
  <c r="N132" i="8"/>
  <c r="M132" i="8"/>
  <c r="Q131" i="8"/>
  <c r="P131" i="8"/>
  <c r="O131" i="8"/>
  <c r="N131" i="8"/>
  <c r="M131" i="8"/>
  <c r="Q130" i="8"/>
  <c r="P130" i="8"/>
  <c r="O130" i="8"/>
  <c r="N130" i="8"/>
  <c r="M130" i="8"/>
  <c r="Q129" i="8"/>
  <c r="P129" i="8"/>
  <c r="O129" i="8"/>
  <c r="N129" i="8"/>
  <c r="M129" i="8"/>
  <c r="Q127" i="8"/>
  <c r="P127" i="8"/>
  <c r="O127" i="8"/>
  <c r="N127" i="8"/>
  <c r="M127" i="8"/>
  <c r="Q126" i="8"/>
  <c r="P126" i="8"/>
  <c r="O126" i="8"/>
  <c r="N126" i="8"/>
  <c r="M126" i="8"/>
  <c r="Q125" i="8"/>
  <c r="P125" i="8"/>
  <c r="O125" i="8"/>
  <c r="N125" i="8"/>
  <c r="M125" i="8"/>
  <c r="Q124" i="8"/>
  <c r="P124" i="8"/>
  <c r="O124" i="8"/>
  <c r="N124" i="8"/>
  <c r="M124" i="8"/>
  <c r="Q123" i="8"/>
  <c r="P123" i="8"/>
  <c r="O123" i="8"/>
  <c r="N123" i="8"/>
  <c r="M123" i="8"/>
  <c r="Q122" i="8"/>
  <c r="P122" i="8"/>
  <c r="O122" i="8"/>
  <c r="N122" i="8"/>
  <c r="M122" i="8"/>
  <c r="Q121" i="8"/>
  <c r="P121" i="8"/>
  <c r="O121" i="8"/>
  <c r="N121" i="8"/>
  <c r="M121" i="8"/>
  <c r="Q119" i="8"/>
  <c r="P119" i="8"/>
  <c r="O119" i="8"/>
  <c r="N119" i="8"/>
  <c r="M119" i="8"/>
  <c r="Q118" i="8"/>
  <c r="P118" i="8"/>
  <c r="O118" i="8"/>
  <c r="N118" i="8"/>
  <c r="M118" i="8"/>
  <c r="Q117" i="8"/>
  <c r="P117" i="8"/>
  <c r="O117" i="8"/>
  <c r="N117" i="8"/>
  <c r="M117" i="8"/>
  <c r="Q116" i="8"/>
  <c r="P116" i="8"/>
  <c r="O116" i="8"/>
  <c r="N116" i="8"/>
  <c r="M116" i="8"/>
  <c r="Q115" i="8"/>
  <c r="P115" i="8"/>
  <c r="O115" i="8"/>
  <c r="N115" i="8"/>
  <c r="M115" i="8"/>
  <c r="Q114" i="8"/>
  <c r="P114" i="8"/>
  <c r="O114" i="8"/>
  <c r="N114" i="8"/>
  <c r="M114" i="8"/>
  <c r="Q112" i="8"/>
  <c r="P112" i="8"/>
  <c r="O112" i="8"/>
  <c r="N112" i="8"/>
  <c r="M112" i="8"/>
  <c r="Q111" i="8"/>
  <c r="P111" i="8"/>
  <c r="O111" i="8"/>
  <c r="N111" i="8"/>
  <c r="M111" i="8"/>
  <c r="Q110" i="8"/>
  <c r="P110" i="8"/>
  <c r="O110" i="8"/>
  <c r="N110" i="8"/>
  <c r="M110" i="8"/>
  <c r="Q109" i="8"/>
  <c r="P109" i="8"/>
  <c r="O109" i="8"/>
  <c r="N109" i="8"/>
  <c r="M109" i="8"/>
  <c r="Q106" i="8"/>
  <c r="P106" i="8"/>
  <c r="O106" i="8"/>
  <c r="N106" i="8"/>
  <c r="M106" i="8"/>
  <c r="Q105" i="8"/>
  <c r="P105" i="8"/>
  <c r="O105" i="8"/>
  <c r="N105" i="8"/>
  <c r="M105" i="8"/>
  <c r="Q104" i="8"/>
  <c r="P104" i="8"/>
  <c r="O104" i="8"/>
  <c r="N104" i="8"/>
  <c r="M104" i="8"/>
  <c r="Q103" i="8"/>
  <c r="P103" i="8"/>
  <c r="O103" i="8"/>
  <c r="N103" i="8"/>
  <c r="M103" i="8"/>
  <c r="Q100" i="8"/>
  <c r="P100" i="8"/>
  <c r="O100" i="8"/>
  <c r="N100" i="8"/>
  <c r="M100" i="8"/>
  <c r="Q99" i="8"/>
  <c r="P99" i="8"/>
  <c r="O99" i="8"/>
  <c r="N99" i="8"/>
  <c r="M99" i="8"/>
  <c r="Q98" i="8"/>
  <c r="P98" i="8"/>
  <c r="O98" i="8"/>
  <c r="N98" i="8"/>
  <c r="M98" i="8"/>
  <c r="Q97" i="8"/>
  <c r="P97" i="8"/>
  <c r="O97" i="8"/>
  <c r="N97" i="8"/>
  <c r="M97" i="8"/>
  <c r="Q96" i="8"/>
  <c r="P96" i="8"/>
  <c r="O96" i="8"/>
  <c r="N96" i="8"/>
  <c r="M96" i="8"/>
  <c r="Q95" i="8"/>
  <c r="P95" i="8"/>
  <c r="O95" i="8"/>
  <c r="N95" i="8"/>
  <c r="M95" i="8"/>
  <c r="Q94" i="8"/>
  <c r="P94" i="8"/>
  <c r="O94" i="8"/>
  <c r="N94" i="8"/>
  <c r="M94" i="8"/>
  <c r="Q93" i="8"/>
  <c r="P93" i="8"/>
  <c r="O93" i="8"/>
  <c r="N93" i="8"/>
  <c r="M93" i="8"/>
  <c r="Q91" i="8"/>
  <c r="P91" i="8"/>
  <c r="O91" i="8"/>
  <c r="N91" i="8"/>
  <c r="M91" i="8"/>
  <c r="Q90" i="8"/>
  <c r="P90" i="8"/>
  <c r="O90" i="8"/>
  <c r="N90" i="8"/>
  <c r="M90" i="8"/>
  <c r="Q89" i="8"/>
  <c r="P89" i="8"/>
  <c r="O89" i="8"/>
  <c r="N89" i="8"/>
  <c r="M89" i="8"/>
  <c r="Q88" i="8"/>
  <c r="P88" i="8"/>
  <c r="O88" i="8"/>
  <c r="N88" i="8"/>
  <c r="M88" i="8"/>
  <c r="Q87" i="8"/>
  <c r="P87" i="8"/>
  <c r="O87" i="8"/>
  <c r="N87" i="8"/>
  <c r="M87" i="8"/>
  <c r="Q86" i="8"/>
  <c r="P86" i="8"/>
  <c r="O86" i="8"/>
  <c r="N86" i="8"/>
  <c r="M86" i="8"/>
  <c r="Q84" i="8"/>
  <c r="P84" i="8"/>
  <c r="O84" i="8"/>
  <c r="N84" i="8"/>
  <c r="M84" i="8"/>
  <c r="Q83" i="8"/>
  <c r="P83" i="8"/>
  <c r="O83" i="8"/>
  <c r="N83" i="8"/>
  <c r="M83" i="8"/>
  <c r="Q82" i="8"/>
  <c r="P82" i="8"/>
  <c r="O82" i="8"/>
  <c r="N82" i="8"/>
  <c r="M82" i="8"/>
  <c r="Q81" i="8"/>
  <c r="P81" i="8"/>
  <c r="O81" i="8"/>
  <c r="N81" i="8"/>
  <c r="M81" i="8"/>
  <c r="Q80" i="8"/>
  <c r="P80" i="8"/>
  <c r="O80" i="8"/>
  <c r="N80" i="8"/>
  <c r="M80" i="8"/>
  <c r="Q79" i="8"/>
  <c r="P79" i="8"/>
  <c r="O79" i="8"/>
  <c r="N79" i="8"/>
  <c r="M79" i="8"/>
  <c r="Q78" i="8"/>
  <c r="P78" i="8"/>
  <c r="O78" i="8"/>
  <c r="N78" i="8"/>
  <c r="M78" i="8"/>
  <c r="Q76" i="8"/>
  <c r="P76" i="8"/>
  <c r="O76" i="8"/>
  <c r="N76" i="8"/>
  <c r="M76" i="8"/>
  <c r="Q75" i="8"/>
  <c r="P75" i="8"/>
  <c r="O75" i="8"/>
  <c r="N75" i="8"/>
  <c r="M75" i="8"/>
  <c r="Q74" i="8"/>
  <c r="P74" i="8"/>
  <c r="O74" i="8"/>
  <c r="N74" i="8"/>
  <c r="M74" i="8"/>
  <c r="Q73" i="8"/>
  <c r="P73" i="8"/>
  <c r="O73" i="8"/>
  <c r="N73" i="8"/>
  <c r="M73" i="8"/>
  <c r="Q72" i="8"/>
  <c r="P72" i="8"/>
  <c r="O72" i="8"/>
  <c r="N72" i="8"/>
  <c r="M72" i="8"/>
  <c r="Q70" i="8"/>
  <c r="P70" i="8"/>
  <c r="O70" i="8"/>
  <c r="N70" i="8"/>
  <c r="M70" i="8"/>
  <c r="Q69" i="8"/>
  <c r="P69" i="8"/>
  <c r="O69" i="8"/>
  <c r="N69" i="8"/>
  <c r="M69" i="8"/>
  <c r="Q68" i="8"/>
  <c r="P68" i="8"/>
  <c r="O68" i="8"/>
  <c r="N68" i="8"/>
  <c r="M68" i="8"/>
  <c r="Q67" i="8"/>
  <c r="P67" i="8"/>
  <c r="O67" i="8"/>
  <c r="N67" i="8"/>
  <c r="M67" i="8"/>
  <c r="Q66" i="8"/>
  <c r="P66" i="8"/>
  <c r="O66" i="8"/>
  <c r="N66" i="8"/>
  <c r="M66" i="8"/>
  <c r="Q64" i="8"/>
  <c r="P64" i="8"/>
  <c r="O64" i="8"/>
  <c r="N64" i="8"/>
  <c r="M64" i="8"/>
  <c r="Q63" i="8"/>
  <c r="P63" i="8"/>
  <c r="O63" i="8"/>
  <c r="N63" i="8"/>
  <c r="M63" i="8"/>
  <c r="Q62" i="8"/>
  <c r="P62" i="8"/>
  <c r="O62" i="8"/>
  <c r="N62" i="8"/>
  <c r="M62" i="8"/>
  <c r="Q61" i="8"/>
  <c r="P61" i="8"/>
  <c r="O61" i="8"/>
  <c r="N61" i="8"/>
  <c r="M61" i="8"/>
  <c r="Q60" i="8"/>
  <c r="P60" i="8"/>
  <c r="O60" i="8"/>
  <c r="N60" i="8"/>
  <c r="M60" i="8"/>
  <c r="Q59" i="8"/>
  <c r="P59" i="8"/>
  <c r="O59" i="8"/>
  <c r="N59" i="8"/>
  <c r="M59" i="8"/>
  <c r="Q58" i="8"/>
  <c r="P58" i="8"/>
  <c r="O58" i="8"/>
  <c r="N58" i="8"/>
  <c r="M58" i="8"/>
  <c r="Q57" i="8"/>
  <c r="P57" i="8"/>
  <c r="O57" i="8"/>
  <c r="N57" i="8"/>
  <c r="M57" i="8"/>
  <c r="Q56" i="8"/>
  <c r="P56" i="8"/>
  <c r="O56" i="8"/>
  <c r="N56" i="8"/>
  <c r="M56" i="8"/>
  <c r="Q55" i="8"/>
  <c r="P55" i="8"/>
  <c r="O55" i="8"/>
  <c r="N55" i="8"/>
  <c r="M55" i="8"/>
  <c r="Q54" i="8"/>
  <c r="P54" i="8"/>
  <c r="O54" i="8"/>
  <c r="N54" i="8"/>
  <c r="M54" i="8"/>
  <c r="Q53" i="8"/>
  <c r="P53" i="8"/>
  <c r="O53" i="8"/>
  <c r="N53" i="8"/>
  <c r="M53" i="8"/>
  <c r="Q52" i="8"/>
  <c r="P52" i="8"/>
  <c r="O52" i="8"/>
  <c r="N52" i="8"/>
  <c r="M52" i="8"/>
  <c r="Q50" i="8"/>
  <c r="P50" i="8"/>
  <c r="O50" i="8"/>
  <c r="N50" i="8"/>
  <c r="M50" i="8"/>
  <c r="Q49" i="8"/>
  <c r="P49" i="8"/>
  <c r="O49" i="8"/>
  <c r="N49" i="8"/>
  <c r="M49" i="8"/>
  <c r="Q48" i="8"/>
  <c r="P48" i="8"/>
  <c r="O48" i="8"/>
  <c r="N48" i="8"/>
  <c r="M48" i="8"/>
  <c r="Q47" i="8"/>
  <c r="P47" i="8"/>
  <c r="O47" i="8"/>
  <c r="N47" i="8"/>
  <c r="M47" i="8"/>
  <c r="Q46" i="8"/>
  <c r="P46" i="8"/>
  <c r="O46" i="8"/>
  <c r="N46" i="8"/>
  <c r="M46" i="8"/>
  <c r="Q45" i="8"/>
  <c r="P45" i="8"/>
  <c r="O45" i="8"/>
  <c r="N45" i="8"/>
  <c r="M45" i="8"/>
  <c r="Q44" i="8"/>
  <c r="P44" i="8"/>
  <c r="O44" i="8"/>
  <c r="N44" i="8"/>
  <c r="M44" i="8"/>
  <c r="Q43" i="8"/>
  <c r="P43" i="8"/>
  <c r="O43" i="8"/>
  <c r="N43" i="8"/>
  <c r="M43" i="8"/>
  <c r="Q42" i="8"/>
  <c r="P42" i="8"/>
  <c r="O42" i="8"/>
  <c r="N42" i="8"/>
  <c r="M42" i="8"/>
  <c r="Q40" i="8"/>
  <c r="P40" i="8"/>
  <c r="O40" i="8"/>
  <c r="N40" i="8"/>
  <c r="M40" i="8"/>
  <c r="Q39" i="8"/>
  <c r="O39" i="8"/>
  <c r="N39" i="8"/>
  <c r="M39" i="8"/>
  <c r="Q38" i="8"/>
  <c r="O38" i="8"/>
  <c r="N38" i="8"/>
  <c r="M38" i="8"/>
  <c r="N37" i="8"/>
  <c r="M37" i="8"/>
  <c r="P36" i="8"/>
  <c r="O36" i="8"/>
  <c r="N36" i="8"/>
  <c r="M36" i="8"/>
  <c r="P35" i="8"/>
  <c r="O35" i="8"/>
  <c r="N35" i="8"/>
  <c r="M35" i="8"/>
  <c r="Q34" i="8"/>
  <c r="P34" i="8"/>
  <c r="O34" i="8"/>
  <c r="N34" i="8"/>
  <c r="M34" i="8"/>
  <c r="Q33" i="8"/>
  <c r="P33" i="8"/>
  <c r="O33" i="8"/>
  <c r="N33" i="8"/>
  <c r="M33" i="8"/>
  <c r="Q32" i="8"/>
  <c r="P32" i="8"/>
  <c r="O32" i="8"/>
  <c r="N32" i="8"/>
  <c r="M32" i="8"/>
  <c r="P31" i="8"/>
  <c r="N31" i="8"/>
  <c r="M31" i="8"/>
  <c r="Q30" i="8"/>
  <c r="P30" i="8"/>
  <c r="O30" i="8"/>
  <c r="N30" i="8"/>
  <c r="M30" i="8"/>
  <c r="Q29" i="8"/>
  <c r="P29" i="8"/>
  <c r="O29" i="8"/>
  <c r="N29" i="8"/>
  <c r="M29" i="8"/>
  <c r="Q28" i="8"/>
  <c r="P28" i="8"/>
  <c r="O28" i="8"/>
  <c r="N28" i="8"/>
  <c r="M28" i="8"/>
  <c r="Q27" i="8"/>
  <c r="P27" i="8"/>
  <c r="O27" i="8"/>
  <c r="N27" i="8"/>
  <c r="M27" i="8"/>
  <c r="Q26" i="8"/>
  <c r="P26" i="8"/>
  <c r="O26" i="8"/>
  <c r="F176" i="23" s="1" a="1"/>
  <c r="F176" i="23" s="1"/>
  <c r="N26" i="8"/>
  <c r="M26" i="8"/>
  <c r="P25" i="8"/>
  <c r="O25" i="8"/>
  <c r="N25" i="8"/>
  <c r="M25" i="8"/>
  <c r="P24" i="8"/>
  <c r="N24" i="8"/>
  <c r="M24" i="8"/>
  <c r="Q23" i="8"/>
  <c r="P23" i="8"/>
  <c r="O23" i="8"/>
  <c r="N23" i="8"/>
  <c r="M23" i="8"/>
  <c r="Q21" i="8"/>
  <c r="P21" i="8"/>
  <c r="O21" i="8"/>
  <c r="N21" i="8"/>
  <c r="M21" i="8"/>
  <c r="Q20" i="8"/>
  <c r="P20" i="8"/>
  <c r="O20" i="8"/>
  <c r="N20" i="8"/>
  <c r="M20" i="8"/>
  <c r="Q19" i="8"/>
  <c r="P19" i="8"/>
  <c r="O19" i="8"/>
  <c r="N19" i="8"/>
  <c r="M19" i="8"/>
  <c r="Q18" i="8"/>
  <c r="P18" i="8"/>
  <c r="O18" i="8"/>
  <c r="N18" i="8"/>
  <c r="M18" i="8"/>
  <c r="Q17" i="8"/>
  <c r="P17" i="8"/>
  <c r="O17" i="8"/>
  <c r="N17" i="8"/>
  <c r="M17" i="8"/>
  <c r="Q16" i="8"/>
  <c r="P16" i="8"/>
  <c r="O16" i="8"/>
  <c r="N16" i="8"/>
  <c r="M16" i="8"/>
  <c r="Q15" i="8"/>
  <c r="P15" i="8"/>
  <c r="O15" i="8"/>
  <c r="N15" i="8"/>
  <c r="M15" i="8"/>
  <c r="Q14" i="8"/>
  <c r="P14" i="8"/>
  <c r="O14" i="8"/>
  <c r="N14" i="8"/>
  <c r="M14" i="8"/>
  <c r="Q12" i="8"/>
  <c r="P12" i="8"/>
  <c r="O12" i="8"/>
  <c r="N12" i="8"/>
  <c r="M12" i="8"/>
  <c r="BA11" i="11" l="1"/>
  <c r="AZ11" i="11"/>
  <c r="AY11" i="11"/>
  <c r="AX11" i="11"/>
  <c r="AW11" i="11"/>
  <c r="AV11" i="11"/>
  <c r="AU11" i="11"/>
  <c r="AT11" i="11"/>
  <c r="AS11" i="11"/>
  <c r="C31" i="11" a="1"/>
  <c r="C31" i="11" s="1"/>
  <c r="BA31" i="11" s="1"/>
  <c r="C19" i="11" a="1"/>
  <c r="C19" i="11" s="1"/>
  <c r="BA19" i="11" s="1"/>
  <c r="C34" i="11" a="1"/>
  <c r="C34" i="11" s="1"/>
  <c r="BA34" i="11" s="1"/>
  <c r="C30" i="11" a="1"/>
  <c r="C30" i="11" s="1"/>
  <c r="C26" i="11" a="1"/>
  <c r="C26" i="11" s="1"/>
  <c r="BA26" i="11" s="1"/>
  <c r="C22" i="11" a="1"/>
  <c r="C22" i="11" s="1"/>
  <c r="BA22" i="11" s="1"/>
  <c r="C18" i="11" a="1"/>
  <c r="C18" i="11" s="1"/>
  <c r="BA18" i="11" s="1"/>
  <c r="C14" i="11" a="1"/>
  <c r="C14" i="11" s="1"/>
  <c r="BA14" i="11" s="1"/>
  <c r="C27" i="11" a="1"/>
  <c r="C27" i="11" s="1"/>
  <c r="BA27" i="11" s="1"/>
  <c r="C15" i="11" a="1"/>
  <c r="C15" i="11" s="1"/>
  <c r="BA15" i="11" s="1"/>
  <c r="C23" i="11" a="1"/>
  <c r="C23" i="11" s="1"/>
  <c r="BA23" i="11" s="1"/>
  <c r="C33" i="11" a="1"/>
  <c r="C33" i="11" s="1"/>
  <c r="BA33" i="11" s="1"/>
  <c r="C29" i="11" a="1"/>
  <c r="C29" i="11" s="1"/>
  <c r="BA29" i="11" s="1"/>
  <c r="C25" i="11" a="1"/>
  <c r="C25" i="11" s="1"/>
  <c r="BA25" i="11" s="1"/>
  <c r="C21" i="11" a="1"/>
  <c r="C21" i="11" s="1"/>
  <c r="C17" i="11" a="1"/>
  <c r="C17" i="11" s="1"/>
  <c r="C13" i="11" a="1"/>
  <c r="C13" i="11" s="1"/>
  <c r="BA13" i="11" s="1"/>
  <c r="C32" i="11" a="1"/>
  <c r="C32" i="11" s="1"/>
  <c r="BA32" i="11" s="1"/>
  <c r="C28" i="11" a="1"/>
  <c r="C28" i="11" s="1"/>
  <c r="BA28" i="11" s="1"/>
  <c r="C24" i="11" a="1"/>
  <c r="C24" i="11" s="1"/>
  <c r="BA24" i="11" s="1"/>
  <c r="C20" i="11" a="1"/>
  <c r="C20" i="11" s="1"/>
  <c r="BA20" i="11" s="1"/>
  <c r="C16" i="11" a="1"/>
  <c r="C16" i="11" s="1"/>
  <c r="BA16" i="11" s="1"/>
  <c r="C12" i="11" a="1"/>
  <c r="C12" i="11" s="1"/>
  <c r="BA12" i="11" s="1"/>
  <c r="D11" i="11" a="1"/>
  <c r="D11" i="11" s="1"/>
  <c r="AA11" i="11" s="1" a="1"/>
  <c r="AA11" i="11" s="1"/>
  <c r="D20" i="11" a="1"/>
  <c r="D20" i="11" s="1"/>
  <c r="AA20" i="11" s="1" a="1"/>
  <c r="AA20" i="11" s="1"/>
  <c r="D18" i="11" a="1"/>
  <c r="D18" i="11" s="1"/>
  <c r="AA18" i="11" s="1" a="1"/>
  <c r="AA18" i="11" s="1"/>
  <c r="D33" i="11" a="1"/>
  <c r="D33" i="11" s="1"/>
  <c r="AA33" i="11" s="1" a="1"/>
  <c r="AA33" i="11" s="1"/>
  <c r="D31" i="11" a="1"/>
  <c r="D31" i="11" s="1"/>
  <c r="AA31" i="11" s="1" a="1"/>
  <c r="AA31" i="11" s="1"/>
  <c r="D17" i="11" a="1"/>
  <c r="D17" i="11" s="1"/>
  <c r="AA17" i="11" s="1" a="1"/>
  <c r="AA17" i="11" s="1"/>
  <c r="P10" i="11"/>
  <c r="D26" i="11" a="1"/>
  <c r="D26" i="11" s="1"/>
  <c r="AA26" i="11" s="1" a="1"/>
  <c r="AA26" i="11" s="1"/>
  <c r="D16" i="11" a="1"/>
  <c r="D16" i="11" s="1"/>
  <c r="AA16" i="11" s="1" a="1"/>
  <c r="AA16" i="11" s="1"/>
  <c r="D25" i="11" a="1"/>
  <c r="D25" i="11" s="1"/>
  <c r="AA25" i="11" s="1" a="1"/>
  <c r="AA25" i="11" s="1"/>
  <c r="D15" i="11" a="1"/>
  <c r="D15" i="11" s="1"/>
  <c r="AA15" i="11" s="1" a="1"/>
  <c r="AA15" i="11" s="1"/>
  <c r="D24" i="11" a="1"/>
  <c r="D24" i="11" s="1"/>
  <c r="AA24" i="11" s="1" a="1"/>
  <c r="AA24" i="11" s="1"/>
  <c r="D13" i="11" a="1"/>
  <c r="D13" i="11" s="1"/>
  <c r="AA13" i="11" s="1" a="1"/>
  <c r="AA13" i="11" s="1"/>
  <c r="D23" i="11" a="1"/>
  <c r="D23" i="11" s="1"/>
  <c r="AA23" i="11" s="1" a="1"/>
  <c r="AA23" i="11" s="1"/>
  <c r="D12" i="11" a="1"/>
  <c r="D12" i="11" s="1"/>
  <c r="AA12" i="11" s="1" a="1"/>
  <c r="AA12" i="11" s="1"/>
  <c r="D32" i="11" a="1"/>
  <c r="D32" i="11" s="1"/>
  <c r="AA32" i="11" s="1" a="1"/>
  <c r="AA32" i="11" s="1"/>
  <c r="D29" i="11" a="1"/>
  <c r="D29" i="11" s="1"/>
  <c r="AA29" i="11" s="1" a="1"/>
  <c r="AA29" i="11" s="1"/>
  <c r="D34" i="11" a="1"/>
  <c r="D34" i="11" s="1"/>
  <c r="AA34" i="11" s="1" a="1"/>
  <c r="AA34" i="11" s="1"/>
  <c r="D28" i="11" a="1"/>
  <c r="D28" i="11" s="1"/>
  <c r="AA28" i="11" s="1" a="1"/>
  <c r="AA28" i="11" s="1"/>
  <c r="D21" i="11" a="1"/>
  <c r="D21" i="11" s="1"/>
  <c r="AA21" i="11" s="1" a="1"/>
  <c r="AA21" i="11" s="1"/>
  <c r="D27" i="11" a="1"/>
  <c r="D27" i="11" s="1"/>
  <c r="AA27" i="11" s="1" a="1"/>
  <c r="AA27" i="11" s="1"/>
  <c r="D19" i="11" a="1"/>
  <c r="D19" i="11" s="1"/>
  <c r="AA19" i="11" s="1" a="1"/>
  <c r="AA19" i="11" s="1"/>
  <c r="D30" i="11" a="1"/>
  <c r="D30" i="11" s="1"/>
  <c r="AA30" i="11" s="1" a="1"/>
  <c r="AA30" i="11" s="1"/>
  <c r="D22" i="11" a="1"/>
  <c r="D22" i="11" s="1"/>
  <c r="AA22" i="11" s="1" a="1"/>
  <c r="AA22" i="11" s="1"/>
  <c r="D14" i="11" a="1"/>
  <c r="D14" i="11" s="1"/>
  <c r="AA14" i="11" s="1" a="1"/>
  <c r="AA14" i="11" s="1"/>
  <c r="Q10" i="11"/>
  <c r="R10" i="11"/>
  <c r="N10" i="11"/>
  <c r="B38" i="23"/>
  <c r="B43" i="23"/>
  <c r="B42" i="23"/>
  <c r="D42" i="23"/>
  <c r="D43" i="23"/>
  <c r="B37" i="23"/>
  <c r="F37" i="23" s="1" a="1"/>
  <c r="F37" i="23" s="1"/>
  <c r="B35" i="23"/>
  <c r="B34" i="23"/>
  <c r="H34" i="23" s="1" a="1"/>
  <c r="H34" i="23" s="1"/>
  <c r="C32" i="23"/>
  <c r="C33" i="23" s="1" a="1"/>
  <c r="C33" i="23" s="1"/>
  <c r="C53" i="23" s="1"/>
  <c r="B174" i="23"/>
  <c r="B168" i="23"/>
  <c r="D168" i="23" s="1"/>
  <c r="C167" i="23"/>
  <c r="B167" i="23"/>
  <c r="D167" i="23" s="1"/>
  <c r="C166" i="23"/>
  <c r="B166" i="23"/>
  <c r="D166" i="23" s="1"/>
  <c r="C165" i="23"/>
  <c r="B165" i="23"/>
  <c r="D165" i="23" s="1"/>
  <c r="C164" i="23"/>
  <c r="B164" i="23"/>
  <c r="D164" i="23" s="1"/>
  <c r="C163" i="23"/>
  <c r="B163" i="23"/>
  <c r="D163" i="23" s="1"/>
  <c r="C162" i="23"/>
  <c r="B162" i="23"/>
  <c r="D162" i="23" s="1"/>
  <c r="C155" i="23"/>
  <c r="F154" i="23"/>
  <c r="C154" i="23"/>
  <c r="F153" i="23"/>
  <c r="B144" i="23"/>
  <c r="O124" i="23" a="1"/>
  <c r="O124" i="23" s="1"/>
  <c r="O123" i="23" a="1"/>
  <c r="O123" i="23" s="1"/>
  <c r="M119" i="23"/>
  <c r="L119" i="23"/>
  <c r="K119" i="23"/>
  <c r="J119" i="23"/>
  <c r="I119" i="23"/>
  <c r="H119" i="23"/>
  <c r="G119" i="23"/>
  <c r="F119" i="23"/>
  <c r="E119" i="23"/>
  <c r="D119" i="23"/>
  <c r="C119" i="23"/>
  <c r="L117" i="23"/>
  <c r="K117" i="23"/>
  <c r="L116" i="23"/>
  <c r="K116" i="23"/>
  <c r="L115" i="23"/>
  <c r="L114" i="23"/>
  <c r="K114" i="23"/>
  <c r="L113" i="23"/>
  <c r="K113" i="23"/>
  <c r="L112" i="23"/>
  <c r="K112" i="23"/>
  <c r="L111" i="23"/>
  <c r="K111" i="23"/>
  <c r="L110" i="23"/>
  <c r="K110" i="23"/>
  <c r="L109" i="23"/>
  <c r="K109" i="23"/>
  <c r="B134" i="23"/>
  <c r="O134" i="23" s="1" a="1"/>
  <c r="O134" i="23" s="1"/>
  <c r="L108" i="23"/>
  <c r="K108" i="23"/>
  <c r="B133" i="23"/>
  <c r="O133" i="23" s="1" a="1"/>
  <c r="O133" i="23" s="1"/>
  <c r="L107" i="23"/>
  <c r="K107" i="23"/>
  <c r="L106" i="23"/>
  <c r="K106" i="23"/>
  <c r="L105" i="23"/>
  <c r="K105" i="23"/>
  <c r="L104" i="23"/>
  <c r="K104" i="23"/>
  <c r="L103" i="23"/>
  <c r="K103" i="23"/>
  <c r="L102" i="23"/>
  <c r="K102" i="23"/>
  <c r="K101" i="23"/>
  <c r="L100" i="23"/>
  <c r="K100" i="23"/>
  <c r="B95" i="23"/>
  <c r="K95" i="23" s="1"/>
  <c r="N94" i="23"/>
  <c r="N93" i="23" s="1"/>
  <c r="B94" i="23"/>
  <c r="M94" i="23" s="1"/>
  <c r="B93" i="23"/>
  <c r="K93" i="23" s="1"/>
  <c r="B88" i="23"/>
  <c r="K88" i="23" s="1"/>
  <c r="N87" i="23"/>
  <c r="N86" i="23" s="1"/>
  <c r="B87" i="23"/>
  <c r="K87" i="23" s="1"/>
  <c r="B86" i="23"/>
  <c r="K86" i="23" s="1"/>
  <c r="L81" i="23"/>
  <c r="K81" i="23"/>
  <c r="J81" i="23"/>
  <c r="I81" i="23"/>
  <c r="H81" i="23"/>
  <c r="G81" i="23"/>
  <c r="F81" i="23"/>
  <c r="E81" i="23"/>
  <c r="D81" i="23"/>
  <c r="C81" i="23"/>
  <c r="L80" i="23"/>
  <c r="K80" i="23"/>
  <c r="J80" i="23"/>
  <c r="I80" i="23"/>
  <c r="H80" i="23"/>
  <c r="G80" i="23"/>
  <c r="F80" i="23"/>
  <c r="E80" i="23"/>
  <c r="D80" i="23"/>
  <c r="C80" i="23"/>
  <c r="L79" i="23"/>
  <c r="K79" i="23"/>
  <c r="J79" i="23"/>
  <c r="I79" i="23"/>
  <c r="H79" i="23"/>
  <c r="G79" i="23"/>
  <c r="F79" i="23"/>
  <c r="E79" i="23"/>
  <c r="D79" i="23"/>
  <c r="C79" i="23"/>
  <c r="L78" i="23"/>
  <c r="K78" i="23"/>
  <c r="J78" i="23"/>
  <c r="I78" i="23"/>
  <c r="H78" i="23"/>
  <c r="G78" i="23"/>
  <c r="F78" i="23"/>
  <c r="E78" i="23"/>
  <c r="D78" i="23"/>
  <c r="C78" i="23"/>
  <c r="L77" i="23"/>
  <c r="K77" i="23"/>
  <c r="J77" i="23"/>
  <c r="I77" i="23"/>
  <c r="H77" i="23"/>
  <c r="G77" i="23"/>
  <c r="F77" i="23"/>
  <c r="E77" i="23"/>
  <c r="D77" i="23"/>
  <c r="C77" i="23"/>
  <c r="L76" i="23"/>
  <c r="K76" i="23"/>
  <c r="J76" i="23"/>
  <c r="I76" i="23"/>
  <c r="H76" i="23"/>
  <c r="G76" i="23"/>
  <c r="F76" i="23"/>
  <c r="E76" i="23"/>
  <c r="D76" i="23"/>
  <c r="C76" i="23"/>
  <c r="L75" i="23"/>
  <c r="K75" i="23"/>
  <c r="J75" i="23"/>
  <c r="I75" i="23"/>
  <c r="H75" i="23"/>
  <c r="G75" i="23"/>
  <c r="F75" i="23"/>
  <c r="E75" i="23"/>
  <c r="D75" i="23"/>
  <c r="C75" i="23"/>
  <c r="L74" i="23"/>
  <c r="K74" i="23"/>
  <c r="J74" i="23"/>
  <c r="I74" i="23"/>
  <c r="H74" i="23"/>
  <c r="G74" i="23"/>
  <c r="F74" i="23"/>
  <c r="E74" i="23"/>
  <c r="D74" i="23"/>
  <c r="C74" i="23"/>
  <c r="L73" i="23"/>
  <c r="K73" i="23"/>
  <c r="J73" i="23"/>
  <c r="I73" i="23"/>
  <c r="H73" i="23"/>
  <c r="G73" i="23"/>
  <c r="F73" i="23"/>
  <c r="E73" i="23"/>
  <c r="D73" i="23"/>
  <c r="C73" i="23"/>
  <c r="L72" i="23"/>
  <c r="K72" i="23"/>
  <c r="J72" i="23"/>
  <c r="I72" i="23"/>
  <c r="H72" i="23"/>
  <c r="G72" i="23"/>
  <c r="F72" i="23"/>
  <c r="E72" i="23"/>
  <c r="D72" i="23"/>
  <c r="C72" i="23"/>
  <c r="L71" i="23"/>
  <c r="K71" i="23"/>
  <c r="J71" i="23"/>
  <c r="I71" i="23"/>
  <c r="H71" i="23"/>
  <c r="G71" i="23"/>
  <c r="F71" i="23"/>
  <c r="E71" i="23"/>
  <c r="D71" i="23"/>
  <c r="C71" i="23"/>
  <c r="L70" i="23"/>
  <c r="K70" i="23"/>
  <c r="J70" i="23"/>
  <c r="I70" i="23"/>
  <c r="H70" i="23"/>
  <c r="G70" i="23"/>
  <c r="F70" i="23"/>
  <c r="E70" i="23"/>
  <c r="D70" i="23"/>
  <c r="C70" i="23"/>
  <c r="K59" i="23" a="1"/>
  <c r="K59" i="23" s="1"/>
  <c r="L55" i="23"/>
  <c r="L60" i="23" s="1"/>
  <c r="K55" i="23"/>
  <c r="J55" i="23"/>
  <c r="J60" i="23" s="1"/>
  <c r="I55" i="23"/>
  <c r="I60" i="23" s="1"/>
  <c r="H55" i="23"/>
  <c r="H60" i="23" s="1"/>
  <c r="G55" i="23"/>
  <c r="G60" i="23" s="1"/>
  <c r="F55" i="23"/>
  <c r="F60" i="23" s="1"/>
  <c r="E55" i="23"/>
  <c r="D55" i="23"/>
  <c r="C55" i="23"/>
  <c r="B54" i="23"/>
  <c r="J54" i="23" s="1"/>
  <c r="L53" i="23"/>
  <c r="K53" i="23"/>
  <c r="J53" i="23"/>
  <c r="I53" i="23"/>
  <c r="H53" i="23"/>
  <c r="G53" i="23"/>
  <c r="F53" i="23"/>
  <c r="E53" i="23"/>
  <c r="D53" i="23"/>
  <c r="D26" i="23"/>
  <c r="D25" i="23"/>
  <c r="D21" i="23"/>
  <c r="B16" i="23"/>
  <c r="K16" i="23" s="1"/>
  <c r="B14" i="23"/>
  <c r="J14" i="23" s="1"/>
  <c r="B13" i="23"/>
  <c r="K13" i="23" s="1"/>
  <c r="B12" i="23"/>
  <c r="F12" i="23" s="1"/>
  <c r="B2" i="23"/>
  <c r="K39" i="8"/>
  <c r="P39" i="8" s="1"/>
  <c r="K38" i="8"/>
  <c r="P38" i="8" s="1"/>
  <c r="L37" i="8"/>
  <c r="Q37" i="8" s="1"/>
  <c r="K37" i="8"/>
  <c r="P37" i="8" s="1"/>
  <c r="J37" i="8"/>
  <c r="O37" i="8" s="1"/>
  <c r="L36" i="8"/>
  <c r="Q36" i="8" s="1"/>
  <c r="L35" i="8"/>
  <c r="Q35" i="8" s="1"/>
  <c r="L31" i="8"/>
  <c r="Q31" i="8" s="1"/>
  <c r="J31" i="8"/>
  <c r="O31" i="8" s="1"/>
  <c r="L176" i="23" a="1"/>
  <c r="L176" i="23" s="1"/>
  <c r="H176" i="23" a="1"/>
  <c r="H176" i="23" s="1"/>
  <c r="F146" i="23" a="1"/>
  <c r="F146" i="23" s="1"/>
  <c r="C146" i="23" a="1"/>
  <c r="C146" i="23" s="1"/>
  <c r="L25" i="8"/>
  <c r="Q25" i="8" s="1"/>
  <c r="L24" i="8"/>
  <c r="Q24" i="8" s="1"/>
  <c r="J24" i="8"/>
  <c r="O24" i="8" s="1"/>
  <c r="L33" i="23" a="1"/>
  <c r="L33" i="23" s="1"/>
  <c r="H33" i="23" a="1"/>
  <c r="H33" i="23" s="1"/>
  <c r="F33" i="23" a="1"/>
  <c r="F33" i="23" s="1"/>
  <c r="K115" i="23"/>
  <c r="L101" i="23"/>
  <c r="BA30" i="11" l="1"/>
  <c r="BJ11" i="11"/>
  <c r="AZ21" i="11"/>
  <c r="BA21" i="11"/>
  <c r="AZ17" i="11"/>
  <c r="BA17" i="11"/>
  <c r="AY13" i="11"/>
  <c r="AZ13" i="11"/>
  <c r="AY27" i="11"/>
  <c r="AZ27" i="11"/>
  <c r="AY31" i="11"/>
  <c r="AZ31" i="11"/>
  <c r="AY14" i="11"/>
  <c r="AZ14" i="11"/>
  <c r="AY12" i="11"/>
  <c r="AZ12" i="11"/>
  <c r="AY18" i="11"/>
  <c r="AZ18" i="11"/>
  <c r="AY16" i="11"/>
  <c r="AZ16" i="11"/>
  <c r="AY25" i="11"/>
  <c r="AZ25" i="11"/>
  <c r="AY22" i="11"/>
  <c r="AZ22" i="11"/>
  <c r="AY20" i="11"/>
  <c r="AZ20" i="11"/>
  <c r="AY29" i="11"/>
  <c r="AZ29" i="11"/>
  <c r="AY26" i="11"/>
  <c r="AZ26" i="11"/>
  <c r="AY33" i="11"/>
  <c r="AZ33" i="11"/>
  <c r="AY30" i="11"/>
  <c r="AZ30" i="11"/>
  <c r="AY34" i="11"/>
  <c r="AZ34" i="11"/>
  <c r="AY24" i="11"/>
  <c r="AZ24" i="11"/>
  <c r="AY28" i="11"/>
  <c r="AZ28" i="11"/>
  <c r="AY23" i="11"/>
  <c r="AZ23" i="11"/>
  <c r="AY32" i="11"/>
  <c r="AZ32" i="11"/>
  <c r="AY15" i="11"/>
  <c r="AZ15" i="11"/>
  <c r="AY19" i="11"/>
  <c r="AZ19" i="11"/>
  <c r="AX17" i="11"/>
  <c r="AY17" i="11"/>
  <c r="AX21" i="11"/>
  <c r="AY21" i="11"/>
  <c r="AW19" i="11"/>
  <c r="AX19" i="11"/>
  <c r="AW13" i="11"/>
  <c r="AX13" i="11"/>
  <c r="BJ13" i="11" s="1"/>
  <c r="AW12" i="11"/>
  <c r="AX12" i="11"/>
  <c r="BJ12" i="11" s="1"/>
  <c r="AW18" i="11"/>
  <c r="AX18" i="11"/>
  <c r="BJ18" i="11" s="1"/>
  <c r="AW15" i="11"/>
  <c r="AX15" i="11"/>
  <c r="BJ15" i="11" s="1"/>
  <c r="AW14" i="11"/>
  <c r="AX14" i="11"/>
  <c r="BJ14" i="11" s="1"/>
  <c r="AW16" i="11"/>
  <c r="AX16" i="11"/>
  <c r="AW25" i="11"/>
  <c r="AX25" i="11"/>
  <c r="BJ25" i="11" s="1"/>
  <c r="AW22" i="11"/>
  <c r="AX22" i="11"/>
  <c r="AW27" i="11"/>
  <c r="AX27" i="11"/>
  <c r="AW20" i="11"/>
  <c r="AX20" i="11"/>
  <c r="AW29" i="11"/>
  <c r="AX29" i="11"/>
  <c r="BJ29" i="11" s="1"/>
  <c r="AW26" i="11"/>
  <c r="AX26" i="11"/>
  <c r="AW32" i="11"/>
  <c r="AX32" i="11"/>
  <c r="AW31" i="11"/>
  <c r="AX31" i="11"/>
  <c r="BJ31" i="11" s="1"/>
  <c r="AW24" i="11"/>
  <c r="AX24" i="11"/>
  <c r="BJ24" i="11" s="1"/>
  <c r="AW33" i="11"/>
  <c r="AX33" i="11"/>
  <c r="AW30" i="11"/>
  <c r="AX30" i="11"/>
  <c r="AW28" i="11"/>
  <c r="AX28" i="11"/>
  <c r="AW23" i="11"/>
  <c r="AX23" i="11"/>
  <c r="BJ23" i="11" s="1"/>
  <c r="AW34" i="11"/>
  <c r="AX34" i="11"/>
  <c r="BJ34" i="11" s="1"/>
  <c r="AV17" i="11"/>
  <c r="AW17" i="11"/>
  <c r="AV21" i="11"/>
  <c r="AW21" i="11"/>
  <c r="AU33" i="11"/>
  <c r="AV33" i="11"/>
  <c r="AU28" i="11"/>
  <c r="AV28" i="11"/>
  <c r="AU23" i="11"/>
  <c r="AV23" i="11"/>
  <c r="AU34" i="11"/>
  <c r="AV34" i="11"/>
  <c r="AU24" i="11"/>
  <c r="AV24" i="11"/>
  <c r="AU30" i="11"/>
  <c r="AV30" i="11"/>
  <c r="AU32" i="11"/>
  <c r="AV32" i="11"/>
  <c r="AU15" i="11"/>
  <c r="AV15" i="11"/>
  <c r="AU19" i="11"/>
  <c r="AV19" i="11"/>
  <c r="AU13" i="11"/>
  <c r="AV13" i="11"/>
  <c r="AU27" i="11"/>
  <c r="AV27" i="11"/>
  <c r="AU31" i="11"/>
  <c r="AV31" i="11"/>
  <c r="AU14" i="11"/>
  <c r="AV14" i="11"/>
  <c r="AU12" i="11"/>
  <c r="AV12" i="11"/>
  <c r="AU18" i="11"/>
  <c r="AV18" i="11"/>
  <c r="AU16" i="11"/>
  <c r="AV16" i="11"/>
  <c r="AU25" i="11"/>
  <c r="AV25" i="11"/>
  <c r="AU22" i="11"/>
  <c r="AV22" i="11"/>
  <c r="AU20" i="11"/>
  <c r="AV20" i="11"/>
  <c r="AU29" i="11"/>
  <c r="AV29" i="11"/>
  <c r="AU26" i="11"/>
  <c r="AV26" i="11"/>
  <c r="AT17" i="11"/>
  <c r="AU17" i="11"/>
  <c r="AT21" i="11"/>
  <c r="AU21" i="11"/>
  <c r="AS16" i="11"/>
  <c r="AT16" i="11"/>
  <c r="AS25" i="11"/>
  <c r="AT25" i="11"/>
  <c r="AS22" i="11"/>
  <c r="AT22" i="11"/>
  <c r="AS12" i="11"/>
  <c r="AT12" i="11"/>
  <c r="AS18" i="11"/>
  <c r="AT18" i="11"/>
  <c r="AS20" i="11"/>
  <c r="AT20" i="11"/>
  <c r="AS29" i="11"/>
  <c r="AT29" i="11"/>
  <c r="AS26" i="11"/>
  <c r="AT26" i="11"/>
  <c r="AS24" i="11"/>
  <c r="AT24" i="11"/>
  <c r="AS33" i="11"/>
  <c r="AT33" i="11"/>
  <c r="AS30" i="11"/>
  <c r="AT30" i="11"/>
  <c r="AS28" i="11"/>
  <c r="AT28" i="11"/>
  <c r="AS23" i="11"/>
  <c r="AT23" i="11"/>
  <c r="AS34" i="11"/>
  <c r="AT34" i="11"/>
  <c r="AS32" i="11"/>
  <c r="AT32" i="11"/>
  <c r="AS15" i="11"/>
  <c r="AT15" i="11"/>
  <c r="AS19" i="11"/>
  <c r="AT19" i="11"/>
  <c r="AS13" i="11"/>
  <c r="AT13" i="11"/>
  <c r="AS27" i="11"/>
  <c r="AT27" i="11"/>
  <c r="AS31" i="11"/>
  <c r="AT31" i="11"/>
  <c r="AS14" i="11"/>
  <c r="AT14" i="11"/>
  <c r="AR21" i="11"/>
  <c r="AS21" i="11"/>
  <c r="AR17" i="11"/>
  <c r="AS17" i="11"/>
  <c r="E14" i="11"/>
  <c r="AR14" i="11"/>
  <c r="F12" i="11"/>
  <c r="AR12" i="11"/>
  <c r="G18" i="11"/>
  <c r="AR18" i="11"/>
  <c r="E16" i="11"/>
  <c r="AR16" i="11"/>
  <c r="H25" i="11"/>
  <c r="AR25" i="11"/>
  <c r="H22" i="11"/>
  <c r="AR22" i="11"/>
  <c r="G20" i="11"/>
  <c r="AR20" i="11"/>
  <c r="H29" i="11"/>
  <c r="AR29" i="11"/>
  <c r="G26" i="11"/>
  <c r="AR26" i="11"/>
  <c r="E24" i="11"/>
  <c r="AR24" i="11"/>
  <c r="E33" i="11"/>
  <c r="AR33" i="11"/>
  <c r="E30" i="11"/>
  <c r="AR30" i="11"/>
  <c r="G28" i="11"/>
  <c r="AR28" i="11"/>
  <c r="E23" i="11"/>
  <c r="AR23" i="11"/>
  <c r="H34" i="11"/>
  <c r="AR34" i="11"/>
  <c r="E32" i="11"/>
  <c r="AR32" i="11"/>
  <c r="E15" i="11"/>
  <c r="AR15" i="11"/>
  <c r="F19" i="11"/>
  <c r="AR19" i="11"/>
  <c r="F13" i="11"/>
  <c r="AR13" i="11"/>
  <c r="F27" i="11"/>
  <c r="AR27" i="11"/>
  <c r="F31" i="11"/>
  <c r="AR31" i="11"/>
  <c r="F22" i="11"/>
  <c r="E31" i="11"/>
  <c r="F16" i="11"/>
  <c r="G33" i="11"/>
  <c r="G25" i="11"/>
  <c r="H30" i="11"/>
  <c r="G32" i="11"/>
  <c r="E26" i="11"/>
  <c r="F15" i="11"/>
  <c r="G19" i="11"/>
  <c r="H19" i="11"/>
  <c r="H13" i="11"/>
  <c r="H27" i="11"/>
  <c r="G13" i="11"/>
  <c r="E13" i="11"/>
  <c r="H28" i="11"/>
  <c r="E19" i="11"/>
  <c r="G34" i="11"/>
  <c r="H32" i="11"/>
  <c r="F32" i="11"/>
  <c r="H18" i="11"/>
  <c r="E12" i="11"/>
  <c r="F34" i="11"/>
  <c r="E34" i="11"/>
  <c r="X11" i="11" a="1"/>
  <c r="X11" i="11" s="1"/>
  <c r="BG11" i="11" s="1"/>
  <c r="F28" i="11"/>
  <c r="G23" i="11"/>
  <c r="H26" i="11"/>
  <c r="H20" i="11"/>
  <c r="G22" i="11"/>
  <c r="F23" i="11"/>
  <c r="G29" i="11"/>
  <c r="F30" i="11"/>
  <c r="G16" i="11"/>
  <c r="F33" i="11"/>
  <c r="E25" i="11"/>
  <c r="H33" i="11"/>
  <c r="AF11" i="11" a="1"/>
  <c r="AF11" i="11" s="1"/>
  <c r="BN11" i="11" s="1"/>
  <c r="AH11" i="11" a="1"/>
  <c r="AH11" i="11" s="1"/>
  <c r="BP11" i="11" s="1"/>
  <c r="E20" i="11"/>
  <c r="H23" i="11"/>
  <c r="AL11" i="11" a="1"/>
  <c r="AL11" i="11" s="1"/>
  <c r="BT11" i="11" s="1"/>
  <c r="H16" i="11"/>
  <c r="G30" i="11"/>
  <c r="F20" i="11"/>
  <c r="E22" i="11"/>
  <c r="F25" i="11"/>
  <c r="E29" i="11"/>
  <c r="H24" i="11"/>
  <c r="F26" i="11"/>
  <c r="F24" i="11"/>
  <c r="G24" i="11"/>
  <c r="E28" i="11"/>
  <c r="F29" i="11"/>
  <c r="E17" i="11"/>
  <c r="G17" i="11"/>
  <c r="G14" i="11"/>
  <c r="F17" i="11"/>
  <c r="E21" i="11"/>
  <c r="H21" i="11"/>
  <c r="G21" i="11"/>
  <c r="G12" i="11"/>
  <c r="H17" i="11"/>
  <c r="H14" i="11"/>
  <c r="H12" i="11"/>
  <c r="F18" i="11"/>
  <c r="F14" i="11"/>
  <c r="E18" i="11"/>
  <c r="H15" i="11"/>
  <c r="G15" i="11"/>
  <c r="F21" i="11"/>
  <c r="G27" i="11"/>
  <c r="E27" i="11"/>
  <c r="G31" i="11"/>
  <c r="H31" i="11"/>
  <c r="O11" i="11"/>
  <c r="U11" i="11" a="1"/>
  <c r="U11" i="11" s="1"/>
  <c r="BD11" i="11" s="1"/>
  <c r="W11" i="11" a="1"/>
  <c r="W11" i="11" s="1"/>
  <c r="BF11" i="11" s="1"/>
  <c r="V11" i="11" a="1"/>
  <c r="V11" i="11" s="1"/>
  <c r="BE11" i="11" s="1"/>
  <c r="AJ11" i="11" a="1"/>
  <c r="AJ11" i="11" s="1"/>
  <c r="BR11" i="11" s="1"/>
  <c r="J11" i="11"/>
  <c r="AI11" i="11" a="1"/>
  <c r="AI11" i="11" s="1"/>
  <c r="BQ11" i="11" s="1"/>
  <c r="Y11" i="11" a="1"/>
  <c r="Y11" i="11" s="1"/>
  <c r="BH11" i="11" s="1"/>
  <c r="AG11" i="11" a="1"/>
  <c r="AG11" i="11" s="1"/>
  <c r="BO11" i="11" s="1"/>
  <c r="G11" i="11"/>
  <c r="H11" i="11"/>
  <c r="E11" i="11"/>
  <c r="F11" i="11"/>
  <c r="X21" i="11" a="1"/>
  <c r="X21" i="11" s="1"/>
  <c r="Y21" i="11" a="1"/>
  <c r="Y21" i="11" s="1"/>
  <c r="X28" i="11" a="1"/>
  <c r="X28" i="11" s="1"/>
  <c r="Y28" i="11" a="1"/>
  <c r="Y28" i="11" s="1"/>
  <c r="X15" i="11" a="1"/>
  <c r="X15" i="11" s="1"/>
  <c r="Y15" i="11" a="1"/>
  <c r="Y15" i="11" s="1"/>
  <c r="X18" i="11" a="1"/>
  <c r="X18" i="11" s="1"/>
  <c r="Y18" i="11" a="1"/>
  <c r="Y18" i="11" s="1"/>
  <c r="X24" i="11" a="1"/>
  <c r="X24" i="11" s="1"/>
  <c r="Y24" i="11" a="1"/>
  <c r="Y24" i="11" s="1"/>
  <c r="X33" i="11" a="1"/>
  <c r="X33" i="11" s="1"/>
  <c r="Y33" i="11" a="1"/>
  <c r="Y33" i="11" s="1"/>
  <c r="X14" i="11" a="1"/>
  <c r="X14" i="11" s="1"/>
  <c r="Y14" i="11" a="1"/>
  <c r="Y14" i="11" s="1"/>
  <c r="X34" i="11" a="1"/>
  <c r="X34" i="11" s="1"/>
  <c r="Y34" i="11" a="1"/>
  <c r="Y34" i="11" s="1"/>
  <c r="X25" i="11" a="1"/>
  <c r="X25" i="11" s="1"/>
  <c r="Y25" i="11" a="1"/>
  <c r="Y25" i="11" s="1"/>
  <c r="X20" i="11" a="1"/>
  <c r="X20" i="11" s="1"/>
  <c r="Y20" i="11" a="1"/>
  <c r="Y20" i="11" s="1"/>
  <c r="X22" i="11" a="1"/>
  <c r="X22" i="11" s="1"/>
  <c r="Y22" i="11" a="1"/>
  <c r="Y22" i="11" s="1"/>
  <c r="X29" i="11" a="1"/>
  <c r="X29" i="11" s="1"/>
  <c r="Y29" i="11" a="1"/>
  <c r="Y29" i="11" s="1"/>
  <c r="X16" i="11" a="1"/>
  <c r="X16" i="11" s="1"/>
  <c r="Y16" i="11" a="1"/>
  <c r="Y16" i="11" s="1"/>
  <c r="X30" i="11" a="1"/>
  <c r="X30" i="11" s="1"/>
  <c r="Y30" i="11" a="1"/>
  <c r="Y30" i="11" s="1"/>
  <c r="X32" i="11" a="1"/>
  <c r="X32" i="11" s="1"/>
  <c r="Y32" i="11" a="1"/>
  <c r="Y32" i="11" s="1"/>
  <c r="X26" i="11" a="1"/>
  <c r="X26" i="11" s="1"/>
  <c r="Y26" i="11" a="1"/>
  <c r="Y26" i="11" s="1"/>
  <c r="X12" i="11" a="1"/>
  <c r="X12" i="11" s="1"/>
  <c r="Y12" i="11" a="1"/>
  <c r="Y12" i="11" s="1"/>
  <c r="X19" i="11" a="1"/>
  <c r="X19" i="11" s="1"/>
  <c r="Y19" i="11" a="1"/>
  <c r="Y19" i="11" s="1"/>
  <c r="X23" i="11" a="1"/>
  <c r="X23" i="11" s="1"/>
  <c r="Y23" i="11" a="1"/>
  <c r="Y23" i="11" s="1"/>
  <c r="X17" i="11" a="1"/>
  <c r="X17" i="11" s="1"/>
  <c r="Y17" i="11" a="1"/>
  <c r="Y17" i="11" s="1"/>
  <c r="X27" i="11" a="1"/>
  <c r="X27" i="11" s="1"/>
  <c r="Y27" i="11" a="1"/>
  <c r="Y27" i="11" s="1"/>
  <c r="X13" i="11" a="1"/>
  <c r="X13" i="11" s="1"/>
  <c r="Y13" i="11" a="1"/>
  <c r="Y13" i="11" s="1"/>
  <c r="X31" i="11" a="1"/>
  <c r="X31" i="11" s="1"/>
  <c r="Y31" i="11" a="1"/>
  <c r="Y31" i="11" s="1"/>
  <c r="V24" i="11" a="1"/>
  <c r="V24" i="11" s="1"/>
  <c r="W24" i="11" a="1"/>
  <c r="W24" i="11" s="1"/>
  <c r="V33" i="11" a="1"/>
  <c r="V33" i="11" s="1"/>
  <c r="W33" i="11" a="1"/>
  <c r="W33" i="11" s="1"/>
  <c r="V28" i="11" a="1"/>
  <c r="V28" i="11" s="1"/>
  <c r="W28" i="11" a="1"/>
  <c r="W28" i="11" s="1"/>
  <c r="V15" i="11" a="1"/>
  <c r="V15" i="11" s="1"/>
  <c r="W15" i="11" a="1"/>
  <c r="W15" i="11" s="1"/>
  <c r="V18" i="11" a="1"/>
  <c r="V18" i="11" s="1"/>
  <c r="W18" i="11" a="1"/>
  <c r="W18" i="11" s="1"/>
  <c r="V14" i="11" a="1"/>
  <c r="V14" i="11" s="1"/>
  <c r="W14" i="11" a="1"/>
  <c r="W14" i="11" s="1"/>
  <c r="BF14" i="11" s="1"/>
  <c r="V20" i="11" a="1"/>
  <c r="V20" i="11" s="1"/>
  <c r="W20" i="11" a="1"/>
  <c r="W20" i="11" s="1"/>
  <c r="V22" i="11" a="1"/>
  <c r="V22" i="11" s="1"/>
  <c r="W22" i="11" a="1"/>
  <c r="W22" i="11" s="1"/>
  <c r="V29" i="11" a="1"/>
  <c r="V29" i="11" s="1"/>
  <c r="W29" i="11" a="1"/>
  <c r="W29" i="11" s="1"/>
  <c r="V16" i="11" a="1"/>
  <c r="V16" i="11" s="1"/>
  <c r="W16" i="11" a="1"/>
  <c r="W16" i="11" s="1"/>
  <c r="V25" i="11" a="1"/>
  <c r="V25" i="11" s="1"/>
  <c r="BE25" i="11" s="1"/>
  <c r="W25" i="11" a="1"/>
  <c r="W25" i="11" s="1"/>
  <c r="BF25" i="11" s="1"/>
  <c r="V30" i="11" a="1"/>
  <c r="V30" i="11" s="1"/>
  <c r="W30" i="11" a="1"/>
  <c r="W30" i="11" s="1"/>
  <c r="V32" i="11" a="1"/>
  <c r="V32" i="11" s="1"/>
  <c r="W32" i="11" a="1"/>
  <c r="W32" i="11" s="1"/>
  <c r="V26" i="11" a="1"/>
  <c r="V26" i="11" s="1"/>
  <c r="W26" i="11" a="1"/>
  <c r="W26" i="11" s="1"/>
  <c r="V12" i="11" a="1"/>
  <c r="V12" i="11" s="1"/>
  <c r="W12" i="11" a="1"/>
  <c r="W12" i="11" s="1"/>
  <c r="V21" i="11" a="1"/>
  <c r="V21" i="11" s="1"/>
  <c r="W21" i="11" a="1"/>
  <c r="W21" i="11" s="1"/>
  <c r="V34" i="11" a="1"/>
  <c r="V34" i="11" s="1"/>
  <c r="W34" i="11" a="1"/>
  <c r="W34" i="11" s="1"/>
  <c r="V19" i="11" a="1"/>
  <c r="V19" i="11" s="1"/>
  <c r="W19" i="11" a="1"/>
  <c r="W19" i="11" s="1"/>
  <c r="V23" i="11" a="1"/>
  <c r="V23" i="11" s="1"/>
  <c r="W23" i="11" a="1"/>
  <c r="W23" i="11" s="1"/>
  <c r="V17" i="11" a="1"/>
  <c r="V17" i="11" s="1"/>
  <c r="W17" i="11" a="1"/>
  <c r="W17" i="11" s="1"/>
  <c r="V27" i="11" a="1"/>
  <c r="V27" i="11" s="1"/>
  <c r="W27" i="11" a="1"/>
  <c r="W27" i="11" s="1"/>
  <c r="V13" i="11" a="1"/>
  <c r="V13" i="11" s="1"/>
  <c r="W13" i="11" a="1"/>
  <c r="W13" i="11" s="1"/>
  <c r="V31" i="11" a="1"/>
  <c r="V31" i="11" s="1"/>
  <c r="W31" i="11" a="1"/>
  <c r="W31" i="11" s="1"/>
  <c r="AL18" i="11" a="1"/>
  <c r="AL18" i="11" s="1"/>
  <c r="U18" i="11" a="1"/>
  <c r="U18" i="11" s="1"/>
  <c r="AL15" i="11" a="1"/>
  <c r="AL15" i="11" s="1"/>
  <c r="U15" i="11" a="1"/>
  <c r="U15" i="11" s="1"/>
  <c r="BD15" i="11" s="1"/>
  <c r="AL14" i="11" a="1"/>
  <c r="AL14" i="11" s="1"/>
  <c r="U14" i="11" a="1"/>
  <c r="U14" i="11" s="1"/>
  <c r="AL34" i="11" a="1"/>
  <c r="AL34" i="11" s="1"/>
  <c r="U34" i="11" a="1"/>
  <c r="U34" i="11" s="1"/>
  <c r="AL25" i="11" a="1"/>
  <c r="AL25" i="11" s="1"/>
  <c r="U25" i="11" a="1"/>
  <c r="U25" i="11" s="1"/>
  <c r="AL20" i="11" a="1"/>
  <c r="AL20" i="11" s="1"/>
  <c r="U20" i="11" a="1"/>
  <c r="U20" i="11" s="1"/>
  <c r="AL33" i="11" a="1"/>
  <c r="AL33" i="11" s="1"/>
  <c r="U33" i="11" a="1"/>
  <c r="U33" i="11" s="1"/>
  <c r="AL22" i="11" a="1"/>
  <c r="AL22" i="11" s="1"/>
  <c r="U22" i="11" a="1"/>
  <c r="U22" i="11" s="1"/>
  <c r="AL29" i="11" a="1"/>
  <c r="AL29" i="11" s="1"/>
  <c r="U29" i="11" a="1"/>
  <c r="U29" i="11" s="1"/>
  <c r="BD29" i="11" s="1"/>
  <c r="AL16" i="11" a="1"/>
  <c r="AL16" i="11" s="1"/>
  <c r="U16" i="11" a="1"/>
  <c r="U16" i="11" s="1"/>
  <c r="AL24" i="11" a="1"/>
  <c r="AL24" i="11" s="1"/>
  <c r="U24" i="11" a="1"/>
  <c r="U24" i="11" s="1"/>
  <c r="AL26" i="11" a="1"/>
  <c r="AL26" i="11" s="1"/>
  <c r="U26" i="11" a="1"/>
  <c r="U26" i="11" s="1"/>
  <c r="AL12" i="11" a="1"/>
  <c r="AL12" i="11" s="1"/>
  <c r="U12" i="11" a="1"/>
  <c r="U12" i="11" s="1"/>
  <c r="AL21" i="11" a="1"/>
  <c r="AL21" i="11" s="1"/>
  <c r="U21" i="11" a="1"/>
  <c r="U21" i="11" s="1"/>
  <c r="AL28" i="11" a="1"/>
  <c r="AL28" i="11" s="1"/>
  <c r="U28" i="11" a="1"/>
  <c r="U28" i="11" s="1"/>
  <c r="AL30" i="11" a="1"/>
  <c r="AL30" i="11" s="1"/>
  <c r="U30" i="11" a="1"/>
  <c r="U30" i="11" s="1"/>
  <c r="AL19" i="11" a="1"/>
  <c r="AL19" i="11" s="1"/>
  <c r="U19" i="11" a="1"/>
  <c r="U19" i="11" s="1"/>
  <c r="AL23" i="11" a="1"/>
  <c r="AL23" i="11" s="1"/>
  <c r="U23" i="11" a="1"/>
  <c r="U23" i="11" s="1"/>
  <c r="AL17" i="11" a="1"/>
  <c r="AL17" i="11" s="1"/>
  <c r="U17" i="11" a="1"/>
  <c r="U17" i="11" s="1"/>
  <c r="AL32" i="11" a="1"/>
  <c r="AL32" i="11" s="1"/>
  <c r="U32" i="11" a="1"/>
  <c r="U32" i="11" s="1"/>
  <c r="AL27" i="11" a="1"/>
  <c r="AL27" i="11" s="1"/>
  <c r="U27" i="11" a="1"/>
  <c r="U27" i="11" s="1"/>
  <c r="AL13" i="11" a="1"/>
  <c r="AL13" i="11" s="1"/>
  <c r="U13" i="11" a="1"/>
  <c r="U13" i="11" s="1"/>
  <c r="AL31" i="11" a="1"/>
  <c r="AL31" i="11" s="1"/>
  <c r="U31" i="11" a="1"/>
  <c r="U31" i="11" s="1"/>
  <c r="AH28" i="11" a="1"/>
  <c r="AH28" i="11" s="1"/>
  <c r="AJ28" i="11" a="1"/>
  <c r="AJ28" i="11" s="1"/>
  <c r="AF28" i="11" a="1"/>
  <c r="AF28" i="11" s="1"/>
  <c r="AG28" i="11" a="1"/>
  <c r="AG28" i="11" s="1"/>
  <c r="AI28" i="11" a="1"/>
  <c r="AI28" i="11" s="1"/>
  <c r="AI15" i="11" a="1"/>
  <c r="AI15" i="11" s="1"/>
  <c r="AG15" i="11" a="1"/>
  <c r="AG15" i="11" s="1"/>
  <c r="BO15" i="11" s="1"/>
  <c r="AH15" i="11" a="1"/>
  <c r="AH15" i="11" s="1"/>
  <c r="AJ15" i="11" a="1"/>
  <c r="AJ15" i="11" s="1"/>
  <c r="AF15" i="11" a="1"/>
  <c r="AF15" i="11" s="1"/>
  <c r="AJ18" i="11" a="1"/>
  <c r="AJ18" i="11" s="1"/>
  <c r="AF18" i="11" a="1"/>
  <c r="AF18" i="11" s="1"/>
  <c r="AH18" i="11" a="1"/>
  <c r="AH18" i="11" s="1"/>
  <c r="AI18" i="11" a="1"/>
  <c r="AI18" i="11" s="1"/>
  <c r="AG18" i="11" a="1"/>
  <c r="AG18" i="11" s="1"/>
  <c r="AG21" i="11" a="1"/>
  <c r="AG21" i="11" s="1"/>
  <c r="AI21" i="11" a="1"/>
  <c r="AI21" i="11" s="1"/>
  <c r="AJ21" i="11" a="1"/>
  <c r="AJ21" i="11" s="1"/>
  <c r="AF21" i="11" a="1"/>
  <c r="AF21" i="11" s="1"/>
  <c r="AH21" i="11" a="1"/>
  <c r="AH21" i="11" s="1"/>
  <c r="AH24" i="11" a="1"/>
  <c r="AH24" i="11" s="1"/>
  <c r="AJ24" i="11" a="1"/>
  <c r="AJ24" i="11" s="1"/>
  <c r="AF24" i="11" a="1"/>
  <c r="AF24" i="11" s="1"/>
  <c r="AG24" i="11" a="1"/>
  <c r="AG24" i="11" s="1"/>
  <c r="AI24" i="11" a="1"/>
  <c r="AI24" i="11" s="1"/>
  <c r="AG33" i="11" a="1"/>
  <c r="AG33" i="11" s="1"/>
  <c r="AI33" i="11" a="1"/>
  <c r="AI33" i="11" s="1"/>
  <c r="AJ33" i="11" a="1"/>
  <c r="AJ33" i="11" s="1"/>
  <c r="AF33" i="11" a="1"/>
  <c r="AF33" i="11" s="1"/>
  <c r="AH33" i="11" a="1"/>
  <c r="AH33" i="11" s="1"/>
  <c r="AJ14" i="11" a="1"/>
  <c r="AJ14" i="11" s="1"/>
  <c r="AF14" i="11" a="1"/>
  <c r="AF14" i="11" s="1"/>
  <c r="AH14" i="11" a="1"/>
  <c r="AH14" i="11" s="1"/>
  <c r="AI14" i="11" a="1"/>
  <c r="AI14" i="11" s="1"/>
  <c r="AG14" i="11" a="1"/>
  <c r="AG14" i="11" s="1"/>
  <c r="AJ34" i="11" a="1"/>
  <c r="AJ34" i="11" s="1"/>
  <c r="AF34" i="11" a="1"/>
  <c r="AF34" i="11" s="1"/>
  <c r="AH34" i="11" a="1"/>
  <c r="AH34" i="11" s="1"/>
  <c r="AI34" i="11" a="1"/>
  <c r="AI34" i="11" s="1"/>
  <c r="AG34" i="11" a="1"/>
  <c r="AG34" i="11" s="1"/>
  <c r="AG25" i="11" a="1"/>
  <c r="AG25" i="11" s="1"/>
  <c r="AI25" i="11" a="1"/>
  <c r="AI25" i="11" s="1"/>
  <c r="AJ25" i="11" a="1"/>
  <c r="AJ25" i="11" s="1"/>
  <c r="AF25" i="11" a="1"/>
  <c r="AF25" i="11" s="1"/>
  <c r="AH25" i="11" a="1"/>
  <c r="AH25" i="11" s="1"/>
  <c r="AH20" i="11" a="1"/>
  <c r="AH20" i="11" s="1"/>
  <c r="AJ20" i="11" a="1"/>
  <c r="AJ20" i="11" s="1"/>
  <c r="AF20" i="11" a="1"/>
  <c r="AF20" i="11" s="1"/>
  <c r="AG20" i="11" a="1"/>
  <c r="AG20" i="11" s="1"/>
  <c r="AI20" i="11" a="1"/>
  <c r="AI20" i="11" s="1"/>
  <c r="AG29" i="11" a="1"/>
  <c r="AG29" i="11" s="1"/>
  <c r="AI29" i="11" a="1"/>
  <c r="AI29" i="11" s="1"/>
  <c r="AJ29" i="11" a="1"/>
  <c r="AJ29" i="11" s="1"/>
  <c r="BR29" i="11" s="1"/>
  <c r="AF29" i="11" a="1"/>
  <c r="AF29" i="11" s="1"/>
  <c r="AH29" i="11" a="1"/>
  <c r="AH29" i="11" s="1"/>
  <c r="BP29" i="11" s="1"/>
  <c r="AJ22" i="11" a="1"/>
  <c r="AJ22" i="11" s="1"/>
  <c r="AF22" i="11" a="1"/>
  <c r="AF22" i="11" s="1"/>
  <c r="AH22" i="11" a="1"/>
  <c r="AH22" i="11" s="1"/>
  <c r="AI22" i="11" a="1"/>
  <c r="AI22" i="11" s="1"/>
  <c r="AG22" i="11" a="1"/>
  <c r="AG22" i="11" s="1"/>
  <c r="AJ30" i="11" a="1"/>
  <c r="AJ30" i="11" s="1"/>
  <c r="AF30" i="11" a="1"/>
  <c r="AF30" i="11" s="1"/>
  <c r="AH30" i="11" a="1"/>
  <c r="AH30" i="11" s="1"/>
  <c r="AI30" i="11" a="1"/>
  <c r="AI30" i="11" s="1"/>
  <c r="AG30" i="11" a="1"/>
  <c r="AG30" i="11" s="1"/>
  <c r="AH32" i="11" a="1"/>
  <c r="AH32" i="11" s="1"/>
  <c r="AJ32" i="11" a="1"/>
  <c r="AJ32" i="11" s="1"/>
  <c r="AF32" i="11" a="1"/>
  <c r="AF32" i="11" s="1"/>
  <c r="AG32" i="11" a="1"/>
  <c r="AG32" i="11" s="1"/>
  <c r="AI32" i="11" a="1"/>
  <c r="AI32" i="11" s="1"/>
  <c r="AJ26" i="11" a="1"/>
  <c r="AJ26" i="11" s="1"/>
  <c r="AF26" i="11" a="1"/>
  <c r="AF26" i="11" s="1"/>
  <c r="AH26" i="11" a="1"/>
  <c r="AH26" i="11" s="1"/>
  <c r="AI26" i="11" a="1"/>
  <c r="AI26" i="11" s="1"/>
  <c r="AG26" i="11" a="1"/>
  <c r="AG26" i="11" s="1"/>
  <c r="AH12" i="11" a="1"/>
  <c r="AH12" i="11" s="1"/>
  <c r="AJ12" i="11" a="1"/>
  <c r="AJ12" i="11" s="1"/>
  <c r="BR12" i="11" s="1"/>
  <c r="AF12" i="11" a="1"/>
  <c r="AF12" i="11" s="1"/>
  <c r="AG12" i="11" a="1"/>
  <c r="AG12" i="11" s="1"/>
  <c r="BO12" i="11" s="1"/>
  <c r="AI12" i="11" a="1"/>
  <c r="AI12" i="11" s="1"/>
  <c r="AI19" i="11" a="1"/>
  <c r="AI19" i="11" s="1"/>
  <c r="AG19" i="11" a="1"/>
  <c r="AG19" i="11" s="1"/>
  <c r="AH19" i="11" a="1"/>
  <c r="AH19" i="11" s="1"/>
  <c r="AJ19" i="11" a="1"/>
  <c r="AJ19" i="11" s="1"/>
  <c r="AF19" i="11" a="1"/>
  <c r="AF19" i="11" s="1"/>
  <c r="AI23" i="11" a="1"/>
  <c r="AI23" i="11" s="1"/>
  <c r="AG23" i="11" a="1"/>
  <c r="AG23" i="11" s="1"/>
  <c r="AH23" i="11" a="1"/>
  <c r="AH23" i="11" s="1"/>
  <c r="AJ23" i="11" a="1"/>
  <c r="AJ23" i="11" s="1"/>
  <c r="AF23" i="11" a="1"/>
  <c r="AF23" i="11" s="1"/>
  <c r="AG17" i="11" a="1"/>
  <c r="AG17" i="11" s="1"/>
  <c r="AI17" i="11" a="1"/>
  <c r="AI17" i="11" s="1"/>
  <c r="AJ17" i="11" a="1"/>
  <c r="AJ17" i="11" s="1"/>
  <c r="AF17" i="11" a="1"/>
  <c r="AF17" i="11" s="1"/>
  <c r="AH17" i="11" a="1"/>
  <c r="AH17" i="11" s="1"/>
  <c r="AH16" i="11" a="1"/>
  <c r="AH16" i="11" s="1"/>
  <c r="AJ16" i="11" a="1"/>
  <c r="AJ16" i="11" s="1"/>
  <c r="AF16" i="11" a="1"/>
  <c r="AF16" i="11" s="1"/>
  <c r="AG16" i="11" a="1"/>
  <c r="AG16" i="11" s="1"/>
  <c r="AI16" i="11" a="1"/>
  <c r="AI16" i="11" s="1"/>
  <c r="AI27" i="11" a="1"/>
  <c r="AI27" i="11" s="1"/>
  <c r="AG27" i="11" a="1"/>
  <c r="AG27" i="11" s="1"/>
  <c r="AH27" i="11" a="1"/>
  <c r="AH27" i="11" s="1"/>
  <c r="AJ27" i="11" a="1"/>
  <c r="AJ27" i="11" s="1"/>
  <c r="AF27" i="11" a="1"/>
  <c r="AF27" i="11" s="1"/>
  <c r="AG13" i="11" a="1"/>
  <c r="AG13" i="11" s="1"/>
  <c r="AI13" i="11" a="1"/>
  <c r="AI13" i="11" s="1"/>
  <c r="AJ13" i="11" a="1"/>
  <c r="AJ13" i="11" s="1"/>
  <c r="AF13" i="11" a="1"/>
  <c r="AF13" i="11" s="1"/>
  <c r="AH13" i="11" a="1"/>
  <c r="AH13" i="11" s="1"/>
  <c r="AI31" i="11" a="1"/>
  <c r="AI31" i="11" s="1"/>
  <c r="AG31" i="11" a="1"/>
  <c r="AG31" i="11" s="1"/>
  <c r="AH31" i="11" a="1"/>
  <c r="AH31" i="11" s="1"/>
  <c r="AJ31" i="11" a="1"/>
  <c r="AJ31" i="11" s="1"/>
  <c r="AF31" i="11" a="1"/>
  <c r="AF31" i="11" s="1"/>
  <c r="J24" i="11"/>
  <c r="O24" i="11"/>
  <c r="J28" i="11"/>
  <c r="O28" i="11"/>
  <c r="J15" i="11"/>
  <c r="O15" i="11"/>
  <c r="J18" i="11"/>
  <c r="O18" i="11"/>
  <c r="J21" i="11"/>
  <c r="O21" i="11"/>
  <c r="J33" i="11"/>
  <c r="O33" i="11"/>
  <c r="J14" i="11"/>
  <c r="O14" i="11"/>
  <c r="J34" i="11"/>
  <c r="O34" i="11"/>
  <c r="J25" i="11"/>
  <c r="O25" i="11"/>
  <c r="J20" i="11"/>
  <c r="O20" i="11"/>
  <c r="J22" i="11"/>
  <c r="O22" i="11"/>
  <c r="J29" i="11"/>
  <c r="O29" i="11"/>
  <c r="J16" i="11"/>
  <c r="O16" i="11"/>
  <c r="J30" i="11"/>
  <c r="O30" i="11"/>
  <c r="J32" i="11"/>
  <c r="O32" i="11"/>
  <c r="J26" i="11"/>
  <c r="O26" i="11"/>
  <c r="J12" i="11"/>
  <c r="O12" i="11"/>
  <c r="J19" i="11"/>
  <c r="O19" i="11"/>
  <c r="J23" i="11"/>
  <c r="O23" i="11"/>
  <c r="J17" i="11"/>
  <c r="O17" i="11"/>
  <c r="J27" i="11"/>
  <c r="O27" i="11"/>
  <c r="J13" i="11"/>
  <c r="O13" i="11"/>
  <c r="J31" i="11"/>
  <c r="O31" i="11"/>
  <c r="E164" i="23"/>
  <c r="D88" i="23"/>
  <c r="M88" i="23"/>
  <c r="D45" i="23"/>
  <c r="D46" i="23" s="1" a="1"/>
  <c r="D46" i="23" s="1"/>
  <c r="C56" i="23" s="1"/>
  <c r="L16" i="23"/>
  <c r="E165" i="23"/>
  <c r="E167" i="23"/>
  <c r="H39" i="23"/>
  <c r="H35" i="23" a="1"/>
  <c r="H35" i="23" s="1"/>
  <c r="H36" i="23" s="1"/>
  <c r="L37" i="23" a="1"/>
  <c r="L37" i="23" s="1"/>
  <c r="C37" i="23" a="1"/>
  <c r="C37" i="23" s="1"/>
  <c r="H146" i="23" a="1"/>
  <c r="H146" i="23" s="1"/>
  <c r="L34" i="23" a="1"/>
  <c r="L34" i="23" s="1"/>
  <c r="L39" i="23" s="1"/>
  <c r="E87" i="23"/>
  <c r="L146" i="23" a="1"/>
  <c r="L146" i="23" s="1"/>
  <c r="L35" i="23" a="1"/>
  <c r="L35" i="23" s="1"/>
  <c r="L36" i="23" s="1"/>
  <c r="J87" i="23"/>
  <c r="C35" i="23" a="1"/>
  <c r="C35" i="23" s="1"/>
  <c r="C36" i="23" s="1"/>
  <c r="F34" i="23" a="1"/>
  <c r="F34" i="23" s="1"/>
  <c r="F39" i="23" s="1"/>
  <c r="F40" i="23" s="1"/>
  <c r="H37" i="23" a="1"/>
  <c r="H37" i="23" s="1"/>
  <c r="C34" i="23" a="1"/>
  <c r="C34" i="23" s="1"/>
  <c r="F35" i="23" a="1"/>
  <c r="F35" i="23" s="1"/>
  <c r="F36" i="23" s="1"/>
  <c r="F38" i="23" s="1"/>
  <c r="H87" i="23"/>
  <c r="I93" i="23"/>
  <c r="J12" i="23"/>
  <c r="J15" i="23" s="1"/>
  <c r="L87" i="23"/>
  <c r="F13" i="23"/>
  <c r="F18" i="23" s="1"/>
  <c r="D87" i="23"/>
  <c r="G88" i="23"/>
  <c r="E162" i="23"/>
  <c r="E166" i="23"/>
  <c r="G12" i="23"/>
  <c r="F93" i="23"/>
  <c r="J95" i="23"/>
  <c r="E163" i="23"/>
  <c r="I12" i="23"/>
  <c r="H93" i="23"/>
  <c r="J93" i="23"/>
  <c r="D13" i="23"/>
  <c r="F87" i="23"/>
  <c r="H88" i="23"/>
  <c r="E12" i="23"/>
  <c r="K14" i="23"/>
  <c r="G54" i="23"/>
  <c r="E93" i="23"/>
  <c r="G95" i="23"/>
  <c r="H86" i="23"/>
  <c r="I94" i="23"/>
  <c r="I54" i="23"/>
  <c r="I86" i="23"/>
  <c r="E88" i="23"/>
  <c r="L93" i="23"/>
  <c r="J94" i="23"/>
  <c r="H95" i="23"/>
  <c r="G14" i="23"/>
  <c r="H14" i="23"/>
  <c r="L13" i="23"/>
  <c r="I14" i="23"/>
  <c r="K54" i="23"/>
  <c r="J86" i="23"/>
  <c r="I87" i="23"/>
  <c r="F88" i="23"/>
  <c r="D93" i="23"/>
  <c r="M93" i="23"/>
  <c r="L94" i="23"/>
  <c r="I95" i="23"/>
  <c r="L14" i="23"/>
  <c r="M86" i="23"/>
  <c r="L95" i="23"/>
  <c r="E58" i="23"/>
  <c r="E86" i="23"/>
  <c r="K89" i="23"/>
  <c r="K90" i="23" s="1"/>
  <c r="M87" i="23"/>
  <c r="I88" i="23"/>
  <c r="G93" i="23"/>
  <c r="E94" i="23"/>
  <c r="D95" i="23"/>
  <c r="M95" i="23"/>
  <c r="M96" i="23" s="1"/>
  <c r="C168" i="23"/>
  <c r="E168" i="23" s="1"/>
  <c r="E14" i="23"/>
  <c r="D16" i="23"/>
  <c r="E54" i="23"/>
  <c r="F86" i="23"/>
  <c r="J88" i="23"/>
  <c r="F94" i="23"/>
  <c r="E95" i="23"/>
  <c r="C14" i="23"/>
  <c r="D86" i="23"/>
  <c r="D94" i="23"/>
  <c r="D14" i="23"/>
  <c r="F14" i="23"/>
  <c r="F15" i="23" s="1"/>
  <c r="F16" i="23"/>
  <c r="F54" i="23"/>
  <c r="G86" i="23"/>
  <c r="L88" i="23"/>
  <c r="H94" i="23"/>
  <c r="F95" i="23"/>
  <c r="L86" i="23"/>
  <c r="D58" i="23"/>
  <c r="D23" i="23"/>
  <c r="D22" i="23"/>
  <c r="D57" i="23" s="1"/>
  <c r="K60" i="23"/>
  <c r="H12" i="23"/>
  <c r="E13" i="23"/>
  <c r="E16" i="23"/>
  <c r="D54" i="23"/>
  <c r="L54" i="23"/>
  <c r="G87" i="23"/>
  <c r="G94" i="23"/>
  <c r="G13" i="23"/>
  <c r="G16" i="23"/>
  <c r="C12" i="23"/>
  <c r="K12" i="23"/>
  <c r="K18" i="23" s="1"/>
  <c r="K19" i="23" s="1"/>
  <c r="H13" i="23"/>
  <c r="H16" i="23"/>
  <c r="D12" i="23"/>
  <c r="L12" i="23"/>
  <c r="I13" i="23"/>
  <c r="I16" i="23"/>
  <c r="H54" i="23"/>
  <c r="K94" i="23"/>
  <c r="K96" i="23" s="1"/>
  <c r="K97" i="23" s="1"/>
  <c r="J13" i="23"/>
  <c r="J16" i="23"/>
  <c r="C13" i="23"/>
  <c r="C16" i="23"/>
  <c r="BT15" i="11" l="1"/>
  <c r="BR17" i="11"/>
  <c r="BP14" i="11"/>
  <c r="BP24" i="11"/>
  <c r="BR15" i="11"/>
  <c r="BT34" i="11"/>
  <c r="BR31" i="11"/>
  <c r="BN23" i="11"/>
  <c r="BN12" i="11"/>
  <c r="BN29" i="11"/>
  <c r="BP23" i="11"/>
  <c r="BE14" i="11"/>
  <c r="BO25" i="11"/>
  <c r="BO34" i="11"/>
  <c r="BD34" i="11"/>
  <c r="BP25" i="11"/>
  <c r="BR14" i="11"/>
  <c r="BT14" i="11"/>
  <c r="BD18" i="11"/>
  <c r="BQ23" i="11"/>
  <c r="BQ18" i="11"/>
  <c r="BN18" i="11"/>
  <c r="BD24" i="11"/>
  <c r="BQ13" i="11"/>
  <c r="BR26" i="11"/>
  <c r="BR20" i="11"/>
  <c r="BN24" i="11"/>
  <c r="BT25" i="11"/>
  <c r="BQ34" i="11"/>
  <c r="BO18" i="11"/>
  <c r="BQ31" i="11"/>
  <c r="BO23" i="11"/>
  <c r="BT17" i="11"/>
  <c r="BH18" i="11"/>
  <c r="BO29" i="11"/>
  <c r="BT18" i="11"/>
  <c r="BN13" i="11"/>
  <c r="BG18" i="11"/>
  <c r="BT31" i="11"/>
  <c r="BP27" i="11"/>
  <c r="BT28" i="11"/>
  <c r="BP30" i="11"/>
  <c r="BT12" i="11"/>
  <c r="BT33" i="11"/>
  <c r="BN30" i="11"/>
  <c r="BR16" i="11"/>
  <c r="BO20" i="11"/>
  <c r="BQ24" i="11"/>
  <c r="BP18" i="11"/>
  <c r="BR13" i="11"/>
  <c r="BR34" i="11"/>
  <c r="BP21" i="11"/>
  <c r="BO26" i="11"/>
  <c r="BO31" i="11"/>
  <c r="BG12" i="11"/>
  <c r="BP17" i="11"/>
  <c r="BN17" i="11"/>
  <c r="BE13" i="11"/>
  <c r="BG25" i="11"/>
  <c r="BG24" i="11"/>
  <c r="BQ32" i="11"/>
  <c r="BT21" i="11"/>
  <c r="BT20" i="11"/>
  <c r="BE34" i="11"/>
  <c r="BQ22" i="11"/>
  <c r="BQ33" i="11"/>
  <c r="BO13" i="11"/>
  <c r="BQ25" i="11"/>
  <c r="BQ14" i="11"/>
  <c r="BG14" i="11"/>
  <c r="BT24" i="11"/>
  <c r="BP13" i="11"/>
  <c r="BP20" i="11"/>
  <c r="BP34" i="11"/>
  <c r="BP33" i="11"/>
  <c r="BR24" i="11"/>
  <c r="BD13" i="11"/>
  <c r="BD21" i="11"/>
  <c r="BD20" i="11"/>
  <c r="BF34" i="11"/>
  <c r="BN34" i="11"/>
  <c r="BT23" i="11"/>
  <c r="BH14" i="11"/>
  <c r="BR25" i="11"/>
  <c r="BN21" i="11"/>
  <c r="BT29" i="11"/>
  <c r="BE21" i="11"/>
  <c r="BE20" i="11"/>
  <c r="BN20" i="11"/>
  <c r="BO21" i="11"/>
  <c r="BF13" i="11"/>
  <c r="BH25" i="11"/>
  <c r="BH24" i="11"/>
  <c r="BN31" i="11"/>
  <c r="BP19" i="11"/>
  <c r="BR32" i="11"/>
  <c r="BR18" i="11"/>
  <c r="BN28" i="11"/>
  <c r="BT27" i="11"/>
  <c r="BT19" i="11"/>
  <c r="BJ20" i="11"/>
  <c r="BQ27" i="11"/>
  <c r="BN19" i="11"/>
  <c r="BO32" i="11"/>
  <c r="BR30" i="11"/>
  <c r="BN33" i="11"/>
  <c r="BQ28" i="11"/>
  <c r="BT13" i="11"/>
  <c r="BE32" i="11"/>
  <c r="BE29" i="11"/>
  <c r="BG26" i="11"/>
  <c r="BR19" i="11"/>
  <c r="BP12" i="11"/>
  <c r="BN32" i="11"/>
  <c r="BN25" i="11"/>
  <c r="BR33" i="11"/>
  <c r="BN16" i="11"/>
  <c r="BQ26" i="11"/>
  <c r="BP32" i="11"/>
  <c r="BP22" i="11"/>
  <c r="BQ20" i="11"/>
  <c r="BN15" i="11"/>
  <c r="BR28" i="11"/>
  <c r="BP31" i="11"/>
  <c r="BN27" i="11"/>
  <c r="BR23" i="11"/>
  <c r="BQ19" i="11"/>
  <c r="BP26" i="11"/>
  <c r="BO30" i="11"/>
  <c r="BN22" i="11"/>
  <c r="BQ21" i="11"/>
  <c r="BP28" i="11"/>
  <c r="BT32" i="11"/>
  <c r="BT30" i="11"/>
  <c r="BT26" i="11"/>
  <c r="BT22" i="11"/>
  <c r="BG13" i="11"/>
  <c r="BR27" i="11"/>
  <c r="BP16" i="11"/>
  <c r="BQ12" i="11"/>
  <c r="BN26" i="11"/>
  <c r="BQ30" i="11"/>
  <c r="BR22" i="11"/>
  <c r="BN14" i="11"/>
  <c r="BP15" i="11"/>
  <c r="BF16" i="11"/>
  <c r="BO27" i="11"/>
  <c r="BQ15" i="11"/>
  <c r="BT16" i="11"/>
  <c r="BQ16" i="11"/>
  <c r="BQ17" i="11"/>
  <c r="BO22" i="11"/>
  <c r="BQ29" i="11"/>
  <c r="BO28" i="11"/>
  <c r="BO16" i="11"/>
  <c r="BO17" i="11"/>
  <c r="BO14" i="11"/>
  <c r="BO19" i="11"/>
  <c r="BO33" i="11"/>
  <c r="BR21" i="11"/>
  <c r="BO24" i="11"/>
  <c r="BE16" i="11"/>
  <c r="BG16" i="11"/>
  <c r="BD16" i="11"/>
  <c r="BF32" i="11"/>
  <c r="BF29" i="11"/>
  <c r="BH26" i="11"/>
  <c r="BH13" i="11"/>
  <c r="BD17" i="11"/>
  <c r="BH12" i="11"/>
  <c r="BF19" i="11"/>
  <c r="BF26" i="11"/>
  <c r="BF33" i="11"/>
  <c r="BH27" i="11"/>
  <c r="BF30" i="11"/>
  <c r="BF15" i="11"/>
  <c r="BH23" i="11"/>
  <c r="BH32" i="11"/>
  <c r="BH22" i="11"/>
  <c r="BF31" i="11"/>
  <c r="BF12" i="11"/>
  <c r="BH19" i="11"/>
  <c r="BH30" i="11"/>
  <c r="BH33" i="11"/>
  <c r="BH28" i="11"/>
  <c r="BJ30" i="11"/>
  <c r="BJ17" i="11"/>
  <c r="BJ27" i="11"/>
  <c r="BF21" i="11"/>
  <c r="BJ33" i="11"/>
  <c r="BJ26" i="11"/>
  <c r="BJ22" i="11"/>
  <c r="BJ19" i="11"/>
  <c r="BE30" i="11"/>
  <c r="BE15" i="11"/>
  <c r="BG23" i="11"/>
  <c r="BG32" i="11"/>
  <c r="BG22" i="11"/>
  <c r="BF20" i="11"/>
  <c r="BE31" i="11"/>
  <c r="BE12" i="11"/>
  <c r="BG19" i="11"/>
  <c r="BG30" i="11"/>
  <c r="BG20" i="11"/>
  <c r="BG33" i="11"/>
  <c r="BG28" i="11"/>
  <c r="BJ21" i="11"/>
  <c r="BH16" i="11"/>
  <c r="BJ28" i="11"/>
  <c r="BJ16" i="11"/>
  <c r="BE19" i="11"/>
  <c r="BE26" i="11"/>
  <c r="BE33" i="11"/>
  <c r="BG27" i="11"/>
  <c r="BG21" i="11"/>
  <c r="BJ32" i="11"/>
  <c r="BH21" i="11"/>
  <c r="BH20" i="11"/>
  <c r="BH17" i="11"/>
  <c r="BH29" i="11"/>
  <c r="BH34" i="11"/>
  <c r="BH31" i="11"/>
  <c r="BH15" i="11"/>
  <c r="BG17" i="11"/>
  <c r="BG29" i="11"/>
  <c r="BG34" i="11"/>
  <c r="BG31" i="11"/>
  <c r="BG15" i="11"/>
  <c r="BD23" i="11"/>
  <c r="BF27" i="11"/>
  <c r="BF18" i="11"/>
  <c r="BF24" i="11"/>
  <c r="BE27" i="11"/>
  <c r="BE18" i="11"/>
  <c r="BE24" i="11"/>
  <c r="BD12" i="11"/>
  <c r="BF17" i="11"/>
  <c r="BF22" i="11"/>
  <c r="BE17" i="11"/>
  <c r="BE22" i="11"/>
  <c r="BF23" i="11"/>
  <c r="BF28" i="11"/>
  <c r="BE23" i="11"/>
  <c r="BE28" i="11"/>
  <c r="BD31" i="11"/>
  <c r="BD28" i="11"/>
  <c r="BD33" i="11"/>
  <c r="BD14" i="11"/>
  <c r="BD27" i="11"/>
  <c r="BD19" i="11"/>
  <c r="BD25" i="11"/>
  <c r="BD32" i="11"/>
  <c r="BD30" i="11"/>
  <c r="BD26" i="11"/>
  <c r="BD22" i="11"/>
  <c r="I22" i="11"/>
  <c r="M22" i="11" s="1"/>
  <c r="I31" i="11"/>
  <c r="P31" i="11" s="1"/>
  <c r="I17" i="11"/>
  <c r="R17" i="11" s="1"/>
  <c r="I28" i="11"/>
  <c r="S28" i="11" s="1"/>
  <c r="I34" i="11"/>
  <c r="K34" i="11" s="1"/>
  <c r="Z34" i="11" s="1"/>
  <c r="BI34" i="11" s="1"/>
  <c r="I13" i="11"/>
  <c r="K13" i="11" s="1"/>
  <c r="Z13" i="11" s="1"/>
  <c r="BI13" i="11" s="1"/>
  <c r="I19" i="11"/>
  <c r="P19" i="11" s="1"/>
  <c r="I33" i="11"/>
  <c r="S33" i="11" s="1"/>
  <c r="I30" i="11"/>
  <c r="L30" i="11" s="1"/>
  <c r="I25" i="11"/>
  <c r="S25" i="11" s="1"/>
  <c r="I26" i="11"/>
  <c r="K26" i="11" s="1"/>
  <c r="Z26" i="11" s="1"/>
  <c r="BI26" i="11" s="1"/>
  <c r="I16" i="11"/>
  <c r="Q16" i="11" s="1"/>
  <c r="AN16" i="11" s="1"/>
  <c r="BV16" i="11" s="1"/>
  <c r="I18" i="11"/>
  <c r="L18" i="11" s="1"/>
  <c r="I24" i="11"/>
  <c r="P24" i="11" s="1"/>
  <c r="I23" i="11"/>
  <c r="P23" i="11" s="1"/>
  <c r="I32" i="11"/>
  <c r="L32" i="11" s="1"/>
  <c r="I12" i="11"/>
  <c r="P12" i="11" s="1"/>
  <c r="I14" i="11"/>
  <c r="S14" i="11" s="1"/>
  <c r="I20" i="11"/>
  <c r="R20" i="11" s="1"/>
  <c r="I15" i="11"/>
  <c r="S15" i="11" s="1"/>
  <c r="I27" i="11"/>
  <c r="M27" i="11" s="1"/>
  <c r="I29" i="11"/>
  <c r="M29" i="11" s="1"/>
  <c r="I21" i="11"/>
  <c r="R21" i="11" s="1"/>
  <c r="I11" i="11"/>
  <c r="Q11" i="11" s="1"/>
  <c r="M89" i="23"/>
  <c r="M90" i="23" s="1"/>
  <c r="D89" i="23"/>
  <c r="D90" i="23" s="1"/>
  <c r="C39" i="23"/>
  <c r="C40" i="23" s="1"/>
  <c r="C54" i="23"/>
  <c r="G18" i="23"/>
  <c r="G19" i="23" s="1"/>
  <c r="J18" i="23"/>
  <c r="J19" i="23" s="1"/>
  <c r="L40" i="23"/>
  <c r="F89" i="23"/>
  <c r="F90" i="23" s="1"/>
  <c r="C38" i="23"/>
  <c r="J89" i="23"/>
  <c r="J90" i="23" s="1"/>
  <c r="I18" i="23"/>
  <c r="I19" i="23" s="1"/>
  <c r="E89" i="23"/>
  <c r="E90" i="23" s="1"/>
  <c r="I15" i="23"/>
  <c r="I17" i="23" s="1"/>
  <c r="L89" i="23"/>
  <c r="L90" i="23" s="1"/>
  <c r="E15" i="23"/>
  <c r="E17" i="23" s="1"/>
  <c r="G15" i="23"/>
  <c r="G17" i="23" s="1"/>
  <c r="H18" i="23"/>
  <c r="H19" i="23" s="1"/>
  <c r="D60" i="23"/>
  <c r="H89" i="23"/>
  <c r="H90" i="23" s="1"/>
  <c r="E18" i="23"/>
  <c r="E19" i="23" s="1"/>
  <c r="H96" i="23"/>
  <c r="H97" i="23" s="1"/>
  <c r="L38" i="23"/>
  <c r="G89" i="23"/>
  <c r="G90" i="23" s="1"/>
  <c r="F19" i="23"/>
  <c r="H38" i="23"/>
  <c r="J17" i="23"/>
  <c r="F17" i="23"/>
  <c r="J96" i="23"/>
  <c r="J97" i="23" s="1"/>
  <c r="D96" i="23"/>
  <c r="D97" i="23" s="1"/>
  <c r="L96" i="23"/>
  <c r="L97" i="23" s="1"/>
  <c r="H40" i="23"/>
  <c r="E169" i="23"/>
  <c r="H15" i="23"/>
  <c r="H17" i="23" s="1"/>
  <c r="M97" i="23"/>
  <c r="G96" i="23"/>
  <c r="G97" i="23" s="1"/>
  <c r="C15" i="23"/>
  <c r="C17" i="23" s="1"/>
  <c r="L18" i="23"/>
  <c r="L19" i="23" s="1"/>
  <c r="D18" i="23"/>
  <c r="D19" i="23" s="1"/>
  <c r="F96" i="23"/>
  <c r="F97" i="23" s="1"/>
  <c r="I96" i="23"/>
  <c r="I97" i="23" s="1"/>
  <c r="I89" i="23"/>
  <c r="I90" i="23" s="1"/>
  <c r="E96" i="23"/>
  <c r="E97" i="23" s="1"/>
  <c r="L15" i="23"/>
  <c r="L17" i="23" s="1"/>
  <c r="K15" i="23"/>
  <c r="K17" i="23" s="1"/>
  <c r="D15" i="23"/>
  <c r="D17" i="23" s="1"/>
  <c r="C18" i="23"/>
  <c r="C19" i="23" s="1"/>
  <c r="L22" i="11" l="1"/>
  <c r="S22" i="11"/>
  <c r="AP22" i="11" s="1"/>
  <c r="K22" i="11"/>
  <c r="Z22" i="11" s="1"/>
  <c r="BI22" i="11" s="1"/>
  <c r="R22" i="11"/>
  <c r="AD22" i="11" s="1"/>
  <c r="BM22" i="11" s="1"/>
  <c r="Q22" i="11"/>
  <c r="AN22" i="11" s="1"/>
  <c r="BV22" i="11" s="1"/>
  <c r="P22" i="11"/>
  <c r="AK22" i="11" s="1"/>
  <c r="BS22" i="11" s="1"/>
  <c r="M31" i="11"/>
  <c r="N22" i="11"/>
  <c r="K25" i="11"/>
  <c r="Z25" i="11" s="1"/>
  <c r="BI25" i="11" s="1"/>
  <c r="N31" i="11"/>
  <c r="L31" i="11"/>
  <c r="R31" i="11"/>
  <c r="AO31" i="11" s="1"/>
  <c r="BW31" i="11" s="1"/>
  <c r="R25" i="11"/>
  <c r="AO25" i="11" s="1"/>
  <c r="BW25" i="11" s="1"/>
  <c r="N25" i="11"/>
  <c r="P25" i="11"/>
  <c r="AM25" i="11" s="1"/>
  <c r="BU25" i="11" s="1"/>
  <c r="S31" i="11"/>
  <c r="AP31" i="11" s="1"/>
  <c r="K31" i="11"/>
  <c r="Z31" i="11" s="1"/>
  <c r="BI31" i="11" s="1"/>
  <c r="Q31" i="11"/>
  <c r="AN31" i="11" s="1"/>
  <c r="BV31" i="11" s="1"/>
  <c r="L25" i="11"/>
  <c r="M25" i="11"/>
  <c r="N17" i="11"/>
  <c r="N34" i="11"/>
  <c r="P26" i="11"/>
  <c r="AM26" i="11" s="1"/>
  <c r="BU26" i="11" s="1"/>
  <c r="P17" i="11"/>
  <c r="AM17" i="11" s="1"/>
  <c r="BU17" i="11" s="1"/>
  <c r="Q17" i="11"/>
  <c r="AN17" i="11" s="1"/>
  <c r="BV17" i="11" s="1"/>
  <c r="L17" i="11"/>
  <c r="L34" i="11"/>
  <c r="R16" i="11"/>
  <c r="AO16" i="11" s="1"/>
  <c r="BW16" i="11" s="1"/>
  <c r="K28" i="11"/>
  <c r="Z28" i="11" s="1"/>
  <c r="BI28" i="11" s="1"/>
  <c r="M28" i="11"/>
  <c r="P28" i="11"/>
  <c r="AM28" i="11" s="1"/>
  <c r="BU28" i="11" s="1"/>
  <c r="Q34" i="11"/>
  <c r="AN34" i="11" s="1"/>
  <c r="BV34" i="11" s="1"/>
  <c r="L28" i="11"/>
  <c r="N28" i="11"/>
  <c r="S16" i="11"/>
  <c r="AE16" i="11" s="1"/>
  <c r="M17" i="11"/>
  <c r="R28" i="11"/>
  <c r="AD28" i="11" s="1"/>
  <c r="BM28" i="11" s="1"/>
  <c r="P33" i="11"/>
  <c r="AK33" i="11" s="1"/>
  <c r="BS33" i="11" s="1"/>
  <c r="L33" i="11"/>
  <c r="S12" i="11"/>
  <c r="AE12" i="11" s="1"/>
  <c r="Q28" i="11"/>
  <c r="AN28" i="11" s="1"/>
  <c r="BV28" i="11" s="1"/>
  <c r="P34" i="11"/>
  <c r="AK34" i="11" s="1"/>
  <c r="BS34" i="11" s="1"/>
  <c r="N30" i="11"/>
  <c r="M34" i="11"/>
  <c r="N16" i="11"/>
  <c r="Q33" i="11"/>
  <c r="AN33" i="11" s="1"/>
  <c r="BV33" i="11" s="1"/>
  <c r="L12" i="11"/>
  <c r="Q30" i="11"/>
  <c r="AN30" i="11" s="1"/>
  <c r="BV30" i="11" s="1"/>
  <c r="N26" i="11"/>
  <c r="S17" i="11"/>
  <c r="AE17" i="11" s="1"/>
  <c r="K17" i="11"/>
  <c r="Z17" i="11" s="1"/>
  <c r="BI17" i="11" s="1"/>
  <c r="R34" i="11"/>
  <c r="AD34" i="11" s="1"/>
  <c r="BM34" i="11" s="1"/>
  <c r="S34" i="11"/>
  <c r="AE34" i="11" s="1"/>
  <c r="L16" i="11"/>
  <c r="Q13" i="11"/>
  <c r="AN13" i="11" s="1"/>
  <c r="BV13" i="11" s="1"/>
  <c r="P13" i="11"/>
  <c r="AK13" i="11" s="1"/>
  <c r="BS13" i="11" s="1"/>
  <c r="S13" i="11"/>
  <c r="AE13" i="11" s="1"/>
  <c r="M16" i="11"/>
  <c r="P16" i="11"/>
  <c r="AK16" i="11" s="1"/>
  <c r="BS16" i="11" s="1"/>
  <c r="K16" i="11"/>
  <c r="Z16" i="11" s="1"/>
  <c r="BI16" i="11" s="1"/>
  <c r="R13" i="11"/>
  <c r="AO13" i="11" s="1"/>
  <c r="BW13" i="11" s="1"/>
  <c r="R30" i="11"/>
  <c r="AD30" i="11" s="1"/>
  <c r="BM30" i="11" s="1"/>
  <c r="K30" i="11"/>
  <c r="Z30" i="11" s="1"/>
  <c r="BI30" i="11" s="1"/>
  <c r="R19" i="11"/>
  <c r="AD19" i="11" s="1"/>
  <c r="BM19" i="11" s="1"/>
  <c r="S19" i="11"/>
  <c r="AE19" i="11" s="1"/>
  <c r="M33" i="11"/>
  <c r="S30" i="11"/>
  <c r="AE30" i="11" s="1"/>
  <c r="N12" i="11"/>
  <c r="M30" i="11"/>
  <c r="P30" i="11"/>
  <c r="AK30" i="11" s="1"/>
  <c r="BS30" i="11" s="1"/>
  <c r="N19" i="11"/>
  <c r="Q12" i="11"/>
  <c r="AN12" i="11" s="1"/>
  <c r="BV12" i="11" s="1"/>
  <c r="M19" i="11"/>
  <c r="L19" i="11"/>
  <c r="K19" i="11"/>
  <c r="Z19" i="11" s="1"/>
  <c r="BI19" i="11" s="1"/>
  <c r="Q19" i="11"/>
  <c r="AN19" i="11" s="1"/>
  <c r="BV19" i="11" s="1"/>
  <c r="R12" i="11"/>
  <c r="AD12" i="11" s="1"/>
  <c r="BM12" i="11" s="1"/>
  <c r="R18" i="11"/>
  <c r="AO18" i="11" s="1"/>
  <c r="BW18" i="11" s="1"/>
  <c r="N33" i="11"/>
  <c r="N13" i="11"/>
  <c r="M13" i="11"/>
  <c r="R33" i="11"/>
  <c r="AD33" i="11" s="1"/>
  <c r="BM33" i="11" s="1"/>
  <c r="K33" i="11"/>
  <c r="Z33" i="11" s="1"/>
  <c r="BI33" i="11" s="1"/>
  <c r="L13" i="11"/>
  <c r="P18" i="11"/>
  <c r="AK18" i="11" s="1"/>
  <c r="BS18" i="11" s="1"/>
  <c r="N18" i="11"/>
  <c r="S18" i="11"/>
  <c r="AP18" i="11" s="1"/>
  <c r="Q25" i="11"/>
  <c r="AN25" i="11" s="1"/>
  <c r="BV25" i="11" s="1"/>
  <c r="R26" i="11"/>
  <c r="AD26" i="11" s="1"/>
  <c r="BM26" i="11" s="1"/>
  <c r="L26" i="11"/>
  <c r="L14" i="11"/>
  <c r="S24" i="11"/>
  <c r="AE24" i="11" s="1"/>
  <c r="Q26" i="11"/>
  <c r="AN26" i="11" s="1"/>
  <c r="BV26" i="11" s="1"/>
  <c r="S26" i="11"/>
  <c r="AE26" i="11" s="1"/>
  <c r="L23" i="11"/>
  <c r="M26" i="11"/>
  <c r="N14" i="11"/>
  <c r="Q18" i="11"/>
  <c r="AN18" i="11" s="1"/>
  <c r="BV18" i="11" s="1"/>
  <c r="M14" i="11"/>
  <c r="Q14" i="11"/>
  <c r="AN14" i="11" s="1"/>
  <c r="BV14" i="11" s="1"/>
  <c r="K14" i="11"/>
  <c r="Z14" i="11" s="1"/>
  <c r="BI14" i="11" s="1"/>
  <c r="K18" i="11"/>
  <c r="Z18" i="11" s="1"/>
  <c r="BI18" i="11" s="1"/>
  <c r="K32" i="11"/>
  <c r="Z32" i="11" s="1"/>
  <c r="BI32" i="11" s="1"/>
  <c r="Q27" i="11"/>
  <c r="AN27" i="11" s="1"/>
  <c r="BV27" i="11" s="1"/>
  <c r="P32" i="11"/>
  <c r="AK32" i="11" s="1"/>
  <c r="BS32" i="11" s="1"/>
  <c r="M24" i="11"/>
  <c r="M18" i="11"/>
  <c r="K29" i="11"/>
  <c r="Z29" i="11" s="1"/>
  <c r="BI29" i="11" s="1"/>
  <c r="K23" i="11"/>
  <c r="Z23" i="11" s="1"/>
  <c r="BI23" i="11" s="1"/>
  <c r="S23" i="11"/>
  <c r="AP23" i="11" s="1"/>
  <c r="K20" i="11"/>
  <c r="Z20" i="11" s="1"/>
  <c r="BI20" i="11" s="1"/>
  <c r="Q24" i="11"/>
  <c r="AN24" i="11" s="1"/>
  <c r="BV24" i="11" s="1"/>
  <c r="N32" i="11"/>
  <c r="L24" i="11"/>
  <c r="R32" i="11"/>
  <c r="AD32" i="11" s="1"/>
  <c r="BM32" i="11" s="1"/>
  <c r="R24" i="11"/>
  <c r="AO24" i="11" s="1"/>
  <c r="BW24" i="11" s="1"/>
  <c r="S32" i="11"/>
  <c r="AE32" i="11" s="1"/>
  <c r="N24" i="11"/>
  <c r="K24" i="11"/>
  <c r="Z24" i="11" s="1"/>
  <c r="BI24" i="11" s="1"/>
  <c r="M32" i="11"/>
  <c r="R23" i="11"/>
  <c r="AD23" i="11" s="1"/>
  <c r="BM23" i="11" s="1"/>
  <c r="P14" i="11"/>
  <c r="AM14" i="11" s="1"/>
  <c r="BU14" i="11" s="1"/>
  <c r="R14" i="11"/>
  <c r="AO14" i="11" s="1"/>
  <c r="BW14" i="11" s="1"/>
  <c r="K12" i="11"/>
  <c r="Z12" i="11" s="1"/>
  <c r="BI12" i="11" s="1"/>
  <c r="Q23" i="11"/>
  <c r="AN23" i="11" s="1"/>
  <c r="BV23" i="11" s="1"/>
  <c r="R27" i="11"/>
  <c r="AO27" i="11" s="1"/>
  <c r="BW27" i="11" s="1"/>
  <c r="Q32" i="11"/>
  <c r="AN32" i="11" s="1"/>
  <c r="BV32" i="11" s="1"/>
  <c r="M12" i="11"/>
  <c r="M23" i="11"/>
  <c r="N27" i="11"/>
  <c r="K27" i="11"/>
  <c r="Z27" i="11" s="1"/>
  <c r="BI27" i="11" s="1"/>
  <c r="S27" i="11"/>
  <c r="AE27" i="11" s="1"/>
  <c r="L27" i="11"/>
  <c r="N23" i="11"/>
  <c r="Q20" i="11"/>
  <c r="AN20" i="11" s="1"/>
  <c r="BV20" i="11" s="1"/>
  <c r="P20" i="11"/>
  <c r="AK20" i="11" s="1"/>
  <c r="BS20" i="11" s="1"/>
  <c r="S20" i="11"/>
  <c r="AP20" i="11" s="1"/>
  <c r="R15" i="11"/>
  <c r="AD15" i="11" s="1"/>
  <c r="BM15" i="11" s="1"/>
  <c r="L20" i="11"/>
  <c r="N20" i="11"/>
  <c r="M20" i="11"/>
  <c r="P15" i="11"/>
  <c r="AM15" i="11" s="1"/>
  <c r="BU15" i="11" s="1"/>
  <c r="K15" i="11"/>
  <c r="Z15" i="11" s="1"/>
  <c r="BI15" i="11" s="1"/>
  <c r="N15" i="11"/>
  <c r="M15" i="11"/>
  <c r="L21" i="11"/>
  <c r="Q15" i="11"/>
  <c r="AN15" i="11" s="1"/>
  <c r="BV15" i="11" s="1"/>
  <c r="L15" i="11"/>
  <c r="N29" i="11"/>
  <c r="M21" i="11"/>
  <c r="P27" i="11"/>
  <c r="AK27" i="11" s="1"/>
  <c r="BS27" i="11" s="1"/>
  <c r="R29" i="11"/>
  <c r="AO29" i="11" s="1"/>
  <c r="BW29" i="11" s="1"/>
  <c r="S29" i="11"/>
  <c r="AP29" i="11" s="1"/>
  <c r="P29" i="11"/>
  <c r="AM29" i="11" s="1"/>
  <c r="BU29" i="11" s="1"/>
  <c r="P21" i="11"/>
  <c r="AK21" i="11" s="1"/>
  <c r="BS21" i="11" s="1"/>
  <c r="N21" i="11"/>
  <c r="S21" i="11"/>
  <c r="AP21" i="11" s="1"/>
  <c r="Q29" i="11"/>
  <c r="AN29" i="11" s="1"/>
  <c r="BV29" i="11" s="1"/>
  <c r="K21" i="11"/>
  <c r="Z21" i="11" s="1"/>
  <c r="BI21" i="11" s="1"/>
  <c r="L29" i="11"/>
  <c r="Q21" i="11"/>
  <c r="AN21" i="11" s="1"/>
  <c r="BV21" i="11" s="1"/>
  <c r="AK31" i="11"/>
  <c r="BS31" i="11" s="1"/>
  <c r="AM31" i="11"/>
  <c r="BU31" i="11" s="1"/>
  <c r="AE25" i="11"/>
  <c r="AP25" i="11"/>
  <c r="AD21" i="11"/>
  <c r="BM21" i="11" s="1"/>
  <c r="AO21" i="11"/>
  <c r="BW21" i="11" s="1"/>
  <c r="AK19" i="11"/>
  <c r="BS19" i="11" s="1"/>
  <c r="AM19" i="11"/>
  <c r="BU19" i="11" s="1"/>
  <c r="AE15" i="11"/>
  <c r="AP15" i="11"/>
  <c r="AD17" i="11"/>
  <c r="BM17" i="11" s="1"/>
  <c r="AO17" i="11"/>
  <c r="BW17" i="11" s="1"/>
  <c r="AE28" i="11"/>
  <c r="AP28" i="11"/>
  <c r="AK23" i="11"/>
  <c r="BS23" i="11" s="1"/>
  <c r="AM23" i="11"/>
  <c r="BU23" i="11" s="1"/>
  <c r="AK24" i="11"/>
  <c r="BS24" i="11" s="1"/>
  <c r="AM24" i="11"/>
  <c r="BU24" i="11" s="1"/>
  <c r="AD31" i="11"/>
  <c r="BM31" i="11" s="1"/>
  <c r="AD20" i="11"/>
  <c r="BM20" i="11" s="1"/>
  <c r="AO20" i="11"/>
  <c r="BW20" i="11" s="1"/>
  <c r="AE14" i="11"/>
  <c r="AP14" i="11"/>
  <c r="AE33" i="11"/>
  <c r="AP33" i="11"/>
  <c r="AK12" i="11"/>
  <c r="BS12" i="11" s="1"/>
  <c r="AM12" i="11"/>
  <c r="BU12" i="11" s="1"/>
  <c r="AN11" i="11"/>
  <c r="BV11" i="11" s="1"/>
  <c r="AB16" i="11"/>
  <c r="BK16" i="11" s="1"/>
  <c r="AC16" i="11"/>
  <c r="BL16" i="11" s="1"/>
  <c r="AB11" i="11"/>
  <c r="BK11" i="11" s="1"/>
  <c r="AC11" i="11"/>
  <c r="BL11" i="11" s="1"/>
  <c r="S11" i="11"/>
  <c r="AP11" i="11" s="1"/>
  <c r="M11" i="11"/>
  <c r="P11" i="11"/>
  <c r="AM11" i="11" s="1"/>
  <c r="BU11" i="11" s="1"/>
  <c r="R11" i="11"/>
  <c r="AO11" i="11" s="1"/>
  <c r="BW11" i="11" s="1"/>
  <c r="N11" i="11"/>
  <c r="L11" i="11"/>
  <c r="K11" i="11"/>
  <c r="Z11" i="11" s="1"/>
  <c r="BI11" i="11" s="1"/>
  <c r="N90" i="23"/>
  <c r="N97" i="23"/>
  <c r="AE22" i="11" l="1"/>
  <c r="AC22" i="11"/>
  <c r="BL22" i="11" s="1"/>
  <c r="AB22" i="11"/>
  <c r="BK22" i="11" s="1"/>
  <c r="AO22" i="11"/>
  <c r="BW22" i="11" s="1"/>
  <c r="AM22" i="11"/>
  <c r="BU22" i="11" s="1"/>
  <c r="AK17" i="11"/>
  <c r="BS17" i="11" s="1"/>
  <c r="AD16" i="11"/>
  <c r="BM16" i="11" s="1"/>
  <c r="AE31" i="11"/>
  <c r="AD25" i="11"/>
  <c r="BM25" i="11" s="1"/>
  <c r="AC31" i="11"/>
  <c r="BL31" i="11" s="1"/>
  <c r="AB31" i="11"/>
  <c r="BK31" i="11" s="1"/>
  <c r="AK25" i="11"/>
  <c r="BS25" i="11" s="1"/>
  <c r="AK26" i="11"/>
  <c r="BS26" i="11" s="1"/>
  <c r="AC17" i="11"/>
  <c r="BL17" i="11" s="1"/>
  <c r="AB34" i="11"/>
  <c r="BK34" i="11" s="1"/>
  <c r="AP19" i="11"/>
  <c r="AB17" i="11"/>
  <c r="BK17" i="11" s="1"/>
  <c r="AK28" i="11"/>
  <c r="BS28" i="11" s="1"/>
  <c r="AM33" i="11"/>
  <c r="BU33" i="11" s="1"/>
  <c r="AO28" i="11"/>
  <c r="BW28" i="11" s="1"/>
  <c r="AC28" i="11"/>
  <c r="BL28" i="11" s="1"/>
  <c r="AB28" i="11"/>
  <c r="BK28" i="11" s="1"/>
  <c r="AP17" i="11"/>
  <c r="AM34" i="11"/>
  <c r="BU34" i="11" s="1"/>
  <c r="AM13" i="11"/>
  <c r="BU13" i="11" s="1"/>
  <c r="AO19" i="11"/>
  <c r="BW19" i="11" s="1"/>
  <c r="AC34" i="11"/>
  <c r="BL34" i="11" s="1"/>
  <c r="AC12" i="11"/>
  <c r="BL12" i="11" s="1"/>
  <c r="AP16" i="11"/>
  <c r="AC13" i="11"/>
  <c r="BL13" i="11" s="1"/>
  <c r="AO34" i="11"/>
  <c r="BW34" i="11" s="1"/>
  <c r="AP34" i="11"/>
  <c r="AP24" i="11"/>
  <c r="AO30" i="11"/>
  <c r="BW30" i="11" s="1"/>
  <c r="AM30" i="11"/>
  <c r="BU30" i="11" s="1"/>
  <c r="AB12" i="11"/>
  <c r="BK12" i="11" s="1"/>
  <c r="AC30" i="11"/>
  <c r="BL30" i="11" s="1"/>
  <c r="AB33" i="11"/>
  <c r="BK33" i="11" s="1"/>
  <c r="AB29" i="11"/>
  <c r="BK29" i="11" s="1"/>
  <c r="AB30" i="11"/>
  <c r="BK30" i="11" s="1"/>
  <c r="AC33" i="11"/>
  <c r="BL33" i="11" s="1"/>
  <c r="AP13" i="11"/>
  <c r="AP12" i="11"/>
  <c r="AB13" i="11"/>
  <c r="BK13" i="11" s="1"/>
  <c r="AB19" i="11"/>
  <c r="BK19" i="11" s="1"/>
  <c r="AD14" i="11"/>
  <c r="BM14" i="11" s="1"/>
  <c r="AP30" i="11"/>
  <c r="AD13" i="11"/>
  <c r="BM13" i="11" s="1"/>
  <c r="AC19" i="11"/>
  <c r="BL19" i="11" s="1"/>
  <c r="AO33" i="11"/>
  <c r="BW33" i="11" s="1"/>
  <c r="AM16" i="11"/>
  <c r="BU16" i="11" s="1"/>
  <c r="AO12" i="11"/>
  <c r="BW12" i="11" s="1"/>
  <c r="AE18" i="11"/>
  <c r="AC18" i="11"/>
  <c r="BL18" i="11" s="1"/>
  <c r="AB18" i="11"/>
  <c r="BK18" i="11" s="1"/>
  <c r="AO15" i="11"/>
  <c r="BW15" i="11" s="1"/>
  <c r="AO26" i="11"/>
  <c r="BW26" i="11" s="1"/>
  <c r="AO23" i="11"/>
  <c r="BW23" i="11" s="1"/>
  <c r="AD18" i="11"/>
  <c r="BM18" i="11" s="1"/>
  <c r="AB25" i="11"/>
  <c r="BK25" i="11" s="1"/>
  <c r="AM18" i="11"/>
  <c r="BU18" i="11" s="1"/>
  <c r="AM32" i="11"/>
  <c r="BU32" i="11" s="1"/>
  <c r="AC25" i="11"/>
  <c r="BL25" i="11" s="1"/>
  <c r="AP26" i="11"/>
  <c r="AC26" i="11"/>
  <c r="BL26" i="11" s="1"/>
  <c r="AE23" i="11"/>
  <c r="AB26" i="11"/>
  <c r="BK26" i="11" s="1"/>
  <c r="AK14" i="11"/>
  <c r="BS14" i="11" s="1"/>
  <c r="AD24" i="11"/>
  <c r="BM24" i="11" s="1"/>
  <c r="AC14" i="11"/>
  <c r="BL14" i="11" s="1"/>
  <c r="AC27" i="11"/>
  <c r="BL27" i="11" s="1"/>
  <c r="AB14" i="11"/>
  <c r="BK14" i="11" s="1"/>
  <c r="AB27" i="11"/>
  <c r="BK27" i="11" s="1"/>
  <c r="AP32" i="11"/>
  <c r="AP27" i="11"/>
  <c r="AB15" i="11"/>
  <c r="BK15" i="11" s="1"/>
  <c r="AC24" i="11"/>
  <c r="BL24" i="11" s="1"/>
  <c r="AB24" i="11"/>
  <c r="BK24" i="11" s="1"/>
  <c r="AO32" i="11"/>
  <c r="BW32" i="11" s="1"/>
  <c r="AM20" i="11"/>
  <c r="BU20" i="11" s="1"/>
  <c r="AC23" i="11"/>
  <c r="BL23" i="11" s="1"/>
  <c r="AB23" i="11"/>
  <c r="BK23" i="11" s="1"/>
  <c r="AC32" i="11"/>
  <c r="BL32" i="11" s="1"/>
  <c r="AD27" i="11"/>
  <c r="BM27" i="11" s="1"/>
  <c r="AK15" i="11"/>
  <c r="BS15" i="11" s="1"/>
  <c r="AB20" i="11"/>
  <c r="BK20" i="11" s="1"/>
  <c r="AE20" i="11"/>
  <c r="AB32" i="11"/>
  <c r="BK32" i="11" s="1"/>
  <c r="AC20" i="11"/>
  <c r="BL20" i="11" s="1"/>
  <c r="AE21" i="11"/>
  <c r="AK29" i="11"/>
  <c r="BS29" i="11" s="1"/>
  <c r="AC15" i="11"/>
  <c r="BL15" i="11" s="1"/>
  <c r="AM27" i="11"/>
  <c r="BU27" i="11" s="1"/>
  <c r="AC29" i="11"/>
  <c r="BL29" i="11" s="1"/>
  <c r="AE29" i="11"/>
  <c r="AD29" i="11"/>
  <c r="BM29" i="11" s="1"/>
  <c r="AM21" i="11"/>
  <c r="BU21" i="11" s="1"/>
  <c r="AC21" i="11"/>
  <c r="BL21" i="11" s="1"/>
  <c r="AB21" i="11"/>
  <c r="BK21" i="11" s="1"/>
  <c r="AE11" i="11"/>
  <c r="AD11" i="11"/>
  <c r="BM11" i="11" s="1"/>
  <c r="AK11" i="11"/>
  <c r="BS11" i="11" s="1"/>
  <c r="C32" i="6"/>
  <c r="C31" i="6"/>
  <c r="C30" i="6"/>
  <c r="C29" i="6"/>
  <c r="C28" i="6"/>
  <c r="C27" i="6"/>
  <c r="C26" i="6"/>
  <c r="C25" i="6"/>
  <c r="C24" i="6"/>
  <c r="C23" i="6"/>
  <c r="C22" i="6"/>
  <c r="C21" i="6"/>
  <c r="C20" i="6"/>
  <c r="C19" i="6"/>
  <c r="C18" i="6"/>
  <c r="C17" i="6"/>
  <c r="C16" i="6"/>
  <c r="C15" i="6"/>
  <c r="C14" i="6"/>
  <c r="K14" i="6"/>
  <c r="B52" i="7"/>
  <c r="B50" i="7"/>
  <c r="B48" i="7"/>
  <c r="B47" i="7"/>
  <c r="B46" i="7"/>
  <c r="B45" i="7"/>
  <c r="B42" i="7"/>
  <c r="B43" i="7"/>
  <c r="B40" i="7"/>
  <c r="B41" i="7"/>
  <c r="B38" i="7"/>
  <c r="B39" i="7"/>
  <c r="C79" i="17"/>
  <c r="C80" i="17"/>
  <c r="C81" i="17"/>
  <c r="C82" i="17"/>
  <c r="C83" i="17"/>
  <c r="C84" i="17"/>
  <c r="C85" i="17"/>
  <c r="C86" i="17"/>
  <c r="C87" i="17"/>
  <c r="C88" i="17"/>
  <c r="C77" i="17"/>
  <c r="AK6" i="18"/>
  <c r="AK15" i="18" l="1"/>
  <c r="AK16" i="18"/>
  <c r="C60" i="23"/>
  <c r="AK11" i="18"/>
  <c r="AK12" i="18"/>
  <c r="AK13" i="18"/>
  <c r="AK14" i="18"/>
  <c r="AK10" i="18"/>
  <c r="X13" i="6"/>
  <c r="C8" i="7"/>
  <c r="B8" i="7"/>
  <c r="E24" i="7"/>
  <c r="E23" i="7"/>
  <c r="E22" i="7"/>
  <c r="E20" i="7"/>
  <c r="E18" i="7"/>
  <c r="E17" i="7"/>
  <c r="B37" i="7"/>
  <c r="B36" i="7"/>
  <c r="B35" i="7"/>
  <c r="B34" i="7" l="1"/>
  <c r="AG6" i="18"/>
  <c r="Z6" i="18"/>
  <c r="U6" i="18"/>
  <c r="AB10" i="18"/>
  <c r="AB11" i="18" s="1"/>
  <c r="AB12" i="18" s="1"/>
  <c r="AB13" i="18" s="1"/>
  <c r="AB14" i="18" s="1"/>
  <c r="AB15" i="18" s="1"/>
  <c r="AB16" i="18" s="1"/>
  <c r="AB17" i="18" s="1"/>
  <c r="AB18" i="18" s="1"/>
  <c r="S9" i="18"/>
  <c r="S10" i="18" s="1"/>
  <c r="S11" i="18" s="1"/>
  <c r="S12" i="18" s="1"/>
  <c r="S13" i="18" s="1"/>
  <c r="S14" i="18" s="1"/>
  <c r="S15" i="18" s="1"/>
  <c r="S16" i="18" s="1"/>
  <c r="S17" i="18" s="1"/>
  <c r="AM6" i="18"/>
  <c r="U8" i="18" l="1"/>
  <c r="Z7" i="18"/>
  <c r="AM11" i="18"/>
  <c r="AG8" i="18"/>
  <c r="U9" i="18"/>
  <c r="U10" i="18"/>
  <c r="U11" i="18"/>
  <c r="U12" i="18"/>
  <c r="U13" i="18"/>
  <c r="U14" i="18"/>
  <c r="U7" i="18"/>
  <c r="Z8" i="18"/>
  <c r="Z10" i="18"/>
  <c r="AK7" i="18"/>
  <c r="AK9" i="18"/>
  <c r="AK8" i="18"/>
  <c r="Z9" i="18"/>
  <c r="AG7" i="18"/>
  <c r="AG10" i="18"/>
  <c r="AG9" i="18"/>
  <c r="AM8" i="18"/>
  <c r="AM9" i="18"/>
  <c r="AM10" i="18"/>
  <c r="D21" i="17" l="1" a="1"/>
  <c r="D21" i="17" s="1"/>
  <c r="X15" i="6" l="1"/>
  <c r="X16" i="6"/>
  <c r="X18" i="6"/>
  <c r="X20" i="6"/>
  <c r="X21" i="6"/>
  <c r="X22" i="6"/>
  <c r="W13" i="6"/>
  <c r="L21" i="6" l="1"/>
  <c r="L20" i="6"/>
  <c r="L19" i="6"/>
  <c r="L18" i="6"/>
  <c r="L17" i="6"/>
  <c r="L16" i="6"/>
  <c r="L15" i="6"/>
  <c r="L14" i="6"/>
  <c r="H32" i="6"/>
  <c r="L32" i="6" s="1"/>
  <c r="B32" i="6"/>
  <c r="B31" i="6"/>
  <c r="H31" i="6" s="1"/>
  <c r="B30" i="6"/>
  <c r="H30" i="6" s="1"/>
  <c r="L30" i="6" s="1"/>
  <c r="B29" i="6"/>
  <c r="H29" i="6" s="1"/>
  <c r="L29" i="6" s="1"/>
  <c r="B28" i="6"/>
  <c r="H28" i="6" s="1"/>
  <c r="L28" i="6" s="1"/>
  <c r="B27" i="6"/>
  <c r="H27" i="6" s="1"/>
  <c r="L27" i="6" s="1"/>
  <c r="B26" i="6"/>
  <c r="B25" i="6"/>
  <c r="B24" i="6"/>
  <c r="B23" i="6"/>
  <c r="B22" i="6"/>
  <c r="E9" i="6"/>
  <c r="E7" i="6"/>
  <c r="H21" i="6" s="1"/>
  <c r="K21" i="6" s="1"/>
  <c r="B18" i="6"/>
  <c r="H18" i="6" s="1"/>
  <c r="B21" i="6"/>
  <c r="B20" i="6"/>
  <c r="H20" i="6" s="1"/>
  <c r="K20" i="6" s="1"/>
  <c r="B19" i="6"/>
  <c r="B17" i="6"/>
  <c r="H17" i="6" s="1"/>
  <c r="B16" i="6"/>
  <c r="B15" i="6"/>
  <c r="B14" i="6"/>
  <c r="H14" i="6" s="1"/>
  <c r="C10" i="6"/>
  <c r="Y22" i="6"/>
  <c r="Y21" i="6"/>
  <c r="Y19" i="6"/>
  <c r="Z22" i="6"/>
  <c r="Z21" i="6"/>
  <c r="Z19" i="6"/>
  <c r="B2" i="11"/>
  <c r="AE9" i="18"/>
  <c r="C152" i="23" s="1" a="1"/>
  <c r="C152" i="23" s="1"/>
  <c r="C153" i="23" s="1"/>
  <c r="AE10" i="18"/>
  <c r="B2" i="6"/>
  <c r="N20" i="12"/>
  <c r="N21" i="12"/>
  <c r="N8" i="12"/>
  <c r="N9" i="12"/>
  <c r="N10" i="12"/>
  <c r="N11" i="12"/>
  <c r="N12" i="12"/>
  <c r="N13" i="12"/>
  <c r="N14" i="12"/>
  <c r="N15" i="12"/>
  <c r="N16" i="12"/>
  <c r="N17" i="12"/>
  <c r="N18" i="12"/>
  <c r="N7" i="12"/>
  <c r="M8" i="12"/>
  <c r="B71" i="23" s="1"/>
  <c r="B121" i="23" s="1"/>
  <c r="M9" i="12"/>
  <c r="B72" i="23" s="1"/>
  <c r="B122" i="23" s="1"/>
  <c r="M10" i="12"/>
  <c r="B73" i="23" s="1"/>
  <c r="B125" i="23" s="1"/>
  <c r="M11" i="12"/>
  <c r="B74" i="23" s="1"/>
  <c r="B126" i="23" s="1"/>
  <c r="M12" i="12"/>
  <c r="B75" i="23" s="1"/>
  <c r="B127" i="23" s="1"/>
  <c r="M13" i="12"/>
  <c r="B76" i="23" s="1"/>
  <c r="B128" i="23" s="1"/>
  <c r="M14" i="12"/>
  <c r="B77" i="23" s="1"/>
  <c r="B129" i="23" s="1"/>
  <c r="M15" i="12"/>
  <c r="B78" i="23" s="1"/>
  <c r="B130" i="23" s="1"/>
  <c r="M16" i="12"/>
  <c r="B79" i="23" s="1"/>
  <c r="B131" i="23" s="1"/>
  <c r="M17" i="12"/>
  <c r="B80" i="23" s="1"/>
  <c r="B132" i="23" s="1"/>
  <c r="M18" i="12"/>
  <c r="B81" i="23" s="1"/>
  <c r="B135" i="23" s="1"/>
  <c r="M20" i="12"/>
  <c r="M21" i="12"/>
  <c r="M7" i="12"/>
  <c r="B70" i="23" s="1"/>
  <c r="B120" i="23" s="1"/>
  <c r="X7" i="18"/>
  <c r="X9" i="18"/>
  <c r="X12" i="18"/>
  <c r="H22" i="7" l="1"/>
  <c r="H17" i="7"/>
  <c r="I16" i="7"/>
  <c r="I17" i="7"/>
  <c r="H20" i="7"/>
  <c r="H18" i="7"/>
  <c r="I20" i="7"/>
  <c r="I19" i="7"/>
  <c r="H16" i="7"/>
  <c r="H19" i="7"/>
  <c r="I18" i="7"/>
  <c r="I22" i="7"/>
  <c r="I24" i="7"/>
  <c r="I23" i="7"/>
  <c r="H25" i="7"/>
  <c r="H24" i="7"/>
  <c r="H21" i="7"/>
  <c r="I21" i="7"/>
  <c r="I25" i="7"/>
  <c r="H23" i="7"/>
  <c r="G121" i="23"/>
  <c r="N121" i="23"/>
  <c r="M121" i="23"/>
  <c r="H121" i="23"/>
  <c r="F121" i="23"/>
  <c r="J121" i="23"/>
  <c r="E121" i="23"/>
  <c r="D121" i="23"/>
  <c r="O121" i="23" a="1"/>
  <c r="O121" i="23" s="1"/>
  <c r="I121" i="23"/>
  <c r="C121" i="23"/>
  <c r="J120" i="23"/>
  <c r="M120" i="23"/>
  <c r="N120" i="23"/>
  <c r="C120" i="23"/>
  <c r="O120" i="23" a="1"/>
  <c r="O120" i="23" s="1"/>
  <c r="F120" i="23"/>
  <c r="D120" i="23"/>
  <c r="I120" i="23"/>
  <c r="G120" i="23"/>
  <c r="H120" i="23"/>
  <c r="E120" i="23"/>
  <c r="D145" i="23" a="1"/>
  <c r="D145" i="23" s="1"/>
  <c r="D175" i="23" s="1"/>
  <c r="E128" i="23"/>
  <c r="M128" i="23"/>
  <c r="C128" i="23"/>
  <c r="H128" i="23"/>
  <c r="N128" i="23"/>
  <c r="J128" i="23"/>
  <c r="I128" i="23"/>
  <c r="D128" i="23"/>
  <c r="O128" i="23" a="1"/>
  <c r="O128" i="23" s="1"/>
  <c r="G128" i="23"/>
  <c r="F128" i="23"/>
  <c r="F127" i="23"/>
  <c r="O127" i="23" a="1"/>
  <c r="O127" i="23" s="1"/>
  <c r="C127" i="23"/>
  <c r="H127" i="23"/>
  <c r="J127" i="23"/>
  <c r="I127" i="23"/>
  <c r="M127" i="23"/>
  <c r="E127" i="23"/>
  <c r="D127" i="23"/>
  <c r="G127" i="23"/>
  <c r="N127" i="23"/>
  <c r="H129" i="23"/>
  <c r="E129" i="23"/>
  <c r="I129" i="23"/>
  <c r="G129" i="23"/>
  <c r="N129" i="23"/>
  <c r="F129" i="23"/>
  <c r="J129" i="23"/>
  <c r="O129" i="23" a="1"/>
  <c r="O129" i="23" s="1"/>
  <c r="M129" i="23"/>
  <c r="D129" i="23"/>
  <c r="C129" i="23"/>
  <c r="C126" i="23"/>
  <c r="I126" i="23"/>
  <c r="D126" i="23"/>
  <c r="N126" i="23"/>
  <c r="G126" i="23"/>
  <c r="H126" i="23"/>
  <c r="J126" i="23"/>
  <c r="E126" i="23"/>
  <c r="M126" i="23"/>
  <c r="F126" i="23"/>
  <c r="O126" i="23" a="1"/>
  <c r="O126" i="23" s="1"/>
  <c r="C131" i="23"/>
  <c r="M131" i="23"/>
  <c r="H131" i="23"/>
  <c r="N131" i="23"/>
  <c r="J131" i="23"/>
  <c r="E131" i="23"/>
  <c r="I131" i="23"/>
  <c r="O131" i="23" a="1"/>
  <c r="O131" i="23" s="1"/>
  <c r="G131" i="23"/>
  <c r="F131" i="23"/>
  <c r="D131" i="23"/>
  <c r="F125" i="23"/>
  <c r="O125" i="23" a="1"/>
  <c r="O125" i="23" s="1"/>
  <c r="G125" i="23"/>
  <c r="M125" i="23"/>
  <c r="H125" i="23"/>
  <c r="E125" i="23"/>
  <c r="D125" i="23"/>
  <c r="C125" i="23"/>
  <c r="J125" i="23"/>
  <c r="N125" i="23"/>
  <c r="I125" i="23"/>
  <c r="D130" i="23"/>
  <c r="O130" i="23" a="1"/>
  <c r="O130" i="23" s="1"/>
  <c r="C130" i="23"/>
  <c r="I130" i="23"/>
  <c r="H130" i="23"/>
  <c r="G130" i="23"/>
  <c r="N130" i="23"/>
  <c r="F130" i="23"/>
  <c r="E130" i="23"/>
  <c r="M130" i="23"/>
  <c r="J130" i="23"/>
  <c r="E135" i="23"/>
  <c r="I135" i="23"/>
  <c r="F135" i="23"/>
  <c r="M135" i="23"/>
  <c r="D135" i="23"/>
  <c r="G135" i="23"/>
  <c r="O135" i="23" a="1"/>
  <c r="O135" i="23" s="1"/>
  <c r="C135" i="23"/>
  <c r="H135" i="23"/>
  <c r="J135" i="23"/>
  <c r="N135" i="23"/>
  <c r="M132" i="23"/>
  <c r="G132" i="23"/>
  <c r="J132" i="23"/>
  <c r="O132" i="23" a="1"/>
  <c r="O132" i="23" s="1"/>
  <c r="E132" i="23"/>
  <c r="N132" i="23"/>
  <c r="D132" i="23"/>
  <c r="F132" i="23"/>
  <c r="C132" i="23"/>
  <c r="I132" i="23"/>
  <c r="H132" i="23"/>
  <c r="E122" i="23"/>
  <c r="J122" i="23"/>
  <c r="I145" i="23" s="1" a="1"/>
  <c r="I145" i="23" s="1"/>
  <c r="I175" i="23" s="1"/>
  <c r="D122" i="23"/>
  <c r="G122" i="23"/>
  <c r="F145" i="23" s="1" a="1"/>
  <c r="F145" i="23" s="1"/>
  <c r="F175" i="23" s="1"/>
  <c r="H122" i="23"/>
  <c r="F122" i="23"/>
  <c r="O122" i="23" a="1"/>
  <c r="O122" i="23" s="1"/>
  <c r="M122" i="23"/>
  <c r="C122" i="23"/>
  <c r="N122" i="23"/>
  <c r="I122" i="23"/>
  <c r="H145" i="23" s="1" a="1"/>
  <c r="H145" i="23" s="1"/>
  <c r="H175" i="23" s="1"/>
  <c r="H154" i="23"/>
  <c r="I154" i="23" s="1" a="1"/>
  <c r="I154" i="23" s="1"/>
  <c r="C175" i="23" s="1"/>
  <c r="H153" i="23"/>
  <c r="I153" i="23" s="1"/>
  <c r="C176" i="23" s="1"/>
  <c r="W19" i="6"/>
  <c r="W21" i="6"/>
  <c r="W20" i="6"/>
  <c r="W15" i="6"/>
  <c r="W23" i="6"/>
  <c r="W18" i="6"/>
  <c r="W16" i="6"/>
  <c r="W14" i="6"/>
  <c r="W22" i="6"/>
  <c r="W17" i="6"/>
  <c r="K32" i="6"/>
  <c r="H15" i="6"/>
  <c r="O17" i="6"/>
  <c r="O21" i="6"/>
  <c r="H16" i="6"/>
  <c r="K16" i="6" s="1"/>
  <c r="O20" i="6"/>
  <c r="O19" i="6"/>
  <c r="O18" i="6"/>
  <c r="K19" i="6"/>
  <c r="O14" i="6"/>
  <c r="O16" i="6"/>
  <c r="H19" i="6"/>
  <c r="O15" i="6"/>
  <c r="I133" i="23" l="1"/>
  <c r="I134" i="23"/>
  <c r="C133" i="23"/>
  <c r="C134" i="23"/>
  <c r="K130" i="23"/>
  <c r="L130" i="23"/>
  <c r="L125" i="23"/>
  <c r="K125" i="23"/>
  <c r="F123" i="23"/>
  <c r="F124" i="23"/>
  <c r="M134" i="23"/>
  <c r="M133" i="23"/>
  <c r="H123" i="23"/>
  <c r="H124" i="23"/>
  <c r="F133" i="23"/>
  <c r="F134" i="23"/>
  <c r="K135" i="23"/>
  <c r="L135" i="23"/>
  <c r="K131" i="23"/>
  <c r="L131" i="23"/>
  <c r="G145" i="23" a="1"/>
  <c r="G145" i="23" s="1"/>
  <c r="G175" i="23" s="1"/>
  <c r="C20" i="7" s="1"/>
  <c r="K120" i="23"/>
  <c r="L120" i="23"/>
  <c r="M123" i="23"/>
  <c r="M124" i="23"/>
  <c r="G133" i="23"/>
  <c r="G134" i="23"/>
  <c r="G123" i="23"/>
  <c r="G124" i="23"/>
  <c r="D133" i="23"/>
  <c r="D134" i="23"/>
  <c r="H133" i="23"/>
  <c r="H134" i="23"/>
  <c r="K132" i="23"/>
  <c r="N133" i="23"/>
  <c r="N134" i="23"/>
  <c r="L132" i="23"/>
  <c r="L127" i="23"/>
  <c r="K127" i="23"/>
  <c r="L145" i="23" a="1"/>
  <c r="L145" i="23" s="1"/>
  <c r="L175" i="23" s="1"/>
  <c r="C25" i="7" s="1"/>
  <c r="D123" i="23"/>
  <c r="D124" i="23"/>
  <c r="N123" i="23"/>
  <c r="L122" i="23"/>
  <c r="K145" i="23" s="1" a="1"/>
  <c r="K145" i="23" s="1"/>
  <c r="K175" i="23" s="1"/>
  <c r="K122" i="23"/>
  <c r="J145" i="23" s="1" a="1"/>
  <c r="J145" i="23" s="1"/>
  <c r="J175" i="23" s="1"/>
  <c r="N124" i="23"/>
  <c r="J123" i="23"/>
  <c r="J124" i="23"/>
  <c r="E133" i="23"/>
  <c r="E134" i="23"/>
  <c r="L126" i="23"/>
  <c r="K126" i="23"/>
  <c r="L128" i="23"/>
  <c r="K128" i="23"/>
  <c r="J133" i="23"/>
  <c r="J134" i="23"/>
  <c r="I124" i="23"/>
  <c r="I123" i="23"/>
  <c r="C124" i="23"/>
  <c r="C123" i="23"/>
  <c r="E124" i="23"/>
  <c r="E123" i="23"/>
  <c r="E145" i="23" a="1"/>
  <c r="E145" i="23" s="1"/>
  <c r="E57" i="23" s="1"/>
  <c r="E60" i="23" s="1"/>
  <c r="E175" i="23" s="1"/>
  <c r="L121" i="23"/>
  <c r="K121" i="23"/>
  <c r="L129" i="23"/>
  <c r="K129" i="23"/>
  <c r="C145" i="23" a="1"/>
  <c r="C145" i="23" s="1"/>
  <c r="C19" i="7"/>
  <c r="C22" i="7"/>
  <c r="E21" i="7"/>
  <c r="E19" i="7"/>
  <c r="E25" i="7"/>
  <c r="L124" i="23" l="1"/>
  <c r="K124" i="23"/>
  <c r="L134" i="23"/>
  <c r="K134" i="23"/>
  <c r="L123" i="23"/>
  <c r="K123" i="23"/>
  <c r="K133" i="23"/>
  <c r="L133" i="23"/>
  <c r="C21" i="7"/>
  <c r="C17" i="7"/>
  <c r="B2" i="17"/>
  <c r="B2" i="7"/>
  <c r="G25" i="7" l="1"/>
  <c r="G24" i="7"/>
  <c r="C23" i="7" l="1"/>
  <c r="C24" i="7"/>
  <c r="H52" i="7"/>
  <c r="H50" i="7"/>
  <c r="H48" i="7"/>
  <c r="H47" i="7"/>
  <c r="H46" i="7"/>
  <c r="H45" i="7"/>
  <c r="H42" i="7"/>
  <c r="H43" i="7"/>
  <c r="H40" i="7"/>
  <c r="H41" i="7"/>
  <c r="H38" i="7"/>
  <c r="H39" i="7"/>
  <c r="H35" i="7"/>
  <c r="H34" i="7"/>
  <c r="H36" i="7" l="1"/>
  <c r="E16" i="7" l="1"/>
  <c r="H37" i="7"/>
  <c r="C16" i="7" l="1"/>
  <c r="T20" i="6"/>
  <c r="F23" i="6"/>
  <c r="F24" i="6"/>
  <c r="E24" i="6"/>
  <c r="E23" i="6"/>
  <c r="G31" i="6"/>
  <c r="L31" i="6" s="1"/>
  <c r="O28" i="6"/>
  <c r="D8" i="6"/>
  <c r="F28" i="6"/>
  <c r="E28" i="6"/>
  <c r="K28" i="6" s="1"/>
  <c r="E31" i="6"/>
  <c r="K31" i="6" s="1"/>
  <c r="E30" i="6"/>
  <c r="K30" i="6" s="1"/>
  <c r="E29" i="6"/>
  <c r="K29" i="6" s="1"/>
  <c r="E27" i="6"/>
  <c r="K27" i="6" s="1"/>
  <c r="E17" i="6"/>
  <c r="K17" i="6" s="1"/>
  <c r="E18" i="6"/>
  <c r="E15" i="6"/>
  <c r="K15" i="6" s="1"/>
  <c r="D16" i="7" l="1"/>
  <c r="X19" i="6"/>
  <c r="AB19" i="6" s="1"/>
  <c r="X23" i="6"/>
  <c r="X17" i="6"/>
  <c r="X14" i="6"/>
  <c r="K18" i="6"/>
  <c r="N18" i="6" s="1"/>
  <c r="I18" i="6"/>
  <c r="E8" i="6"/>
  <c r="T23" i="6"/>
  <c r="T26" i="6" s="1"/>
  <c r="T16" i="6"/>
  <c r="J18" i="6"/>
  <c r="N14" i="6"/>
  <c r="I24" i="6"/>
  <c r="J24" i="6" s="1"/>
  <c r="I28" i="6"/>
  <c r="J28" i="6" s="1"/>
  <c r="F17" i="7"/>
  <c r="AA22" i="6"/>
  <c r="AD22" i="6"/>
  <c r="AA19" i="6"/>
  <c r="AA21" i="6"/>
  <c r="AC21" i="6" s="1"/>
  <c r="N16" i="6"/>
  <c r="O27" i="6"/>
  <c r="N20" i="6"/>
  <c r="O31" i="6"/>
  <c r="O29" i="6"/>
  <c r="O30" i="6"/>
  <c r="O32" i="6"/>
  <c r="N19" i="6"/>
  <c r="N32" i="6"/>
  <c r="N15" i="6"/>
  <c r="N28" i="6"/>
  <c r="N17" i="6"/>
  <c r="S16" i="6" s="1"/>
  <c r="N30" i="6"/>
  <c r="N21" i="6"/>
  <c r="S20" i="6" s="1"/>
  <c r="N31" i="6"/>
  <c r="N29" i="6"/>
  <c r="N27" i="6"/>
  <c r="G23" i="7" l="1"/>
  <c r="T27" i="6"/>
  <c r="Z20" i="6" s="1"/>
  <c r="H25" i="6"/>
  <c r="H24" i="6"/>
  <c r="H22" i="6"/>
  <c r="H23" i="6"/>
  <c r="H26" i="6"/>
  <c r="T25" i="6"/>
  <c r="T24" i="6"/>
  <c r="S23" i="6"/>
  <c r="S25" i="6" s="1"/>
  <c r="T15" i="6"/>
  <c r="Z23" i="6" s="1"/>
  <c r="S15" i="6"/>
  <c r="F18" i="7"/>
  <c r="AD21" i="6"/>
  <c r="AD23" i="6"/>
  <c r="C18" i="7" l="1"/>
  <c r="L26" i="6"/>
  <c r="O26" i="6" s="1"/>
  <c r="T18" i="6" s="1"/>
  <c r="Z17" i="6" s="1"/>
  <c r="AB17" i="6" s="1"/>
  <c r="K26" i="6"/>
  <c r="N26" i="6" s="1"/>
  <c r="S18" i="6" s="1"/>
  <c r="Y17" i="6" s="1"/>
  <c r="AA17" i="6" s="1"/>
  <c r="L23" i="6"/>
  <c r="O23" i="6" s="1"/>
  <c r="K23" i="6"/>
  <c r="N23" i="6" s="1"/>
  <c r="S14" i="6" s="1"/>
  <c r="L22" i="6"/>
  <c r="O22" i="6" s="1"/>
  <c r="T19" i="6" s="1"/>
  <c r="Z16" i="6" s="1"/>
  <c r="K22" i="6"/>
  <c r="N22" i="6" s="1"/>
  <c r="S19" i="6" s="1"/>
  <c r="L25" i="6"/>
  <c r="O25" i="6" s="1"/>
  <c r="T21" i="6" s="1"/>
  <c r="Z14" i="6" s="1"/>
  <c r="AB14" i="6" s="1"/>
  <c r="AC14" i="6" s="1"/>
  <c r="K25" i="6"/>
  <c r="N25" i="6" s="1"/>
  <c r="S21" i="6" s="1"/>
  <c r="Y14" i="6" s="1"/>
  <c r="L24" i="6"/>
  <c r="O24" i="6" s="1"/>
  <c r="T17" i="6" s="1"/>
  <c r="Z15" i="6" s="1"/>
  <c r="K24" i="6"/>
  <c r="N24" i="6" s="1"/>
  <c r="S17" i="6" s="1"/>
  <c r="Y15" i="6" s="1"/>
  <c r="AA15" i="6" s="1"/>
  <c r="AC15" i="6" s="1"/>
  <c r="S26" i="6"/>
  <c r="Y23" i="6"/>
  <c r="AA23" i="6" s="1"/>
  <c r="S24" i="6"/>
  <c r="S27" i="6"/>
  <c r="D17" i="7"/>
  <c r="F19" i="7"/>
  <c r="T14" i="6" l="1"/>
  <c r="Z18" i="6" s="1"/>
  <c r="AC19" i="6" s="1"/>
  <c r="G17" i="7"/>
  <c r="J17" i="7" s="1"/>
  <c r="Y16" i="6"/>
  <c r="AA16" i="6" s="1"/>
  <c r="AC16" i="6" s="1"/>
  <c r="Y18" i="6"/>
  <c r="AA18" i="6" s="1"/>
  <c r="AC18" i="6" s="1"/>
  <c r="AC17" i="6"/>
  <c r="Y20" i="6"/>
  <c r="AA20" i="6" s="1"/>
  <c r="AC20" i="6" s="1"/>
  <c r="AD15" i="6"/>
  <c r="G16" i="7"/>
  <c r="J16" i="7" s="1"/>
  <c r="L16" i="7" s="1"/>
  <c r="AD14" i="6"/>
  <c r="D18" i="7"/>
  <c r="F20" i="7"/>
  <c r="F16" i="7"/>
  <c r="D19" i="7"/>
  <c r="K17" i="7" l="1"/>
  <c r="L17" i="7"/>
  <c r="K16" i="7"/>
  <c r="M17" i="7"/>
  <c r="G21" i="7"/>
  <c r="G20" i="7"/>
  <c r="M20" i="7" s="1"/>
  <c r="G19" i="7"/>
  <c r="M19" i="7" s="1"/>
  <c r="AD16" i="6"/>
  <c r="G18" i="7"/>
  <c r="M18" i="7" s="1"/>
  <c r="AD18" i="6"/>
  <c r="AD19" i="6"/>
  <c r="AD17" i="6"/>
  <c r="G22" i="7"/>
  <c r="AD20" i="6"/>
  <c r="M16" i="7"/>
  <c r="F21" i="7"/>
  <c r="D20" i="7"/>
  <c r="M21" i="7" l="1"/>
  <c r="J19" i="7"/>
  <c r="J18" i="7"/>
  <c r="F22" i="7"/>
  <c r="M22" i="7" s="1"/>
  <c r="J20" i="7"/>
  <c r="D21" i="7"/>
  <c r="K20" i="7" l="1"/>
  <c r="L20" i="7"/>
  <c r="K18" i="7"/>
  <c r="L18" i="7"/>
  <c r="K19" i="7"/>
  <c r="L19" i="7"/>
  <c r="F23" i="7"/>
  <c r="M23" i="7" s="1"/>
  <c r="D22" i="7"/>
  <c r="J21" i="7"/>
  <c r="K21" i="7" l="1"/>
  <c r="L21" i="7"/>
  <c r="F24" i="7"/>
  <c r="F25" i="7"/>
  <c r="M25" i="7" s="1"/>
  <c r="J22" i="7"/>
  <c r="D23" i="7"/>
  <c r="J23" i="7" s="1"/>
  <c r="K23" i="7" l="1"/>
  <c r="L23" i="7"/>
  <c r="K22" i="7"/>
  <c r="L22" i="7"/>
  <c r="F26" i="7"/>
  <c r="M24" i="7"/>
  <c r="M26" i="7" s="1"/>
  <c r="D24" i="7"/>
  <c r="D25" i="7"/>
  <c r="J25" i="7" s="1"/>
  <c r="K25" i="7" l="1"/>
  <c r="L25" i="7"/>
  <c r="M27" i="7"/>
  <c r="J24" i="7"/>
  <c r="L24" i="7" s="1"/>
  <c r="D26" i="7"/>
  <c r="K24" i="7" l="1"/>
  <c r="I62" i="7"/>
  <c r="J26" i="7"/>
  <c r="K26" i="7" l="1"/>
  <c r="L26" i="7"/>
  <c r="L27" i="7" s="1"/>
  <c r="J27" i="7"/>
  <c r="I61" i="7" s="1"/>
  <c r="I66" i="7"/>
  <c r="I68" i="7" s="1"/>
  <c r="G26" i="7"/>
  <c r="K27" i="7" l="1"/>
  <c r="H8" i="7"/>
  <c r="I63" i="7"/>
  <c r="I65" i="7" s="1"/>
  <c r="G8" i="7" s="1"/>
  <c r="I64" i="7" l="1"/>
  <c r="F8" i="7" s="1"/>
  <c r="I67" i="7"/>
  <c r="E8" i="7"/>
  <c r="I69"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Josh Baker</author>
  </authors>
  <commentList>
    <comment ref="AC19" authorId="0" shapeId="0" xr:uid="{9FE85A79-FEDD-4BEA-846D-56A6166CEDCB}">
      <text>
        <r>
          <rPr>
            <b/>
            <sz val="9"/>
            <color indexed="81"/>
            <rFont val="Tahoma"/>
            <family val="2"/>
          </rPr>
          <t>Sasha Baroiant:</t>
        </r>
        <r>
          <rPr>
            <sz val="9"/>
            <color indexed="81"/>
            <rFont val="Tahoma"/>
            <family val="2"/>
          </rPr>
          <t xml:space="preserve">
It is unlikely that the participatns had significant commercial food service (just 18 sampled buildings) so we set this at the average relative gas savings. The gas savings is used because most cooking energy is gas-fueled.</t>
        </r>
      </text>
    </comment>
    <comment ref="AC21" authorId="0" shapeId="0" xr:uid="{61B4BB20-C5C1-4431-8B1A-E7A4E3C1B7B2}">
      <text>
        <r>
          <rPr>
            <b/>
            <sz val="9"/>
            <color indexed="81"/>
            <rFont val="Tahoma"/>
            <family val="2"/>
          </rPr>
          <t>Sasha Baroiant:</t>
        </r>
        <r>
          <rPr>
            <sz val="9"/>
            <color indexed="81"/>
            <rFont val="Tahoma"/>
            <family val="2"/>
          </rPr>
          <t xml:space="preserve">
presumably all participants had office eq, but no savings reported, so leaving at zero</t>
        </r>
      </text>
    </comment>
    <comment ref="AC22" authorId="0" shapeId="0" xr:uid="{6C889BFC-45DD-44C0-BACF-FB732AD3A4EB}">
      <text>
        <r>
          <rPr>
            <b/>
            <sz val="9"/>
            <color indexed="81"/>
            <rFont val="Tahoma"/>
            <family val="2"/>
          </rPr>
          <t>Sasha Baroiant:</t>
        </r>
        <r>
          <rPr>
            <sz val="9"/>
            <color indexed="81"/>
            <rFont val="Tahoma"/>
            <family val="2"/>
          </rPr>
          <t xml:space="preserve">
assuming this is zero since I doubt BOC goes over details such as virtuilization etc.</t>
        </r>
      </text>
    </comment>
    <comment ref="AC23" authorId="0" shapeId="0" xr:uid="{643AC420-9830-46D8-82CC-D126137E76F3}">
      <text>
        <r>
          <rPr>
            <b/>
            <sz val="9"/>
            <color indexed="81"/>
            <rFont val="Tahoma"/>
            <family val="2"/>
          </rPr>
          <t>Sasha Baroiant:</t>
        </r>
        <r>
          <rPr>
            <sz val="9"/>
            <color indexed="81"/>
            <rFont val="Tahoma"/>
            <family val="2"/>
          </rPr>
          <t xml:space="preserve">
Setting this at average building-level savings rather than what was measured for other, motors, compressed air, since the sample size for these end-uses was very small.
Update Nov 29 2023. This 2.1% was resulting in pretty high savings for industrial sites. Most industrial processes aren't covered under BOC, but supporting HVAC and process cooling could be. We ran three cases of sites that had manufacturing loads (biotech, foods, and machine/joining manufacturing) and tried to cap savings at what a buildings of similar size/type, but w/o industrial loads could use, based on recent CEUS data. Changing this value to 1% achieves the same limit but is easier to implement, so we're proposing to set this at 1%</t>
        </r>
      </text>
    </comment>
    <comment ref="D31" authorId="0" shapeId="0" xr:uid="{B67B9BCB-C477-4A16-ACF5-41C7F9C00469}">
      <text>
        <r>
          <rPr>
            <b/>
            <sz val="9"/>
            <color indexed="81"/>
            <rFont val="Tahoma"/>
            <family val="2"/>
          </rPr>
          <t>Sahsa Baroiant:</t>
        </r>
        <r>
          <rPr>
            <sz val="9"/>
            <color indexed="81"/>
            <rFont val="Tahoma"/>
            <family val="2"/>
          </rPr>
          <t xml:space="preserve">
The M&amp;V report stated 65 MWh of savings associted with "boiler/hot water/steam system".  I highly doubt they had electric boilers, it has to be hot water pumps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Josh Baker</author>
  </authors>
  <commentList>
    <comment ref="B55" authorId="0" shapeId="0" xr:uid="{465CDC63-D11D-44FC-9EC3-B613BB0DBB74}">
      <text>
        <r>
          <rPr>
            <b/>
            <sz val="9"/>
            <color indexed="81"/>
            <rFont val="Tahoma"/>
            <family val="2"/>
          </rPr>
          <t>Sasha Baroiant:</t>
        </r>
        <r>
          <rPr>
            <sz val="9"/>
            <color indexed="81"/>
            <rFont val="Tahoma"/>
            <family val="2"/>
          </rPr>
          <t xml:space="preserve">
for electric EUIs, we mapped all buildings except public assembly to the SWE baseline study, so we only apply the regional adjustment for public assembly</t>
        </r>
      </text>
    </comment>
    <comment ref="C153" authorId="0" shapeId="0" xr:uid="{508897AD-00A2-4D55-988D-822AA7B3911F}">
      <text>
        <r>
          <rPr>
            <b/>
            <sz val="9"/>
            <color indexed="81"/>
            <rFont val="Tahoma"/>
            <family val="2"/>
          </rPr>
          <t>Sasha Baroiant:</t>
        </r>
        <r>
          <rPr>
            <sz val="9"/>
            <color indexed="81"/>
            <rFont val="Tahoma"/>
            <family val="2"/>
          </rPr>
          <t xml:space="preserve">
Most commercial floorspace has non-electric heating.  The results for electric heating will have much higher sampling uncertainties. I think we'll have higher accuracy by first working out the total heating load in kBTU/sqft, and then parsing it out into gas and electric components.</t>
        </r>
      </text>
    </comment>
    <comment ref="I175" authorId="0" shapeId="0" xr:uid="{8FD0BA7D-752A-44AB-81E7-F0A64EAD33A8}">
      <text>
        <r>
          <rPr>
            <b/>
            <sz val="9"/>
            <color indexed="81"/>
            <rFont val="Tahoma"/>
            <family val="2"/>
          </rPr>
          <t>Sasha Baroiant:</t>
        </r>
        <r>
          <rPr>
            <sz val="9"/>
            <color indexed="81"/>
            <rFont val="Tahoma"/>
            <family val="2"/>
          </rPr>
          <t xml:space="preserve">
Here we're taking the maximum of the refrigeration-related EUI that comes from the survey, and the specific ones that are associated with buildings that have commercial refrigeration.  See tab '2. End Uses' - the survey found that refrigeration EUI is much higher for buildings that have refrigerated floorspace, walk-ins, reach-ins, etc.  This will help to characterized refrigeration energy usage for buildings that are not food service or food sales, but have commercial refrigeration anyway - especially refrigerated warehouses.</t>
        </r>
      </text>
    </comment>
    <comment ref="L176" authorId="0" shapeId="0" xr:uid="{D8CA071F-4155-42E4-A846-97E21DC6BDC7}">
      <text>
        <r>
          <rPr>
            <b/>
            <sz val="9"/>
            <color indexed="81"/>
            <rFont val="Tahoma"/>
            <family val="2"/>
          </rPr>
          <t>Sasha Baroiant:</t>
        </r>
        <r>
          <rPr>
            <sz val="9"/>
            <color indexed="81"/>
            <rFont val="Tahoma"/>
            <family val="2"/>
          </rPr>
          <t xml:space="preserve">
zeroing out gas uses that are not cooking, space heating, or water heating.  The way the gas EUIs are in CBECs, the denominator is just the buildings that have that particular gas-fuelled end-use.  So a value of, say, 8 kBTU/sqft doesn't mean that the average commercial building uses kBTU/sqft for some mysteriuous gas-fuelled process, but rather that those buildings that do have the odd gas-fuelled end-use will consume 8 kBTU/sqft for that end use.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Josh Baker</author>
  </authors>
  <commentList>
    <comment ref="D214" authorId="0" shapeId="0" xr:uid="{CD8184B3-B0E5-436D-9632-FA43CF537119}">
      <text>
        <r>
          <rPr>
            <b/>
            <sz val="9"/>
            <color indexed="81"/>
            <rFont val="Tahoma"/>
            <family val="2"/>
          </rPr>
          <t>Josh Baker:</t>
        </r>
        <r>
          <rPr>
            <sz val="9"/>
            <color indexed="81"/>
            <rFont val="Tahoma"/>
            <family val="2"/>
          </rPr>
          <t xml:space="preserve">
Default value "N" Is replaced with the number 0</t>
        </r>
      </text>
    </comment>
    <comment ref="I214" authorId="0" shapeId="0" xr:uid="{BDE0D748-1965-4D2A-8EAC-F246003D0D57}">
      <text>
        <r>
          <rPr>
            <b/>
            <sz val="9"/>
            <color indexed="81"/>
            <rFont val="Tahoma"/>
            <family val="2"/>
          </rPr>
          <t>Josh Baker:</t>
        </r>
        <r>
          <rPr>
            <sz val="9"/>
            <color indexed="81"/>
            <rFont val="Tahoma"/>
            <family val="2"/>
          </rPr>
          <t xml:space="preserve">
Default value "N" Is replaced with the number 0</t>
        </r>
      </text>
    </comment>
    <comment ref="N214" authorId="0" shapeId="0" xr:uid="{639F36A0-0947-485F-B34A-0ED45F13F526}">
      <text>
        <r>
          <rPr>
            <b/>
            <sz val="9"/>
            <color indexed="81"/>
            <rFont val="Tahoma"/>
            <family val="2"/>
          </rPr>
          <t>Josh Baker:</t>
        </r>
        <r>
          <rPr>
            <sz val="9"/>
            <color indexed="81"/>
            <rFont val="Tahoma"/>
            <family val="2"/>
          </rPr>
          <t xml:space="preserve">
Default value "N" Is replaced with the number 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Josh Baker</author>
  </authors>
  <commentList>
    <comment ref="AI7" authorId="0" shapeId="0" xr:uid="{5CC3B6E2-1735-460B-8697-9970E3C2C56B}">
      <text>
        <r>
          <rPr>
            <b/>
            <sz val="9"/>
            <color indexed="81"/>
            <rFont val="Tahoma"/>
            <family val="2"/>
          </rPr>
          <t>Sasha Baroiant:</t>
        </r>
        <r>
          <rPr>
            <sz val="9"/>
            <color indexed="81"/>
            <rFont val="Tahoma"/>
            <family val="2"/>
          </rPr>
          <t xml:space="preserve">
lighting is the end-use that is improving the fastest.  assume the fleet lpd has decreased 5% since last baseline study</t>
        </r>
      </text>
    </comment>
    <comment ref="X11" authorId="0" shapeId="0" xr:uid="{DF67FBC5-1397-4012-839A-E6ED2F889D33}">
      <text>
        <r>
          <rPr>
            <b/>
            <sz val="9"/>
            <color indexed="81"/>
            <rFont val="Tahoma"/>
            <family val="2"/>
          </rPr>
          <t>Sasha Baroiant:</t>
        </r>
        <r>
          <rPr>
            <sz val="9"/>
            <color indexed="81"/>
            <rFont val="Tahoma"/>
            <family val="2"/>
          </rPr>
          <t xml:space="preserve">
free heat - just pumps and fans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<sst xmlns="http://schemas.openxmlformats.org/spreadsheetml/2006/main" count="6002" uniqueCount="733">
  <si>
    <t>GENERAL INFORMATION</t>
  </si>
  <si>
    <t>This sheet can be replaced with a cover-sheet as deemend appropriate by implementation team.</t>
  </si>
  <si>
    <r>
      <rPr>
        <b/>
        <sz val="11"/>
        <color theme="1"/>
        <rFont val="Calibri"/>
        <family val="2"/>
        <scheme val="minor"/>
      </rPr>
      <t>Step 1:</t>
    </r>
    <r>
      <rPr>
        <sz val="11"/>
        <color theme="1"/>
        <rFont val="Calibri"/>
        <family val="2"/>
        <scheme val="minor"/>
      </rPr>
      <t xml:space="preserve"> The participant answers some questions to characterize their facility in worksheet '2. Facility Characterization'.  That's all the participant needs to do - the rest of the process are calculations.
</t>
    </r>
    <r>
      <rPr>
        <b/>
        <sz val="11"/>
        <color theme="1"/>
        <rFont val="Calibri"/>
        <family val="2"/>
        <scheme val="minor"/>
      </rPr>
      <t>Step 2:</t>
    </r>
    <r>
      <rPr>
        <sz val="11"/>
        <color theme="1"/>
        <rFont val="Calibri"/>
        <family val="2"/>
        <scheme val="minor"/>
      </rPr>
      <t xml:space="preserve"> Based on the responses, the calculator will use tables from the PA SWE C/I Baseline Study and CBECS to assign kWh/sqft and therms/sqft energy use intensities to their facility.  
</t>
    </r>
    <r>
      <rPr>
        <b/>
        <sz val="11"/>
        <color theme="1"/>
        <rFont val="Calibri"/>
        <family val="2"/>
        <scheme val="minor"/>
      </rPr>
      <t>Step 3:</t>
    </r>
    <r>
      <rPr>
        <sz val="11"/>
        <color theme="1"/>
        <rFont val="Calibri"/>
        <family val="2"/>
        <scheme val="minor"/>
      </rPr>
      <t xml:space="preserve"> A savings factor is applied to each end-use.  (See worksheet 3a. Relative Savings AC14:AC23). The savings factors are estimated from three M&amp;V reports from IL.
</t>
    </r>
    <r>
      <rPr>
        <b/>
        <sz val="11"/>
        <color theme="1"/>
        <rFont val="Calibri"/>
        <family val="2"/>
        <scheme val="minor"/>
      </rPr>
      <t xml:space="preserve">Step 4: </t>
    </r>
    <r>
      <rPr>
        <sz val="11"/>
        <color theme="1"/>
        <rFont val="Calibri"/>
        <family val="2"/>
        <scheme val="minor"/>
      </rPr>
      <t xml:space="preserve">End-use level savings are added to obtain a total savings for the buildnig, which is case as a relative savings (e.g. 1.2%), both for gas and electricity. 
</t>
    </r>
    <r>
      <rPr>
        <b/>
        <sz val="11"/>
        <color theme="1"/>
        <rFont val="Calibri"/>
        <family val="2"/>
        <scheme val="minor"/>
      </rPr>
      <t xml:space="preserve">Step 5: </t>
    </r>
    <r>
      <rPr>
        <sz val="11"/>
        <color theme="1"/>
        <rFont val="Calibri"/>
        <family val="2"/>
        <scheme val="minor"/>
      </rPr>
      <t xml:space="preserve">The relative energy savings are then multiplied by actual building electric and gas usages to 'calibrate' the modeled usage to the actual buidling's usage.
</t>
    </r>
    <r>
      <rPr>
        <b/>
        <sz val="11"/>
        <color theme="1"/>
        <rFont val="Calibri"/>
        <family val="2"/>
        <scheme val="minor"/>
      </rPr>
      <t>Step 6:</t>
    </r>
    <r>
      <rPr>
        <sz val="11"/>
        <color theme="1"/>
        <rFont val="Calibri"/>
        <family val="2"/>
        <scheme val="minor"/>
      </rPr>
      <t xml:space="preserve"> kW savings are estimated from annual kWh savings based on building-specific energy usages and energy-to-demand scale factors calculated from the TRM. 
</t>
    </r>
  </si>
  <si>
    <t>General Information</t>
  </si>
  <si>
    <t>KEY:</t>
  </si>
  <si>
    <t>Input Field</t>
  </si>
  <si>
    <t>Example Cell</t>
  </si>
  <si>
    <t>Calculated Value</t>
  </si>
  <si>
    <t>Intermediate Calc.</t>
  </si>
  <si>
    <t xml:space="preserve"> Project / Site Information</t>
  </si>
  <si>
    <t>Provide basic project information below.</t>
  </si>
  <si>
    <t xml:space="preserve">Applicant Name: </t>
  </si>
  <si>
    <t xml:space="preserve">Facility Name: </t>
  </si>
  <si>
    <t xml:space="preserve">Installation Address: </t>
  </si>
  <si>
    <t xml:space="preserve">City: </t>
  </si>
  <si>
    <t xml:space="preserve">State: </t>
  </si>
  <si>
    <t xml:space="preserve">Zip: </t>
  </si>
  <si>
    <t xml:space="preserve">Utility: </t>
  </si>
  <si>
    <t>Met-Ed</t>
  </si>
  <si>
    <t xml:space="preserve">Account No: </t>
  </si>
  <si>
    <t xml:space="preserve">Contact Name &amp; Title: </t>
  </si>
  <si>
    <t xml:space="preserve">Phone: </t>
  </si>
  <si>
    <t xml:space="preserve">Email: </t>
  </si>
  <si>
    <t>Weather Location:</t>
  </si>
  <si>
    <t xml:space="preserve">Facility Type: </t>
  </si>
  <si>
    <t>Health, Other</t>
  </si>
  <si>
    <t xml:space="preserve">Building Square-Footage: </t>
  </si>
  <si>
    <r>
      <t>ft</t>
    </r>
    <r>
      <rPr>
        <b/>
        <vertAlign val="superscript"/>
        <sz val="11"/>
        <color theme="1"/>
        <rFont val="Calibri"/>
        <family val="2"/>
        <scheme val="minor"/>
      </rPr>
      <t>2</t>
    </r>
  </si>
  <si>
    <t xml:space="preserve">Est. Annual Electric Use: </t>
  </si>
  <si>
    <t>kWh</t>
  </si>
  <si>
    <t xml:space="preserve">Est. Annual Natural Gas Use: </t>
  </si>
  <si>
    <t>Therms</t>
  </si>
  <si>
    <t xml:space="preserve">BOC level completed for present incentive: </t>
  </si>
  <si>
    <t>BOC Level I</t>
  </si>
  <si>
    <t>Space Cooling</t>
  </si>
  <si>
    <t>Percent of floorspace cooled:</t>
  </si>
  <si>
    <t>Primary cooling system type:</t>
  </si>
  <si>
    <t>Packaged air conditioning units</t>
  </si>
  <si>
    <t>Space Heating</t>
  </si>
  <si>
    <t xml:space="preserve">Primary non-electric heating system type: </t>
  </si>
  <si>
    <t>Boiler / Central Plant</t>
  </si>
  <si>
    <t xml:space="preserve">Percent of floorspace heated by natural gas or propane: </t>
  </si>
  <si>
    <t xml:space="preserve">Primary electric heating system type: </t>
  </si>
  <si>
    <t>Ground Source Heat Pump</t>
  </si>
  <si>
    <t xml:space="preserve">Percent of floorspace heated by the electric heating system: </t>
  </si>
  <si>
    <t>Domestic Water Heating</t>
  </si>
  <si>
    <t xml:space="preserve">Please select your water heating fuel source: </t>
  </si>
  <si>
    <t>Natural Gas</t>
  </si>
  <si>
    <t>Do you use hot water for commercial-scale laundry?</t>
  </si>
  <si>
    <t>Yes</t>
  </si>
  <si>
    <t>Do you use hot water for commercial food service?</t>
  </si>
  <si>
    <t>Refrigeration</t>
  </si>
  <si>
    <t>Do you have any refrigeration equipment at the facility?</t>
  </si>
  <si>
    <t>Do you have and walk-in units?</t>
  </si>
  <si>
    <t>Do you have any refrigerated cases or cabinets?</t>
  </si>
  <si>
    <t>Do you have any large cold storage areas like a refrigerated warehouse?</t>
  </si>
  <si>
    <t>Do you have any commercial ice makers?</t>
  </si>
  <si>
    <t>Do you have any refrigerated vending machines?</t>
  </si>
  <si>
    <t>Food Service</t>
  </si>
  <si>
    <t xml:space="preserve">Cooking Fuel: </t>
  </si>
  <si>
    <t xml:space="preserve">Approximate percentage of floorspace that is a food service area (including kitchen and seating): </t>
  </si>
  <si>
    <t xml:space="preserve">Separate computer areas (more than one may apply): </t>
  </si>
  <si>
    <t>Data center</t>
  </si>
  <si>
    <t>Savings Summary</t>
  </si>
  <si>
    <t>Utility Co.</t>
  </si>
  <si>
    <t>Measure</t>
  </si>
  <si>
    <t>Electric Energy Savings
[kWh]</t>
  </si>
  <si>
    <t>Winter Peak Demand Reduction
[kW]</t>
  </si>
  <si>
    <t>Summer Peak Demand Reduction
[kW]</t>
  </si>
  <si>
    <t>Natural Gas Energy Savings
[Therms]</t>
  </si>
  <si>
    <t>Model Results</t>
  </si>
  <si>
    <t>Energy End-Use</t>
  </si>
  <si>
    <r>
      <t>Scaled Electricity EUI [kWh/ft</t>
    </r>
    <r>
      <rPr>
        <b/>
        <vertAlign val="superscript"/>
        <sz val="11"/>
        <color theme="0"/>
        <rFont val="Calibri"/>
        <family val="2"/>
        <scheme val="minor"/>
      </rPr>
      <t>2</t>
    </r>
    <r>
      <rPr>
        <b/>
        <sz val="11"/>
        <color theme="0"/>
        <rFont val="Calibri"/>
        <family val="2"/>
        <scheme val="minor"/>
      </rPr>
      <t>]</t>
    </r>
  </si>
  <si>
    <t>Baseline Electricity Use
[kWh]</t>
  </si>
  <si>
    <r>
      <t>Scaled Natural Gas EUI [Therms/ft</t>
    </r>
    <r>
      <rPr>
        <b/>
        <vertAlign val="superscript"/>
        <sz val="11"/>
        <color theme="0"/>
        <rFont val="Calibri"/>
        <family val="2"/>
        <scheme val="minor"/>
      </rPr>
      <t>2</t>
    </r>
    <r>
      <rPr>
        <b/>
        <sz val="11"/>
        <color theme="0"/>
        <rFont val="Calibri"/>
        <family val="2"/>
        <scheme val="minor"/>
      </rPr>
      <t>]</t>
    </r>
  </si>
  <si>
    <t>Baseline Natural Gas Use
[Therms]</t>
  </si>
  <si>
    <t>Relative Savings</t>
  </si>
  <si>
    <t>ETDF Winter</t>
  </si>
  <si>
    <t>ETDF Summer</t>
  </si>
  <si>
    <t>Peak Demand Reduction Winter
[kW]</t>
  </si>
  <si>
    <t>Peak Demand Reduction Summer
[kW]</t>
  </si>
  <si>
    <t>Space heating</t>
  </si>
  <si>
    <t>Space cooling</t>
  </si>
  <si>
    <t>Ventilation</t>
  </si>
  <si>
    <t>Water heating</t>
  </si>
  <si>
    <t>Lighting</t>
  </si>
  <si>
    <t>Cooking</t>
  </si>
  <si>
    <t>Office equipment</t>
  </si>
  <si>
    <t>Computing</t>
  </si>
  <si>
    <t>Other</t>
  </si>
  <si>
    <t>Total</t>
  </si>
  <si>
    <t>-</t>
  </si>
  <si>
    <t>Relative Energy Savings</t>
  </si>
  <si>
    <t>Energy Impacts Scaled to Building's Energy Usage</t>
  </si>
  <si>
    <t>Parameter</t>
  </si>
  <si>
    <t>Value</t>
  </si>
  <si>
    <t>Units</t>
  </si>
  <si>
    <t>Annual Electric Energy Consumption</t>
  </si>
  <si>
    <t>Annual Natural Gas Energy Consumption</t>
  </si>
  <si>
    <t>Relative Electric Savings</t>
  </si>
  <si>
    <t>Relative Gas Savings</t>
  </si>
  <si>
    <t>Electric Energy Savings</t>
  </si>
  <si>
    <t>Electric Winter Demand Reduction</t>
  </si>
  <si>
    <t>kW</t>
  </si>
  <si>
    <t>Electric Summer Demand Reduction</t>
  </si>
  <si>
    <t>Gas Energy Savings</t>
  </si>
  <si>
    <r>
      <t>Energy Savings /ft</t>
    </r>
    <r>
      <rPr>
        <vertAlign val="superscript"/>
        <sz val="11"/>
        <color theme="1"/>
        <rFont val="Calibri"/>
        <family val="2"/>
        <scheme val="minor"/>
      </rPr>
      <t>2</t>
    </r>
  </si>
  <si>
    <r>
      <t>kWh/ft</t>
    </r>
    <r>
      <rPr>
        <vertAlign val="superscript"/>
        <sz val="11"/>
        <color theme="1"/>
        <rFont val="Calibri"/>
        <family val="2"/>
        <scheme val="minor"/>
      </rPr>
      <t>2</t>
    </r>
  </si>
  <si>
    <r>
      <t>kBTU/ft</t>
    </r>
    <r>
      <rPr>
        <vertAlign val="superscript"/>
        <sz val="11"/>
        <color theme="1"/>
        <rFont val="Calibri"/>
        <family val="2"/>
        <scheme val="minor"/>
      </rPr>
      <t>2</t>
    </r>
  </si>
  <si>
    <t>Load Factor (kWh/kW)</t>
  </si>
  <si>
    <t>hours</t>
  </si>
  <si>
    <t>Study</t>
  </si>
  <si>
    <t>Sample</t>
  </si>
  <si>
    <r>
      <t>Average Building Area
[ft</t>
    </r>
    <r>
      <rPr>
        <b/>
        <vertAlign val="superscript"/>
        <sz val="11"/>
        <color theme="0"/>
        <rFont val="Calibri"/>
        <family val="2"/>
        <scheme val="minor"/>
      </rPr>
      <t>2</t>
    </r>
    <r>
      <rPr>
        <b/>
        <sz val="11"/>
        <color theme="0"/>
        <rFont val="Calibri"/>
        <family val="2"/>
        <scheme val="minor"/>
      </rPr>
      <t>]</t>
    </r>
  </si>
  <si>
    <r>
      <t>Total Building Area
[ft</t>
    </r>
    <r>
      <rPr>
        <b/>
        <vertAlign val="superscript"/>
        <sz val="11"/>
        <color theme="0"/>
        <rFont val="Calibri"/>
        <family val="2"/>
        <scheme val="minor"/>
      </rPr>
      <t>2</t>
    </r>
    <r>
      <rPr>
        <b/>
        <sz val="11"/>
        <color theme="0"/>
        <rFont val="Calibri"/>
        <family val="2"/>
        <scheme val="minor"/>
      </rPr>
      <t>]</t>
    </r>
  </si>
  <si>
    <t>2020 Com ED</t>
  </si>
  <si>
    <t>2020 Ameren</t>
  </si>
  <si>
    <t>2019 Ameren</t>
  </si>
  <si>
    <t>TOTAL</t>
  </si>
  <si>
    <t>Savings from IL M&amp;V Reports, Buildin Areas from IL TRM v10</t>
  </si>
  <si>
    <t>Weight</t>
  </si>
  <si>
    <t>End-Use</t>
  </si>
  <si>
    <t>Energy Use
[kWh]</t>
  </si>
  <si>
    <t>Demand
[kW]</t>
  </si>
  <si>
    <t>Natural Gas Use
[Therms]</t>
  </si>
  <si>
    <t>EFLH Cooling
[hrs]</t>
  </si>
  <si>
    <t>Weighted EFLH Cooling
[hrs]</t>
  </si>
  <si>
    <r>
      <t>Unit Energy Use
[kWh/ft</t>
    </r>
    <r>
      <rPr>
        <b/>
        <vertAlign val="superscript"/>
        <sz val="11"/>
        <color theme="0"/>
        <rFont val="Calibri"/>
        <family val="2"/>
        <scheme val="minor"/>
      </rPr>
      <t>2</t>
    </r>
    <r>
      <rPr>
        <b/>
        <sz val="11"/>
        <color theme="0"/>
        <rFont val="Calibri"/>
        <family val="2"/>
        <scheme val="minor"/>
      </rPr>
      <t>]</t>
    </r>
  </si>
  <si>
    <r>
      <t>Unit Natural Gas Use
[Therms/ft</t>
    </r>
    <r>
      <rPr>
        <b/>
        <vertAlign val="superscript"/>
        <sz val="11"/>
        <color theme="0"/>
        <rFont val="Calibri"/>
        <family val="2"/>
        <scheme val="minor"/>
      </rPr>
      <t>2</t>
    </r>
    <r>
      <rPr>
        <b/>
        <sz val="11"/>
        <color theme="0"/>
        <rFont val="Calibri"/>
        <family val="2"/>
        <scheme val="minor"/>
      </rPr>
      <t>]</t>
    </r>
  </si>
  <si>
    <r>
      <t>Weighted Unit Energy Use
[kWh/ft</t>
    </r>
    <r>
      <rPr>
        <b/>
        <vertAlign val="superscript"/>
        <sz val="11"/>
        <color theme="0"/>
        <rFont val="Calibri"/>
        <family val="2"/>
        <scheme val="minor"/>
      </rPr>
      <t>2</t>
    </r>
    <r>
      <rPr>
        <b/>
        <sz val="11"/>
        <color theme="0"/>
        <rFont val="Calibri"/>
        <family val="2"/>
        <scheme val="minor"/>
      </rPr>
      <t>]</t>
    </r>
  </si>
  <si>
    <r>
      <t>Weighted Unit Natural Gas Use
[Therms/ft</t>
    </r>
    <r>
      <rPr>
        <b/>
        <vertAlign val="superscript"/>
        <sz val="11"/>
        <color theme="0"/>
        <rFont val="Calibri"/>
        <family val="2"/>
        <scheme val="minor"/>
      </rPr>
      <t>2</t>
    </r>
    <r>
      <rPr>
        <b/>
        <sz val="11"/>
        <color theme="0"/>
        <rFont val="Calibri"/>
        <family val="2"/>
        <scheme val="minor"/>
      </rPr>
      <t>]</t>
    </r>
  </si>
  <si>
    <t>End Use</t>
  </si>
  <si>
    <t>CBECS End Use</t>
  </si>
  <si>
    <t>Calculated Savings Factor</t>
  </si>
  <si>
    <t>Suggested Savings Factor (electric savings apply only if fuel is electric)</t>
  </si>
  <si>
    <t>NA</t>
  </si>
  <si>
    <t>Building Controls</t>
  </si>
  <si>
    <t>Motors</t>
  </si>
  <si>
    <t>Compressed Air</t>
  </si>
  <si>
    <t>Cooling</t>
  </si>
  <si>
    <t>DHW</t>
  </si>
  <si>
    <t>CBECS and PA Baseline Analysis</t>
  </si>
  <si>
    <t>CBECS EUI Scaling Factors</t>
  </si>
  <si>
    <r>
      <t>Electric EUI Scaling Factors [kWh/ft</t>
    </r>
    <r>
      <rPr>
        <i/>
        <vertAlign val="superscript"/>
        <sz val="12"/>
        <color theme="1"/>
        <rFont val="Calibri"/>
        <family val="2"/>
        <scheme val="minor"/>
      </rPr>
      <t>2</t>
    </r>
    <r>
      <rPr>
        <i/>
        <sz val="12"/>
        <color theme="1"/>
        <rFont val="Calibri"/>
        <family val="2"/>
        <scheme val="minor"/>
      </rPr>
      <t>]</t>
    </r>
  </si>
  <si>
    <t>Scale Factor IL</t>
  </si>
  <si>
    <t>IL Building Area Adjusted Scaling Factor</t>
  </si>
  <si>
    <t>Scale Factor PA</t>
  </si>
  <si>
    <t>PA Building Area Adjusted Scaling Factor</t>
  </si>
  <si>
    <t>CBECS Cooling Category</t>
  </si>
  <si>
    <t>Cooling EUI Given Saturation</t>
  </si>
  <si>
    <t>Ventilation EUI Given Cooling Saturation</t>
  </si>
  <si>
    <t>Cooling EUI Given System Type</t>
  </si>
  <si>
    <t>Ventilation EUI Given System Type</t>
  </si>
  <si>
    <r>
      <t>Natural Gas EUI Scaling Factors [kBTU/ft</t>
    </r>
    <r>
      <rPr>
        <i/>
        <vertAlign val="superscript"/>
        <sz val="12"/>
        <color theme="1"/>
        <rFont val="Calibri"/>
        <family val="2"/>
        <scheme val="minor"/>
      </rPr>
      <t>2</t>
    </r>
    <r>
      <rPr>
        <i/>
        <sz val="12"/>
        <color theme="1"/>
        <rFont val="Calibri"/>
        <family val="2"/>
        <scheme val="minor"/>
      </rPr>
      <t>]</t>
    </r>
  </si>
  <si>
    <t>All buildings</t>
  </si>
  <si>
    <t>Scale Factor NJ</t>
  </si>
  <si>
    <t>NJ Building Area Adjusted Scaling Factor</t>
  </si>
  <si>
    <t>CBECS Heating Category</t>
  </si>
  <si>
    <t>Heating EUI Given Saturation</t>
  </si>
  <si>
    <t>Final EUI Scaling Factors</t>
  </si>
  <si>
    <t>Regional Scale Factor</t>
  </si>
  <si>
    <t>Space Heating Saturation Scale Factor</t>
  </si>
  <si>
    <t>Cooling and Ventilation Saturation Scale Factor</t>
  </si>
  <si>
    <t>Cooling Type Scale Factor</t>
  </si>
  <si>
    <t>Office Equipment + Separate Computer Areas</t>
  </si>
  <si>
    <t>Final Scale Factor</t>
  </si>
  <si>
    <t>Expansion of the PA Baseline Segments Using CBECS</t>
  </si>
  <si>
    <t>Segment</t>
  </si>
  <si>
    <t>On-Site Generation</t>
  </si>
  <si>
    <t>Heating</t>
  </si>
  <si>
    <t>Plug Loads</t>
  </si>
  <si>
    <t>Process</t>
  </si>
  <si>
    <t>CBECS Segments</t>
  </si>
  <si>
    <t>Percent of Population</t>
  </si>
  <si>
    <t>Weighted Average</t>
  </si>
  <si>
    <t>Residual</t>
  </si>
  <si>
    <t>Appendix J Building Types</t>
  </si>
  <si>
    <t>PA Final Segment</t>
  </si>
  <si>
    <t>CBECS Segment</t>
  </si>
  <si>
    <t>Health (inpatient)</t>
  </si>
  <si>
    <t>Health (outpatient)</t>
  </si>
  <si>
    <t>Selected Building Type EUI by End Use</t>
  </si>
  <si>
    <t>Divides the heating load between natural gas-sourced and electric-sourced heating equipment</t>
  </si>
  <si>
    <t>Total Heating Efficiency</t>
  </si>
  <si>
    <t>System Type</t>
  </si>
  <si>
    <t>Heat Load</t>
  </si>
  <si>
    <t>Fuel Use</t>
  </si>
  <si>
    <t>Total Space Heating Load</t>
  </si>
  <si>
    <t>% floorspace gas-heated</t>
  </si>
  <si>
    <t>% floorspace electric-heated</t>
  </si>
  <si>
    <t>Calculates the building-specific refrigeration load based on observed equipment</t>
  </si>
  <si>
    <t>Refrigeration Uses</t>
  </si>
  <si>
    <t>Exists?</t>
  </si>
  <si>
    <r>
      <t>kWh/ft</t>
    </r>
    <r>
      <rPr>
        <b/>
        <vertAlign val="superscript"/>
        <sz val="11"/>
        <color theme="0"/>
        <rFont val="Calibri"/>
        <family val="2"/>
        <scheme val="minor"/>
      </rPr>
      <t>2</t>
    </r>
    <r>
      <rPr>
        <b/>
        <sz val="11"/>
        <color theme="0"/>
        <rFont val="Calibri"/>
        <family val="2"/>
        <scheme val="minor"/>
      </rPr>
      <t>/Unit</t>
    </r>
  </si>
  <si>
    <r>
      <t>kWh/ft</t>
    </r>
    <r>
      <rPr>
        <b/>
        <vertAlign val="superscript"/>
        <sz val="11"/>
        <color theme="0"/>
        <rFont val="Calibri"/>
        <family val="2"/>
        <scheme val="minor"/>
      </rPr>
      <t>2</t>
    </r>
  </si>
  <si>
    <t>Scaled EUIs for Each End Use of the Selected Building Type</t>
  </si>
  <si>
    <t>CBECS electric raw data</t>
  </si>
  <si>
    <t>Release date: December 2022</t>
  </si>
  <si>
    <t>Table E6. Electricity consumption intensities (in kilowatthours [kWh]) by end use, 2018</t>
  </si>
  <si>
    <r>
      <t>Electricity energy intensity</t>
    </r>
    <r>
      <rPr>
        <b/>
        <vertAlign val="superscript"/>
        <sz val="10"/>
        <color theme="1"/>
        <rFont val="Calibri"/>
        <family val="2"/>
        <scheme val="minor"/>
      </rPr>
      <t>1</t>
    </r>
    <r>
      <rPr>
        <b/>
        <sz val="10"/>
        <color theme="1"/>
        <rFont val="Calibri"/>
        <family val="2"/>
        <scheme val="minor"/>
      </rPr>
      <t xml:space="preserve"> (kWh/square foot in buildings using electricity for the end use)</t>
    </r>
  </si>
  <si>
    <t>Building floorspace (square feet)</t>
  </si>
  <si>
    <t xml:space="preserve">1,001 to 5,000 </t>
  </si>
  <si>
    <t xml:space="preserve">5,001 to 10,000 </t>
  </si>
  <si>
    <t>10,001 to 25,000</t>
  </si>
  <si>
    <t>25,001 to 50,000</t>
  </si>
  <si>
    <t xml:space="preserve">50,001 to 100,000 </t>
  </si>
  <si>
    <t xml:space="preserve">100,001 to 200,000 </t>
  </si>
  <si>
    <t xml:space="preserve">200,001 to 500,000 </t>
  </si>
  <si>
    <t xml:space="preserve">Over 500,000 </t>
  </si>
  <si>
    <t>Principal building activity</t>
  </si>
  <si>
    <t>Education</t>
  </si>
  <si>
    <t xml:space="preserve">Food sales </t>
  </si>
  <si>
    <t xml:space="preserve">Food service </t>
  </si>
  <si>
    <t xml:space="preserve">Health care </t>
  </si>
  <si>
    <t xml:space="preserve">Inpatient </t>
  </si>
  <si>
    <t xml:space="preserve">Outpatient </t>
  </si>
  <si>
    <t xml:space="preserve">Lodging </t>
  </si>
  <si>
    <t xml:space="preserve">Mercantile </t>
  </si>
  <si>
    <t xml:space="preserve">Retail (other than mall) </t>
  </si>
  <si>
    <t xml:space="preserve">Enclosed and strip malls </t>
  </si>
  <si>
    <t xml:space="preserve">Office </t>
  </si>
  <si>
    <t xml:space="preserve">Public assembly </t>
  </si>
  <si>
    <t xml:space="preserve">Public order and safety </t>
  </si>
  <si>
    <t xml:space="preserve">Religious worship </t>
  </si>
  <si>
    <t xml:space="preserve">Service </t>
  </si>
  <si>
    <t xml:space="preserve">Warehouse and storage </t>
  </si>
  <si>
    <t xml:space="preserve">Other </t>
  </si>
  <si>
    <t xml:space="preserve">Vacant </t>
  </si>
  <si>
    <t>(*)</t>
  </si>
  <si>
    <t>Q</t>
  </si>
  <si>
    <t>Year constructed</t>
  </si>
  <si>
    <t>Before 1920</t>
  </si>
  <si>
    <t>1920 to 1945</t>
  </si>
  <si>
    <t>1946 to 1959</t>
  </si>
  <si>
    <t>1960 to 1969</t>
  </si>
  <si>
    <t>1970 to 1979</t>
  </si>
  <si>
    <t>1980 to 1989</t>
  </si>
  <si>
    <t>1990 to 1999</t>
  </si>
  <si>
    <t>2000 to 2009</t>
  </si>
  <si>
    <t>2010 to 2018</t>
  </si>
  <si>
    <t>Census region and division</t>
  </si>
  <si>
    <t>Northeast</t>
  </si>
  <si>
    <t xml:space="preserve">New England </t>
  </si>
  <si>
    <t>Middle Atlantic</t>
  </si>
  <si>
    <t>Midwest</t>
  </si>
  <si>
    <t>East North Central</t>
  </si>
  <si>
    <t>West North Central</t>
  </si>
  <si>
    <t>South</t>
  </si>
  <si>
    <t xml:space="preserve">South Atlantic </t>
  </si>
  <si>
    <t>East South Central</t>
  </si>
  <si>
    <t>West South Central</t>
  </si>
  <si>
    <t>West</t>
  </si>
  <si>
    <t>Mountain</t>
  </si>
  <si>
    <t>Pacific</t>
  </si>
  <si>
    <t>Climate zoneb</t>
  </si>
  <si>
    <t>Cold or very cold</t>
  </si>
  <si>
    <t>Cool</t>
  </si>
  <si>
    <t>Mixed mild</t>
  </si>
  <si>
    <t>Warm</t>
  </si>
  <si>
    <t>Hot or very hot</t>
  </si>
  <si>
    <t>Number of floors</t>
  </si>
  <si>
    <t>1</t>
  </si>
  <si>
    <t>2</t>
  </si>
  <si>
    <t>3</t>
  </si>
  <si>
    <t>4 to 9</t>
  </si>
  <si>
    <t>10 or more</t>
  </si>
  <si>
    <t>Elevators and escalators 
(more than one may apply)</t>
  </si>
  <si>
    <t>Any elevators</t>
  </si>
  <si>
    <t>1 elevator</t>
  </si>
  <si>
    <t>2 to 5 elevators</t>
  </si>
  <si>
    <t>6 or more elevators</t>
  </si>
  <si>
    <t>Any escalators</t>
  </si>
  <si>
    <t>Number of workers (main shift)</t>
  </si>
  <si>
    <t>Fewer than 5</t>
  </si>
  <si>
    <t>5 to 9</t>
  </si>
  <si>
    <t>10 to 19</t>
  </si>
  <si>
    <t>20 to 49</t>
  </si>
  <si>
    <t>50 to 99</t>
  </si>
  <si>
    <t>100 to 249</t>
  </si>
  <si>
    <t>250 or more</t>
  </si>
  <si>
    <t>Weekly operating hours</t>
  </si>
  <si>
    <t>Fewer than 40</t>
  </si>
  <si>
    <t>40 to 48</t>
  </si>
  <si>
    <t>49 to 60</t>
  </si>
  <si>
    <t>61 to 84</t>
  </si>
  <si>
    <t>85 to 167</t>
  </si>
  <si>
    <t>Open continuously</t>
  </si>
  <si>
    <t>Ownership and occupancy</t>
  </si>
  <si>
    <t>Nongovernment owned</t>
  </si>
  <si>
    <t>Owner occupied</t>
  </si>
  <si>
    <t>Leased to tenant or tenants</t>
  </si>
  <si>
    <t>Unoccupied</t>
  </si>
  <si>
    <t>Government owned</t>
  </si>
  <si>
    <t>Federal</t>
  </si>
  <si>
    <t>State</t>
  </si>
  <si>
    <t>Local</t>
  </si>
  <si>
    <t>Party responsible for operation
of energy systems</t>
  </si>
  <si>
    <t>Building owner</t>
  </si>
  <si>
    <t>Business owner or tenant</t>
  </si>
  <si>
    <t>Property management</t>
  </si>
  <si>
    <t>Provider of direct input on energy-
related equipment purchases</t>
  </si>
  <si>
    <t>Number of establishments</t>
  </si>
  <si>
    <t>2 to 5</t>
  </si>
  <si>
    <t>6 to 10</t>
  </si>
  <si>
    <t>11 to 20</t>
  </si>
  <si>
    <t>More than 20</t>
  </si>
  <si>
    <t>Currently unoccupied</t>
  </si>
  <si>
    <t>Predominant exterior wall material</t>
  </si>
  <si>
    <t>Brick, stone, or stucco</t>
  </si>
  <si>
    <t>Concrete (block or poured)</t>
  </si>
  <si>
    <t>Concrete panels</t>
  </si>
  <si>
    <t>Siding or shingles</t>
  </si>
  <si>
    <t>Metal panels</t>
  </si>
  <si>
    <t>Window glass</t>
  </si>
  <si>
    <t>Predominant roof material</t>
  </si>
  <si>
    <t>Metal surfacing</t>
  </si>
  <si>
    <t>Synthetic or rubber</t>
  </si>
  <si>
    <t>Built-up</t>
  </si>
  <si>
    <t>Slate or tile shingles</t>
  </si>
  <si>
    <t>Wooden materials (including
shingles)</t>
  </si>
  <si>
    <t>Asphalt, fiberglass, or 
other shingles</t>
  </si>
  <si>
    <t>Concrete</t>
  </si>
  <si>
    <t>Roof tilt</t>
  </si>
  <si>
    <t>Flat</t>
  </si>
  <si>
    <t>Shallow pitch</t>
  </si>
  <si>
    <t>Steeper pitch</t>
  </si>
  <si>
    <t>Cool roof characteristics (more than one may apply)</t>
  </si>
  <si>
    <t>White or reflective coating or paint</t>
  </si>
  <si>
    <t>White or reflective tiles or shingles</t>
  </si>
  <si>
    <t>Aluminum coating</t>
  </si>
  <si>
    <t>Ballasted roof system</t>
  </si>
  <si>
    <t>Other cool roof property</t>
  </si>
  <si>
    <t>Renovations since 2000 
(more than one may apply)</t>
  </si>
  <si>
    <t>Any type of renovation</t>
  </si>
  <si>
    <t>Addition or annex</t>
  </si>
  <si>
    <t>Reduction in floorspace</t>
  </si>
  <si>
    <t>Roof replacement</t>
  </si>
  <si>
    <t>Interior wall reconfiguration</t>
  </si>
  <si>
    <t>Window replacement</t>
  </si>
  <si>
    <t>HVAC equipment upgrade</t>
  </si>
  <si>
    <t>Lighting upgrade</t>
  </si>
  <si>
    <t>Electrical upgrade</t>
  </si>
  <si>
    <t>Plumbing system upgrade</t>
  </si>
  <si>
    <t>Insulation upgrade</t>
  </si>
  <si>
    <t>Fire, safety, or security upgrade</t>
  </si>
  <si>
    <t>Structural upgrade</t>
  </si>
  <si>
    <t>No renovations</t>
  </si>
  <si>
    <t>Buildings constructed 2013 or later</t>
  </si>
  <si>
    <t>Energy sources
(more than one may apply)</t>
  </si>
  <si>
    <t>Electricity</t>
  </si>
  <si>
    <t>Natural gas</t>
  </si>
  <si>
    <t>Fuel oil</t>
  </si>
  <si>
    <t>District heat</t>
  </si>
  <si>
    <t>District chilled water</t>
  </si>
  <si>
    <t>Propane</t>
  </si>
  <si>
    <t>Solar</t>
  </si>
  <si>
    <t>Wood, coal, and other</t>
  </si>
  <si>
    <t xml:space="preserve">Space-heating energy sources </t>
  </si>
  <si>
    <t>Electricity main</t>
  </si>
  <si>
    <t>Electricity secondary</t>
  </si>
  <si>
    <t>Other excluding electricity</t>
  </si>
  <si>
    <t>N</t>
  </si>
  <si>
    <t>Buildings without heating</t>
  </si>
  <si>
    <t>Primary space-heating 
energy source</t>
  </si>
  <si>
    <t>Other sourcesc</t>
  </si>
  <si>
    <t>Cooling energy sources</t>
  </si>
  <si>
    <t>Buildings without cooling</t>
  </si>
  <si>
    <t>Water-heating energy sources</t>
  </si>
  <si>
    <t>Buildings without water heating</t>
  </si>
  <si>
    <t>Cooking energy sources</t>
  </si>
  <si>
    <t>Buildings without cooking</t>
  </si>
  <si>
    <t>Energy end uses
(more than one may apply)</t>
  </si>
  <si>
    <t>Buildings with space heating</t>
  </si>
  <si>
    <t>Buildings with cooling</t>
  </si>
  <si>
    <t>Buildings with water heating</t>
  </si>
  <si>
    <t>Buildings with cooking</t>
  </si>
  <si>
    <t>Buildings with manufacturing</t>
  </si>
  <si>
    <t>Buildings with electricity
generation</t>
  </si>
  <si>
    <t xml:space="preserve">Buildings with lighting </t>
  </si>
  <si>
    <t>Percentage of floorspace heated</t>
  </si>
  <si>
    <t>Not heated</t>
  </si>
  <si>
    <t>1% to 50%</t>
  </si>
  <si>
    <t>51% to 99%</t>
  </si>
  <si>
    <t>100%</t>
  </si>
  <si>
    <t>Percentage of floorspace cooled</t>
  </si>
  <si>
    <t>Not cooled</t>
  </si>
  <si>
    <t>Percentage lit when open</t>
  </si>
  <si>
    <t>0%</t>
  </si>
  <si>
    <t>Building never open or electricity
not used</t>
  </si>
  <si>
    <t>Percentage lit during off hours</t>
  </si>
  <si>
    <t>51% to 100%</t>
  </si>
  <si>
    <t>Building always open with 
no off hours</t>
  </si>
  <si>
    <t>Electricity not used</t>
  </si>
  <si>
    <t>Heating equipment 
(more than one may apply)</t>
  </si>
  <si>
    <t>Packaged heating units</t>
  </si>
  <si>
    <t>Furnaces</t>
  </si>
  <si>
    <t>Individual space heaters</t>
  </si>
  <si>
    <t>Boilers</t>
  </si>
  <si>
    <t>Heat pumps</t>
  </si>
  <si>
    <t>Duct reheat</t>
  </si>
  <si>
    <t>Cooling equipment 
(more than one may apply)</t>
  </si>
  <si>
    <t>Residential-type central air
conditioners</t>
  </si>
  <si>
    <t>Individual air conditioners</t>
  </si>
  <si>
    <t>Central chillers</t>
  </si>
  <si>
    <t>Swamp coolers</t>
  </si>
  <si>
    <t>HVAC features 
(more than one may apply)</t>
  </si>
  <si>
    <t>Economizer cycle</t>
  </si>
  <si>
    <t>Variable air volume (VAV) system</t>
  </si>
  <si>
    <t>Dedicated outside air system (DOAS)</t>
  </si>
  <si>
    <t>Demand controlled ventilation (DCV)</t>
  </si>
  <si>
    <t>Regular HVAC maintenance</t>
  </si>
  <si>
    <t>Building automation system (BAS) controls heating or cooling</t>
  </si>
  <si>
    <t>Internet-connected or smart
thermostat</t>
  </si>
  <si>
    <t>Programmable thermostat</t>
  </si>
  <si>
    <t>Main equipment replaced since 
2000 (more than one may apply)</t>
  </si>
  <si>
    <t>Water-heating equipment</t>
  </si>
  <si>
    <t>Centralized system</t>
  </si>
  <si>
    <t>Distributed system</t>
  </si>
  <si>
    <t>Combination of centralized and
distributed systems</t>
  </si>
  <si>
    <t>Generation technologies 
(more than one may apply)</t>
  </si>
  <si>
    <t>Reciprocating engine generators</t>
  </si>
  <si>
    <t>Solar panels</t>
  </si>
  <si>
    <t>Other generation technology</t>
  </si>
  <si>
    <t>Lighting equipment types
(more than one may apply)</t>
  </si>
  <si>
    <t>Incandescent</t>
  </si>
  <si>
    <t>Standard fluorescent</t>
  </si>
  <si>
    <t>Compact fluorescent</t>
  </si>
  <si>
    <t>High-intensity discharge (HID)</t>
  </si>
  <si>
    <t>Halogen</t>
  </si>
  <si>
    <t>LED</t>
  </si>
  <si>
    <t>Refrigeration equipment
(more than one may apply)</t>
  </si>
  <si>
    <t>Any refrigeration</t>
  </si>
  <si>
    <t>Walk-in units</t>
  </si>
  <si>
    <t>Cases or cabinets</t>
  </si>
  <si>
    <t>Large cold storage areas</t>
  </si>
  <si>
    <t>Commercial ice makers</t>
  </si>
  <si>
    <t>Residential-type or compact units</t>
  </si>
  <si>
    <t>Vending machines</t>
  </si>
  <si>
    <t>No refrigeration</t>
  </si>
  <si>
    <t>Office equipment
(more than one may apply)</t>
  </si>
  <si>
    <t>Desktop computers</t>
  </si>
  <si>
    <t>With multiple monitors</t>
  </si>
  <si>
    <t>Laptop computers</t>
  </si>
  <si>
    <t>Dedicated servers</t>
  </si>
  <si>
    <t>Tablets charged in building</t>
  </si>
  <si>
    <t>Large floor-standing office devices</t>
  </si>
  <si>
    <t>Smaller desktop office devices</t>
  </si>
  <si>
    <t>Interactive whiteboards</t>
  </si>
  <si>
    <t>Televisions or video displays</t>
  </si>
  <si>
    <t>Point-of-sale devices or cash 
registers</t>
  </si>
  <si>
    <t>Food preparation or serving areas 
in non-food service buildings
(more than one may apply)</t>
  </si>
  <si>
    <t>Snack bar, concession stand, or coffee shop</t>
  </si>
  <si>
    <t>Fast food or small restaurant</t>
  </si>
  <si>
    <t>Cafeteria or large restaurant</t>
  </si>
  <si>
    <t>Commercial kitchen or
food preparation area</t>
  </si>
  <si>
    <t>Small kitchen area</t>
  </si>
  <si>
    <t>Separate computer areas
(more than one may apply)</t>
  </si>
  <si>
    <t>Server closet</t>
  </si>
  <si>
    <t>Computer-based training room</t>
  </si>
  <si>
    <t>Student or public computer center</t>
  </si>
  <si>
    <t>Window and interior lighting 
features (more than one may
apply)</t>
  </si>
  <si>
    <t>Multipaned windows</t>
  </si>
  <si>
    <t>Tinted window glass</t>
  </si>
  <si>
    <t>Reflective window glass</t>
  </si>
  <si>
    <t>External overhangs or awnings</t>
  </si>
  <si>
    <t>Skylights or atriums</t>
  </si>
  <si>
    <t>Light scheduling</t>
  </si>
  <si>
    <t>Occupancy sensors</t>
  </si>
  <si>
    <t>Multilevel lighting or dimming</t>
  </si>
  <si>
    <t>Daylight harvesting</t>
  </si>
  <si>
    <t>Plug-load control</t>
  </si>
  <si>
    <t>Demand responsive lighting</t>
  </si>
  <si>
    <t>Building automation system (BAS) for lighting</t>
  </si>
  <si>
    <t>Electric vehicle (EV) charging</t>
  </si>
  <si>
    <t>Charging stations associated with the building</t>
  </si>
  <si>
    <t>Annual consumption
(kilowatthours)</t>
  </si>
  <si>
    <t>10,000 or less</t>
  </si>
  <si>
    <t>10,001 to 50,000</t>
  </si>
  <si>
    <t>50,001 to 100,000</t>
  </si>
  <si>
    <t>100,001 to 500,000</t>
  </si>
  <si>
    <t>500,001 to 1,000,000</t>
  </si>
  <si>
    <t>1,000,001 to 5,000,000</t>
  </si>
  <si>
    <t>Over 5,000,000</t>
  </si>
  <si>
    <t xml:space="preserve">Data source: U.S. Energy Information Administration, Forms EIA-871A and E of the 2018 Commercial Buildings Energy Consumption Survey 
Notes: Because of rounding, data may not sum to totals. The Guide to the 2018 CBECS Tables and CBECS Terminology contain definitions of terms used in these tables and comparisons between previous CBECS tables. You can access both references from http://www.eia.gov/consumption/commercial/data/2018/. 
Estimates for types of equipment represent consumption in buildings that have the equipment, not the consumption by the specific piece of equipment.
HVAC = Heating, ventilation, and air conditioning.
aThe electricity intensity calculation is conditional on the presence of the end use, and therefore the intensities for each end use will not sum to the total electricity intensity. In this table, each column is calculated as electricity consumption for the end use divided by the floorspace in buildings that use electricity for the particular end use.
bClimate zones are based on ASHRAE Standard 169-2021; see https://www.eia.gov/consumption/commercial/maps.php#defined.
cOther sources includes wood, coal, solar, and all other energy sources.
dOffice devices refers to any combination of printers, copiers, scanners, or FAX machines.
Q = Data withheld either because the relative standard error was greater than 50% or the reporting sample had fewer than 20 buildings.
N = No buildings in reporting sample.
(*) = Value rounds to zero in the units displayed.
Data source: U.S. Energy Information Administration, Forms EIA-871A and E of the 2018 Commercial Buildings Energy Consumption Survey 
Notes: Because of rounding, data may not sum to totals. The Guide to the 2018 CBECS Tables and CBECS Terminology contain definitions of terms used in these tables and comparisons between previous CBECS tables. You can access both references from http://www.eia.gov/consumption/commercial/data/2018/. 
Estimates for types of equipment represent consumption in buildings that have the equipment, not the consumption by the specific piece of equipment.
HVAC = Heating, ventilation, and air conditioning.
aThe electricity intensity calculation is conditional on the presence of the end use, and therefore the intensities for each end use will not sum to the total electricity intensity. In this table, each column is calculated as electricity consumption for the end use divided by the floorspace in buildings that use electricity for the particular end use.
bClimate zones are based on ASHRAE Standard 169-2021; see https://www.eia.gov/consumption/commercial/maps.php#defined.
cOther sources includes wood, coal, solar, and all other energy sources.
dOffice devices refers to any combination of printers, copiers, scanners, or FAX machines.
Q = Data withheld either because the relative standard error was greater than 50% or the reporting sample had fewer than 20 buildings.
N = No buildings in reporting sample.
(*) = Value rounds to zero in the units displayed.
Data source: U.S. Energy Information Administration, Forms EIA-871A and E of the 2018 Commercial Buildings Energy Consumption Survey 
Notes: Because of rounding, data may not sum to totals. The Guide to the 2018 CBECS Tables and CBECS Terminology contain definitions of terms used in these tables and comparisons between previous CBECS tables. You can access both references from http://www.eia.gov/consumption/commercial/data/2018/. 
Estimates for types of equipment represent consumption in buildings that have the equipment, not the consumption by the specific piece of equipment.
HVAC = Heating, ventilation, and air conditioning.
aThe electricity intensity calculation is conditional on the presence of the end use, and therefore the intensities for each end use will not sum to the total electricity intensity. In this table, each column is calculated as electricity consumption for the end use divided by the floorspace in buildings that use electricity for the particular end use.
bClimate zones are based on ASHRAE Standard 169-2021; see https://www.eia.gov/consumption/commercial/maps.php#defined.
cOther sources includes wood, coal, solar, and all other energy sources.
dOffice devices refers to any combination of printers, copiers, scanners, or FAX machines.
Q = Data withheld either because the relative standard error was greater than 50% or the reporting sample had fewer than 20 buildings.
N = No buildings in reporting sample.
(*) = Value rounds to zero in the units displayed.
</t>
  </si>
  <si>
    <t>CBECS gas raw data</t>
  </si>
  <si>
    <t xml:space="preserve">              </t>
  </si>
  <si>
    <t>Table E8. Natural gas consumption and conditional energy intensities (in cubic feet) by end use, 2018</t>
  </si>
  <si>
    <t>Total natural gas consumption</t>
  </si>
  <si>
    <r>
      <t>Natural gas energy intensity</t>
    </r>
    <r>
      <rPr>
        <b/>
        <vertAlign val="superscript"/>
        <sz val="10"/>
        <color rgb="FF000000"/>
        <rFont val="Calibri"/>
        <family val="2"/>
        <scheme val="minor"/>
      </rPr>
      <t>a</t>
    </r>
  </si>
  <si>
    <t>(billion cubic feet)</t>
  </si>
  <si>
    <t>(cubic feet/square foot in buildings</t>
  </si>
  <si>
    <t>(kBTU / square foot in buildings</t>
  </si>
  <si>
    <t>using natural gas for the end use)</t>
  </si>
  <si>
    <r>
      <t>Climate zone</t>
    </r>
    <r>
      <rPr>
        <b/>
        <vertAlign val="superscript"/>
        <sz val="10"/>
        <color rgb="FF000000"/>
        <rFont val="Calibri"/>
        <family val="2"/>
        <scheme val="minor"/>
      </rPr>
      <t>b</t>
    </r>
  </si>
  <si>
    <t>Party responsible for operation</t>
  </si>
  <si>
    <t>of energy systems</t>
  </si>
  <si>
    <t>Provider of direct input on energy-</t>
  </si>
  <si>
    <t>related equipment purchases</t>
  </si>
  <si>
    <t>Wooden materials (including</t>
  </si>
  <si>
    <t>shingles)</t>
  </si>
  <si>
    <t>Asphalt, fiberglass, or</t>
  </si>
  <si>
    <t>other shingles</t>
  </si>
  <si>
    <t>Renovations since 2000</t>
  </si>
  <si>
    <t>(more than one may apply)</t>
  </si>
  <si>
    <t>Energy sources</t>
  </si>
  <si>
    <t>Natural gas main</t>
  </si>
  <si>
    <t>Natural gas secondary</t>
  </si>
  <si>
    <t>Other excluding natural gas</t>
  </si>
  <si>
    <t>Primary space-heating</t>
  </si>
  <si>
    <t>energy source</t>
  </si>
  <si>
    <r>
      <t>Other sources</t>
    </r>
    <r>
      <rPr>
        <vertAlign val="superscript"/>
        <sz val="10"/>
        <color rgb="FF000000"/>
        <rFont val="Calibri"/>
        <family val="2"/>
        <scheme val="minor"/>
      </rPr>
      <t>c</t>
    </r>
  </si>
  <si>
    <t>Energy end uses</t>
  </si>
  <si>
    <t>Buildings with electricity</t>
  </si>
  <si>
    <t>generation</t>
  </si>
  <si>
    <t>Buildings with lighting</t>
  </si>
  <si>
    <t>Heating equipment</t>
  </si>
  <si>
    <t>Cooling equipment</t>
  </si>
  <si>
    <t>Packaged air-conditioning units</t>
  </si>
  <si>
    <t>Residential-type central air</t>
  </si>
  <si>
    <t>conditioners</t>
  </si>
  <si>
    <t>HVAC features</t>
  </si>
  <si>
    <t>Internet-connected or smart</t>
  </si>
  <si>
    <t>thermostat</t>
  </si>
  <si>
    <t>Main equipment replaced since</t>
  </si>
  <si>
    <t>2000 (more than one may apply)</t>
  </si>
  <si>
    <t>Combination of centralized and</t>
  </si>
  <si>
    <t>distributed systems</t>
  </si>
  <si>
    <t>Generation technologies</t>
  </si>
  <si>
    <t>Food preparation or serving areas</t>
  </si>
  <si>
    <t>in non-food service buildings</t>
  </si>
  <si>
    <t>Commercial kitchen or</t>
  </si>
  <si>
    <t>food preparation area</t>
  </si>
  <si>
    <t>Annual consumption</t>
  </si>
  <si>
    <t>(hundred cubic feet)</t>
  </si>
  <si>
    <t>1,000 or less</t>
  </si>
  <si>
    <t>1,001 to 5,000</t>
  </si>
  <si>
    <t>5,001 to 10,000</t>
  </si>
  <si>
    <t>Over 100,000</t>
  </si>
  <si>
    <r>
      <t>Data source: U.S. Energy Information Administration, Forms EIA-871A and C of the</t>
    </r>
    <r>
      <rPr>
        <i/>
        <sz val="9"/>
        <rFont val="Calibri"/>
        <family val="2"/>
        <scheme val="minor"/>
      </rPr>
      <t xml:space="preserve"> 2018 Commercial Buildings Energy Consumption Survey </t>
    </r>
  </si>
  <si>
    <r>
      <t xml:space="preserve">Notes: Because of rounding, data may not sum to totals. The </t>
    </r>
    <r>
      <rPr>
        <i/>
        <sz val="9"/>
        <rFont val="Calibri"/>
        <family val="2"/>
        <scheme val="minor"/>
      </rPr>
      <t>Guide to the 2018 CBECS Tables</t>
    </r>
    <r>
      <rPr>
        <sz val="9"/>
        <rFont val="Calibri"/>
        <family val="2"/>
        <scheme val="minor"/>
      </rPr>
      <t xml:space="preserve"> and </t>
    </r>
    <r>
      <rPr>
        <i/>
        <sz val="9"/>
        <rFont val="Calibri"/>
        <family val="2"/>
        <scheme val="minor"/>
      </rPr>
      <t xml:space="preserve">CBECS Terminology </t>
    </r>
    <r>
      <rPr>
        <sz val="9"/>
        <rFont val="Calibri"/>
        <family val="2"/>
        <scheme val="minor"/>
      </rPr>
      <t>contain definitions of terms used in these tables and comparisons between previous CBECS tables. You can access both references from http://www.eia.gov/consumption/commercial/data/2018/.</t>
    </r>
  </si>
  <si>
    <t>Estimates for types of equipment represent consumption in buildings that have the equipment, not the consumption by the specific piece of equipment.</t>
  </si>
  <si>
    <t>HVAC = Heating, ventilation, and air conditioning.</t>
  </si>
  <si>
    <r>
      <t xml:space="preserve">a </t>
    </r>
    <r>
      <rPr>
        <sz val="9"/>
        <rFont val="Calibri"/>
        <family val="2"/>
        <scheme val="minor"/>
      </rPr>
      <t>The natural gas intensity calculation is conditional on the presence of the end use, and therefore the intensities for each end use will not sum to the total natural gas intensity. In this table, each column is calculated as natural gas consumption for the end use divided by the floorspace in buildings that use natural gas for the particular end use.</t>
    </r>
  </si>
  <si>
    <r>
      <t>b</t>
    </r>
    <r>
      <rPr>
        <i/>
        <sz val="9"/>
        <rFont val="Calibri"/>
        <family val="2"/>
        <scheme val="minor"/>
      </rPr>
      <t>Climate zones</t>
    </r>
    <r>
      <rPr>
        <sz val="9"/>
        <rFont val="Calibri"/>
        <family val="2"/>
        <scheme val="minor"/>
      </rPr>
      <t xml:space="preserve"> are based on ASHRAE Standard 169-2021; see https://www.eia.gov/consumption/commercial/maps.php#defined.</t>
    </r>
  </si>
  <si>
    <r>
      <t>c</t>
    </r>
    <r>
      <rPr>
        <i/>
        <sz val="9"/>
        <rFont val="Calibri"/>
        <family val="2"/>
        <scheme val="minor"/>
      </rPr>
      <t>Other sources</t>
    </r>
    <r>
      <rPr>
        <sz val="9"/>
        <rFont val="Calibri"/>
        <family val="2"/>
        <scheme val="minor"/>
      </rPr>
      <t xml:space="preserve"> includes wood, coal, solar, and all other energy sources.</t>
    </r>
  </si>
  <si>
    <t>Q = Data withheld either because the relative standard error was greater than 50% or the reporting sample had fewer than 20 buildings.</t>
  </si>
  <si>
    <t>N = No buildings in reporting sample.</t>
  </si>
  <si>
    <t>Energy-to-Demand Factor (ETDF) Summary</t>
  </si>
  <si>
    <t>The NREL end use category "internal_equipment" is subdivided into four CBECS categories: Cooking, Office equipment, Computing, and Other for both winter and summer peak.</t>
  </si>
  <si>
    <t>This table combines raw NREL ETDF values with subdivided interior equipment values.</t>
  </si>
  <si>
    <t xml:space="preserve">NREL ETDF values are correlated and normalized to CBECS building types using the CBECS Index column. In some instances (where an index number appears once) ETDF values are strictly looked up from the NREL table. NREL ETDF values are proportioned across multiple building types where an index value occurs more than once. </t>
  </si>
  <si>
    <t>Winter</t>
  </si>
  <si>
    <t>Summer</t>
  </si>
  <si>
    <t>CBECS EUI by Building Type</t>
  </si>
  <si>
    <t>Building Type</t>
  </si>
  <si>
    <t>CBECS Building Type</t>
  </si>
  <si>
    <t>NREL Building Type</t>
  </si>
  <si>
    <t>Internal Equipment</t>
  </si>
  <si>
    <t>NREL Interior Equipment Winter ETDF</t>
  </si>
  <si>
    <t>NREL Interior Equipment Summer ETDF</t>
  </si>
  <si>
    <t>CBECS Index</t>
  </si>
  <si>
    <t>NREL Energy-to-Demand Ratio Table</t>
  </si>
  <si>
    <t>building_type</t>
  </si>
  <si>
    <t>Floor Area (sqft)</t>
  </si>
  <si>
    <t>dcooling_cooling_etdfw</t>
  </si>
  <si>
    <t>dheating_heating_etdfw</t>
  </si>
  <si>
    <t>dheating_water_heating_etdfw</t>
  </si>
  <si>
    <t>cooling_etdfw</t>
  </si>
  <si>
    <t>exterior_lighting_etdfw</t>
  </si>
  <si>
    <t>fans_etdfw</t>
  </si>
  <si>
    <t>heat_recovery_etdfw</t>
  </si>
  <si>
    <t>heat_rejection_etdfw</t>
  </si>
  <si>
    <t>heating_etdfw</t>
  </si>
  <si>
    <t>interior_equipment_etdfw</t>
  </si>
  <si>
    <t>interior_lighting_etdfw</t>
  </si>
  <si>
    <t>pumps_etdfw</t>
  </si>
  <si>
    <t>refrigeration_etdfw</t>
  </si>
  <si>
    <t>water_heating_etdfw</t>
  </si>
  <si>
    <t>dcooling_total_etdfw</t>
  </si>
  <si>
    <t>dheating_total_etdfw</t>
  </si>
  <si>
    <t>total_etdfw</t>
  </si>
  <si>
    <t>dheating_cooling_etdfw</t>
  </si>
  <si>
    <t>dcooling_cooling_etdfs</t>
  </si>
  <si>
    <t>dheating_heating_etdfs</t>
  </si>
  <si>
    <t>dheating_water_heating_etdfs</t>
  </si>
  <si>
    <t>cooling_etdfs</t>
  </si>
  <si>
    <t>exterior_lighting_etdfs</t>
  </si>
  <si>
    <t>fans_etdfs</t>
  </si>
  <si>
    <t>heat_recovery_etdfs</t>
  </si>
  <si>
    <t>heat_rejection_etdfs</t>
  </si>
  <si>
    <t>heating_etdfs</t>
  </si>
  <si>
    <t>interior_equipment_etdfs</t>
  </si>
  <si>
    <t>interior_lighting_etdfs</t>
  </si>
  <si>
    <t>pumps_etdfs</t>
  </si>
  <si>
    <t>refrigeration_etdfs</t>
  </si>
  <si>
    <t>water_heating_etdfs</t>
  </si>
  <si>
    <t>dcooling_total_etdfs</t>
  </si>
  <si>
    <t>dheating_total_etdfs</t>
  </si>
  <si>
    <t>total_etdfs</t>
  </si>
  <si>
    <t>dheating_cooling_etdfs</t>
  </si>
  <si>
    <t>FullServiceRestaurant</t>
  </si>
  <si>
    <t>Hospital</t>
  </si>
  <si>
    <t>LargeHotel</t>
  </si>
  <si>
    <t>LargeOffice</t>
  </si>
  <si>
    <t>MediumOffice</t>
  </si>
  <si>
    <t>Outpatient</t>
  </si>
  <si>
    <t>PrimarySchool</t>
  </si>
  <si>
    <t>QuickServiceRestaurant</t>
  </si>
  <si>
    <t>RetailStandalone</t>
  </si>
  <si>
    <t>RetailStripmall</t>
  </si>
  <si>
    <t>SecondarySchool</t>
  </si>
  <si>
    <t>SmallHotel</t>
  </si>
  <si>
    <t>SmallOffice</t>
  </si>
  <si>
    <t>Warehouse</t>
  </si>
  <si>
    <t>SWE 2023 Baseline Study Results Tables</t>
  </si>
  <si>
    <t>End Use Energy Use Index (EUI) by Building Type</t>
  </si>
  <si>
    <t>Education (n=37)</t>
  </si>
  <si>
    <t>Grocery (n=27)</t>
  </si>
  <si>
    <t>Health (n=41)</t>
  </si>
  <si>
    <t>Industrial (n=62)</t>
  </si>
  <si>
    <t>Institutional (n=37)</t>
  </si>
  <si>
    <t>Lodging (n=26)</t>
  </si>
  <si>
    <t>Miscellaneous (n=62)</t>
  </si>
  <si>
    <t>Office (n=57)</t>
  </si>
  <si>
    <t>Religious (n=23)</t>
  </si>
  <si>
    <t>Restaurant (n=27)</t>
  </si>
  <si>
    <t>Retail (n=52)</t>
  </si>
  <si>
    <t>Warehouse (n=42)</t>
  </si>
  <si>
    <t>Small (n=382)</t>
  </si>
  <si>
    <t>Large (n=111)</t>
  </si>
  <si>
    <t>Ph V TRM Appendix F: Building Operator Certification Audit and Design Tool</t>
  </si>
  <si>
    <t>Lookup Tables and Lists</t>
  </si>
  <si>
    <t>PA Baseline End-Use Categories</t>
  </si>
  <si>
    <t>CBECS End-Use Categories</t>
  </si>
  <si>
    <t>NREL ETDF Categories</t>
  </si>
  <si>
    <t>Workbook Building Types</t>
  </si>
  <si>
    <t>CBECS Building Types</t>
  </si>
  <si>
    <t>Building List, TRM</t>
  </si>
  <si>
    <t>Building List, NREL</t>
  </si>
  <si>
    <t>Reference Cities</t>
  </si>
  <si>
    <t>Utility</t>
  </si>
  <si>
    <t>ZCTA</t>
  </si>
  <si>
    <t>Climate Region</t>
  </si>
  <si>
    <t>Reference City</t>
  </si>
  <si>
    <t>Percentages</t>
  </si>
  <si>
    <t>Heating Equipment</t>
  </si>
  <si>
    <t>COP of Extant Stock</t>
  </si>
  <si>
    <t>Percentages Including Unknown</t>
  </si>
  <si>
    <t>Lighting EUI Scale Factor</t>
  </si>
  <si>
    <t>Cubic-Feet to kBTU Conversion</t>
  </si>
  <si>
    <t>heating_etdf</t>
  </si>
  <si>
    <t>Education, Primary School</t>
  </si>
  <si>
    <t>Allentown</t>
  </si>
  <si>
    <t>H</t>
  </si>
  <si>
    <t>Pittsburgh</t>
  </si>
  <si>
    <t>Air Source Heat Pump</t>
  </si>
  <si>
    <t>Gas or Propane Furnace</t>
  </si>
  <si>
    <t>None</t>
  </si>
  <si>
    <t>cooling_etdf</t>
  </si>
  <si>
    <t>Education, Secondary School</t>
  </si>
  <si>
    <t>Binghamton</t>
  </si>
  <si>
    <t>Penelec</t>
  </si>
  <si>
    <t>Baseboard Heating / Electric Resistance Heating</t>
  </si>
  <si>
    <t>&gt;0%, Unknown</t>
  </si>
  <si>
    <t>fans_etdf</t>
  </si>
  <si>
    <t>Food Service, Restaurant</t>
  </si>
  <si>
    <t>Restaurant</t>
  </si>
  <si>
    <t>Bradford</t>
  </si>
  <si>
    <t>Penn Power</t>
  </si>
  <si>
    <t>Ductless Mini-Split Heat Pump</t>
  </si>
  <si>
    <t>Waste Heat Recovery from electric generation (CHP)</t>
  </si>
  <si>
    <t>water_heating_etdf</t>
  </si>
  <si>
    <t>Food Service, Quick-Service</t>
  </si>
  <si>
    <t>Erie</t>
  </si>
  <si>
    <t>West Penn Power</t>
  </si>
  <si>
    <t>interior_lighting_etdf</t>
  </si>
  <si>
    <t>Health, Inpatient</t>
  </si>
  <si>
    <t>Harrisburg</t>
  </si>
  <si>
    <t>Duquesne</t>
  </si>
  <si>
    <t>Waste Heat Recovery From Heat Rejection</t>
  </si>
  <si>
    <t>interior_equipment_etdf</t>
  </si>
  <si>
    <t>Health, Outpatient</t>
  </si>
  <si>
    <t>Philadelphia</t>
  </si>
  <si>
    <t>PECO</t>
  </si>
  <si>
    <t>refrigeration_etdf</t>
  </si>
  <si>
    <t>Health</t>
  </si>
  <si>
    <t>PPL</t>
  </si>
  <si>
    <t>Industrial/Manufacturing</t>
  </si>
  <si>
    <t>Industrial</t>
  </si>
  <si>
    <t>Scranton</t>
  </si>
  <si>
    <t>Institutional/Public Service</t>
  </si>
  <si>
    <t>Institutional</t>
  </si>
  <si>
    <t>Williamsport</t>
  </si>
  <si>
    <t>Lodging, Large</t>
  </si>
  <si>
    <t>Lodging</t>
  </si>
  <si>
    <t>Lodging, Small</t>
  </si>
  <si>
    <t>Miscellaneous/Other</t>
  </si>
  <si>
    <t>Miscellaneous</t>
  </si>
  <si>
    <t>Office, Large</t>
  </si>
  <si>
    <t>Office</t>
  </si>
  <si>
    <t>Office, Medium</t>
  </si>
  <si>
    <t>Office, Small</t>
  </si>
  <si>
    <t xml:space="preserve">Public Assembly </t>
  </si>
  <si>
    <t>Retail</t>
  </si>
  <si>
    <t>Public Order and Safety</t>
  </si>
  <si>
    <t>Religious Worship</t>
  </si>
  <si>
    <t>Religious</t>
  </si>
  <si>
    <t xml:space="preserve">Retail, Food Sales </t>
  </si>
  <si>
    <t>Grocery</t>
  </si>
  <si>
    <t>Retail, Enclosed and Strip Mall</t>
  </si>
  <si>
    <t>Retail, Other than Mall</t>
  </si>
  <si>
    <t>Warehouse and Storage</t>
  </si>
  <si>
    <t>E</t>
  </si>
  <si>
    <t>I</t>
  </si>
  <si>
    <t>G</t>
  </si>
  <si>
    <t>F</t>
  </si>
  <si>
    <t>B</t>
  </si>
  <si>
    <t>D</t>
  </si>
  <si>
    <t>C</t>
  </si>
  <si>
    <t>A</t>
  </si>
  <si>
    <t>Pennsylvania Act 129 2024 TRM Appendix F: Building Operator Certification Audit and Design Tool</t>
  </si>
  <si>
    <t xml:space="preserve"> CHANGELOG</t>
  </si>
  <si>
    <t>Version 1 (Effective June X, 2024)</t>
  </si>
  <si>
    <t>1) Released with TRM Order in June 2024</t>
  </si>
  <si>
    <t>Version 2 (Effective at start of Ph V, July 1, 2026)</t>
  </si>
  <si>
    <t>1) CBECS Elec tab</t>
  </si>
  <si>
    <t xml:space="preserve">   1.1) Updated data to 2018 CBECS</t>
  </si>
  <si>
    <t>2) CBECS Gas tab</t>
  </si>
  <si>
    <t xml:space="preserve">   2.1) Updated data to 2018 CBECS</t>
  </si>
  <si>
    <t>3) Added ETDF tab to allow for summer/winter peak demand estimates aligned with Ph V TRM approach</t>
  </si>
  <si>
    <t>4) Baseline Tables</t>
  </si>
  <si>
    <t xml:space="preserve">   3.1) Updated inputs to align with 2023 SWE C&amp;I Baseline Study</t>
  </si>
  <si>
    <t>5) Added ETDF Raw Data tab to provide SWE calculated summer and winter energy-to-demand factors (ETDFs) by building type and end-use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</si>
</sst>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0.0%"/>
    <numFmt numFmtId="165" formatCode="#,##0.0"/>
    <numFmt numFmtId="166" formatCode="0.0000"/>
    <numFmt numFmtId="167" formatCode="0.000"/>
    <numFmt numFmtId="168" formatCode="#,##0.000"/>
    <numFmt numFmtId="169" formatCode="0.0"/>
    <numFmt numFmtId="170" formatCode="_(* #,##0_);_(* \(#,##0\);_(* &quot;-&quot;??_);_(@_)"/>
    <numFmt numFmtId="171" formatCode="_(* #,##0.0_);_(* \(#,##0.0\);_(* &quot;-&quot;??_);_(@_)"/>
    <numFmt numFmtId="172" formatCode="[&lt;=9999999]###\-####;\(###\)\ ###\-####"/>
    <numFmt numFmtId="173" formatCode="#,##0;\-#,##0;\ \-"/>
    <numFmt numFmtId="174" formatCode="#,##0.00;\-#,##0.00;\ \-"/>
    <numFmt numFmtId="175" formatCode="0.00%;\-0.00%;\ \-"/>
    <numFmt numFmtId="176" formatCode="0.000;\-0.000;\ \-"/>
    <numFmt numFmtId="177" formatCode="0.0000;\-0.0000;\ \-"/>
    <numFmt numFmtId="178" formatCode="0.0%;\-0.0%;\ \-"/>
    <numFmt numFmtId="179" formatCode="#,##0.0;\-#,##0.0;\ \-"/>
    <numFmt numFmtId="180" formatCode="0.000000;\-0.000000;\ \-"/>
  </numFmts>
  <fonts count="62" x14ac:knownFonts="1">
    <font>
      <sz val="11"/>
      <color theme="1"/>
      <name val="Calibri"/>
      <family val="2"/>
      <scheme val="minor"/>
    </font>
    <font>
      <b/>
      <sz val="11"/>
      <color theme="1"/>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b/>
      <sz val="10"/>
      <color theme="1"/>
      <name val="Calibri"/>
      <family val="2"/>
      <scheme val="minor"/>
    </font>
    <font>
      <b/>
      <vertAlign val="superscript"/>
      <sz val="10"/>
      <color theme="1"/>
      <name val="Calibri"/>
      <family val="2"/>
      <scheme val="minor"/>
    </font>
    <font>
      <i/>
      <sz val="10"/>
      <color rgb="FFFF0000"/>
      <name val="Calibri"/>
      <family val="2"/>
      <scheme val="minor"/>
    </font>
    <font>
      <b/>
      <sz val="12"/>
      <color theme="4"/>
      <name val="Calibri"/>
      <family val="2"/>
      <scheme val="minor"/>
    </font>
    <font>
      <sz val="11"/>
      <color theme="1"/>
      <name val="Calibri"/>
      <family val="2"/>
      <scheme val="minor"/>
    </font>
    <font>
      <sz val="11"/>
      <color theme="1"/>
      <name val="Arial"/>
      <family val="2"/>
    </font>
    <font>
      <b/>
      <sz val="14"/>
      <color theme="1"/>
      <name val="Calibri"/>
      <family val="2"/>
      <scheme val="minor"/>
    </font>
    <font>
      <sz val="11"/>
      <name val="Calibri"/>
      <family val="2"/>
      <scheme val="minor"/>
    </font>
    <font>
      <sz val="11"/>
      <color theme="0"/>
      <name val="Calibri"/>
      <family val="2"/>
      <scheme val="minor"/>
    </font>
    <font>
      <b/>
      <sz val="14"/>
      <name val="Arial"/>
      <family val="2"/>
    </font>
    <font>
      <b/>
      <sz val="12"/>
      <name val="Arial"/>
      <family val="2"/>
    </font>
    <font>
      <b/>
      <u/>
      <sz val="10"/>
      <name val="Arial"/>
      <family val="2"/>
    </font>
    <font>
      <sz val="10"/>
      <color theme="1"/>
      <name val="Arial"/>
      <family val="2"/>
    </font>
    <font>
      <b/>
      <sz val="17"/>
      <color theme="1"/>
      <name val="Calibri"/>
      <family val="2"/>
      <scheme val="minor"/>
    </font>
    <font>
      <sz val="12"/>
      <color theme="0"/>
      <name val="Calibri"/>
      <family val="2"/>
      <scheme val="minor"/>
    </font>
    <font>
      <i/>
      <sz val="13"/>
      <color theme="0"/>
      <name val="Calibri"/>
      <family val="2"/>
      <scheme val="minor"/>
    </font>
    <font>
      <b/>
      <sz val="12"/>
      <color theme="0"/>
      <name val="Calibri"/>
      <family val="2"/>
      <scheme val="minor"/>
    </font>
    <font>
      <sz val="10"/>
      <color theme="0"/>
      <name val="Calibri"/>
      <family val="2"/>
      <scheme val="minor"/>
    </font>
    <font>
      <b/>
      <sz val="10"/>
      <name val="Calibri"/>
      <family val="2"/>
      <scheme val="minor"/>
    </font>
    <font>
      <sz val="10"/>
      <color theme="1" tint="0.34998626667073579"/>
      <name val="Calibri"/>
      <family val="2"/>
      <scheme val="minor"/>
    </font>
    <font>
      <b/>
      <i/>
      <sz val="11"/>
      <color rgb="FF0070CD"/>
      <name val="Calibri"/>
      <family val="2"/>
      <scheme val="minor"/>
    </font>
    <font>
      <b/>
      <vertAlign val="superscript"/>
      <sz val="11"/>
      <color theme="1"/>
      <name val="Calibri"/>
      <family val="2"/>
      <scheme val="minor"/>
    </font>
    <font>
      <b/>
      <sz val="11"/>
      <color theme="0"/>
      <name val="Calibri"/>
      <family val="2"/>
      <scheme val="minor"/>
    </font>
    <font>
      <b/>
      <sz val="11"/>
      <name val="Calibri"/>
      <family val="2"/>
      <scheme val="minor"/>
    </font>
    <font>
      <b/>
      <vertAlign val="superscript"/>
      <sz val="11"/>
      <color theme="0"/>
      <name val="Calibri"/>
      <family val="2"/>
      <scheme val="minor"/>
    </font>
    <font>
      <sz val="11"/>
      <color rgb="FFFFFFFF"/>
      <name val="Calibri"/>
      <family val="2"/>
      <scheme val="minor"/>
    </font>
    <font>
      <sz val="11"/>
      <color rgb="FF201F1E"/>
      <name val="Calibri"/>
      <family val="2"/>
      <scheme val="minor"/>
    </font>
    <font>
      <vertAlign val="superscript"/>
      <sz val="11"/>
      <color theme="1"/>
      <name val="Calibri"/>
      <family val="2"/>
      <scheme val="minor"/>
    </font>
    <font>
      <sz val="10"/>
      <name val="Calibri"/>
      <family val="2"/>
      <scheme val="minor"/>
    </font>
    <font>
      <sz val="14"/>
      <name val="Calibri"/>
      <family val="2"/>
      <scheme val="minor"/>
    </font>
    <font>
      <i/>
      <sz val="12"/>
      <color theme="1"/>
      <name val="Calibri"/>
      <family val="2"/>
      <scheme val="minor"/>
    </font>
    <font>
      <sz val="9"/>
      <color indexed="81"/>
      <name val="Tahoma"/>
      <family val="2"/>
    </font>
    <font>
      <b/>
      <sz val="9"/>
      <color indexed="81"/>
      <name val="Tahoma"/>
      <family val="2"/>
    </font>
    <font>
      <sz val="11"/>
      <color rgb="FF808080"/>
      <name val="Calibri"/>
      <family val="2"/>
      <scheme val="minor"/>
    </font>
    <font>
      <sz val="11"/>
      <color rgb="FF000000"/>
      <name val="Calibri"/>
      <family val="2"/>
      <scheme val="minor"/>
    </font>
    <font>
      <b/>
      <sz val="12"/>
      <color rgb="FF000000"/>
      <name val="Calibri"/>
      <family val="2"/>
      <scheme val="minor"/>
    </font>
    <font>
      <b/>
      <sz val="12"/>
      <color rgb="FF0096D7"/>
      <name val="Calibri"/>
      <family val="2"/>
      <scheme val="minor"/>
    </font>
    <font>
      <b/>
      <sz val="10"/>
      <color rgb="FF000000"/>
      <name val="Calibri"/>
      <family val="2"/>
      <scheme val="minor"/>
    </font>
    <font>
      <b/>
      <vertAlign val="superscript"/>
      <sz val="10"/>
      <color rgb="FF000000"/>
      <name val="Calibri"/>
      <family val="2"/>
      <scheme val="minor"/>
    </font>
    <font>
      <vertAlign val="superscript"/>
      <sz val="10"/>
      <color rgb="FF000000"/>
      <name val="Calibri"/>
      <family val="2"/>
      <scheme val="minor"/>
    </font>
    <font>
      <sz val="9"/>
      <name val="Calibri"/>
      <family val="2"/>
      <scheme val="minor"/>
    </font>
    <font>
      <i/>
      <sz val="9"/>
      <name val="Calibri"/>
      <family val="2"/>
      <scheme val="minor"/>
    </font>
    <font>
      <vertAlign val="superscript"/>
      <sz val="9"/>
      <name val="Calibri"/>
      <family val="2"/>
      <scheme val="minor"/>
    </font>
    <font>
      <sz val="9"/>
      <color rgb="FFFFFFFF"/>
      <name val="Calibri"/>
      <family val="2"/>
      <scheme val="minor"/>
    </font>
    <font>
      <sz val="9"/>
      <name val="Corbel"/>
      <family val="2"/>
    </font>
    <font>
      <sz val="9"/>
      <color rgb="FF201F1E"/>
      <name val="Calibri"/>
      <family val="2"/>
    </font>
    <font>
      <sz val="9"/>
      <name val="Segoe UI"/>
      <family val="2"/>
    </font>
    <font>
      <b/>
      <i/>
      <sz val="11"/>
      <color theme="1"/>
      <name val="Calibri"/>
      <family val="2"/>
      <scheme val="minor"/>
    </font>
    <font>
      <b/>
      <i/>
      <sz val="16"/>
      <color theme="0"/>
      <name val="Calibri"/>
      <family val="2"/>
      <scheme val="minor"/>
    </font>
    <font>
      <i/>
      <vertAlign val="superscript"/>
      <sz val="12"/>
      <color theme="1"/>
      <name val="Calibri"/>
      <family val="2"/>
      <scheme val="minor"/>
    </font>
    <font>
      <b/>
      <sz val="18"/>
      <name val="Calibri"/>
      <family val="2"/>
      <scheme val="minor"/>
    </font>
    <font>
      <b/>
      <sz val="20"/>
      <name val="Calibri"/>
      <family val="2"/>
      <scheme val="minor"/>
    </font>
    <font>
      <b/>
      <sz val="18"/>
      <color theme="1"/>
      <name val="Calibri"/>
      <family val="2"/>
      <scheme val="minor"/>
    </font>
    <font>
      <sz val="11"/>
      <color rgb="FFFF0000"/>
      <name val="Calibri"/>
      <family val="2"/>
      <scheme val="minor"/>
    </font>
    <font>
      <b/>
      <sz val="11"/>
      <color rgb="FF000000"/>
      <name val="Calibri"/>
      <family val="2"/>
      <scheme val="minor"/>
    </font>
    <font>
      <i/>
      <sz val="11"/>
      <color theme="1"/>
      <name val="Calibri"/>
      <family val="2"/>
      <scheme val="minor"/>
    </font>
    <font>
      <b/>
      <u/>
      <sz val="10"/>
      <color theme="1"/>
      <name val="Arial"/>
      <family val="2"/>
    </font>
  </fonts>
  <fills count="26">
    <fill>
      <patternFill patternType="none"/>
    </fill>
    <fill>
      <patternFill patternType="gray125"/>
    </fill>
    <fill>
      <patternFill patternType="solid">
        <fgColor theme="4" tint="0.7999816888943144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rgb="FF77BC1F"/>
        <bgColor indexed="64"/>
      </patternFill>
    </fill>
    <fill>
      <patternFill patternType="solid">
        <fgColor rgb="FF0070CD"/>
        <bgColor indexed="64"/>
      </patternFill>
    </fill>
    <fill>
      <patternFill patternType="solid">
        <fgColor theme="1" tint="0.49998474074526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rgb="FFFFC000"/>
        <bgColor indexed="64"/>
      </patternFill>
    </fill>
    <fill>
      <patternFill patternType="solid">
        <fgColor theme="1" tint="0.14999847407452621"/>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rgb="FF00B0F0"/>
        <bgColor indexed="64"/>
      </patternFill>
    </fill>
    <fill>
      <patternFill patternType="solid">
        <fgColor theme="9" tint="0.39997558519241921"/>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theme="4"/>
      </top>
      <bottom/>
      <diagonal/>
    </border>
    <border>
      <left/>
      <right/>
      <top style="dashed">
        <color theme="0" tint="-0.24994659260841701"/>
      </top>
      <bottom/>
      <diagonal/>
    </border>
    <border>
      <left/>
      <right/>
      <top/>
      <bottom style="dashed">
        <color theme="0" tint="-0.24994659260841701"/>
      </bottom>
      <diagonal/>
    </border>
    <border>
      <left/>
      <right/>
      <top/>
      <bottom style="thin">
        <color theme="0" tint="-0.249977111117893"/>
      </bottom>
      <diagonal/>
    </border>
    <border>
      <left/>
      <right/>
      <top style="thick">
        <color theme="4"/>
      </top>
      <bottom style="dashed">
        <color theme="0" tint="-0.24994659260841701"/>
      </bottom>
      <diagonal/>
    </border>
    <border>
      <left/>
      <right/>
      <top/>
      <bottom style="thin">
        <color theme="0" tint="-0.24994659260841701"/>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medium">
        <color indexed="64"/>
      </bottom>
      <diagonal/>
    </border>
    <border>
      <left/>
      <right/>
      <top/>
      <bottom style="thick">
        <color rgb="FFBFBFBF"/>
      </bottom>
      <diagonal/>
    </border>
    <border>
      <left/>
      <right/>
      <top/>
      <bottom style="thick">
        <color rgb="FF0096D7"/>
      </bottom>
      <diagonal/>
    </border>
    <border>
      <left/>
      <right/>
      <top style="medium">
        <color rgb="FF0096D7"/>
      </top>
      <bottom/>
      <diagonal/>
    </border>
    <border>
      <left/>
      <right/>
      <top style="thick">
        <color rgb="FFBFBFBF"/>
      </top>
      <bottom/>
      <diagonal/>
    </border>
    <border>
      <left style="thick">
        <color rgb="FFFFFFFF"/>
      </left>
      <right/>
      <top/>
      <bottom style="thick">
        <color rgb="FFBFBFBF"/>
      </bottom>
      <diagonal/>
    </border>
    <border>
      <left style="thick">
        <color rgb="FFFFFFFF"/>
      </left>
      <right/>
      <top/>
      <bottom/>
      <diagonal/>
    </border>
    <border>
      <left/>
      <right style="thick">
        <color rgb="FFFFFFFF"/>
      </right>
      <top/>
      <bottom/>
      <diagonal/>
    </border>
    <border>
      <left/>
      <right style="thick">
        <color rgb="FFFFFFFF"/>
      </right>
      <top/>
      <bottom style="thick">
        <color rgb="FFBFBFBF"/>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8">
    <xf numFmtId="0" fontId="0" fillId="0" borderId="0"/>
    <xf numFmtId="0" fontId="2" fillId="0" borderId="6" applyNumberFormat="0" applyProtection="0">
      <alignment vertical="top" wrapText="1"/>
    </xf>
    <xf numFmtId="0" fontId="2" fillId="0" borderId="8" applyNumberFormat="0" applyFont="0" applyProtection="0">
      <alignment wrapText="1"/>
    </xf>
    <xf numFmtId="0" fontId="4" fillId="0" borderId="9" applyNumberFormat="0" applyProtection="0">
      <alignment wrapText="1"/>
    </xf>
    <xf numFmtId="0" fontId="4" fillId="0" borderId="2" applyNumberFormat="0" applyProtection="0">
      <alignment wrapText="1"/>
    </xf>
    <xf numFmtId="0" fontId="8" fillId="0" borderId="0" applyNumberFormat="0" applyProtection="0">
      <alignment horizontal="left"/>
    </xf>
    <xf numFmtId="9" fontId="9" fillId="0" borderId="0" applyFont="0" applyFill="0" applyBorder="0" applyAlignment="0" applyProtection="0"/>
    <xf numFmtId="43" fontId="9" fillId="0" borderId="0" applyFont="0" applyFill="0" applyBorder="0" applyAlignment="0" applyProtection="0"/>
  </cellStyleXfs>
  <cellXfs count="453">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9" fontId="0" fillId="0" borderId="1" xfId="0" applyNumberFormat="1" applyBorder="1"/>
    <xf numFmtId="0" fontId="0" fillId="0" borderId="1" xfId="0" applyBorder="1" applyAlignment="1">
      <alignment vertical="top" wrapText="1"/>
    </xf>
    <xf numFmtId="2" fontId="0" fillId="0" borderId="1" xfId="2" applyNumberFormat="1" applyFont="1" applyBorder="1" applyAlignment="1">
      <alignment horizontal="left" vertical="center" wrapText="1"/>
    </xf>
    <xf numFmtId="2" fontId="0" fillId="0" borderId="1" xfId="2" applyNumberFormat="1" applyFont="1" applyBorder="1" applyAlignment="1">
      <alignment vertical="center" wrapText="1"/>
    </xf>
    <xf numFmtId="164" fontId="0" fillId="4" borderId="1" xfId="6" applyNumberFormat="1" applyFont="1" applyFill="1" applyBorder="1"/>
    <xf numFmtId="0" fontId="0" fillId="7" borderId="1" xfId="0" applyFill="1" applyBorder="1"/>
    <xf numFmtId="3" fontId="0" fillId="7" borderId="1" xfId="0" applyNumberFormat="1" applyFill="1" applyBorder="1"/>
    <xf numFmtId="0" fontId="10" fillId="10" borderId="0" xfId="0" applyFont="1" applyFill="1"/>
    <xf numFmtId="0" fontId="16" fillId="10" borderId="0" xfId="0" applyFont="1" applyFill="1"/>
    <xf numFmtId="0" fontId="17" fillId="10" borderId="0" xfId="0" applyFont="1" applyFill="1"/>
    <xf numFmtId="0" fontId="17" fillId="10" borderId="0" xfId="0" applyFont="1" applyFill="1" applyAlignment="1">
      <alignment horizontal="left"/>
    </xf>
    <xf numFmtId="0" fontId="17" fillId="10" borderId="0" xfId="0" applyFont="1" applyFill="1" applyAlignment="1">
      <alignment horizontal="left" indent="1"/>
    </xf>
    <xf numFmtId="0" fontId="0" fillId="10" borderId="0" xfId="0" applyFill="1"/>
    <xf numFmtId="0" fontId="13" fillId="11" borderId="0" xfId="0" applyFont="1" applyFill="1"/>
    <xf numFmtId="0" fontId="18" fillId="11" borderId="0" xfId="0" applyFont="1" applyFill="1" applyAlignment="1">
      <alignment horizontal="left" vertical="center"/>
    </xf>
    <xf numFmtId="0" fontId="18" fillId="11" borderId="0" xfId="0" applyFont="1" applyFill="1"/>
    <xf numFmtId="0" fontId="13" fillId="11" borderId="0" xfId="0" applyFont="1" applyFill="1" applyAlignment="1">
      <alignment horizontal="center"/>
    </xf>
    <xf numFmtId="0" fontId="0" fillId="11" borderId="0" xfId="0" applyFill="1"/>
    <xf numFmtId="0" fontId="19" fillId="12" borderId="0" xfId="0" applyFont="1" applyFill="1"/>
    <xf numFmtId="0" fontId="20" fillId="12" borderId="0" xfId="0" applyFont="1" applyFill="1" applyAlignment="1">
      <alignment horizontal="left" vertical="center"/>
    </xf>
    <xf numFmtId="0" fontId="21" fillId="12" borderId="0" xfId="0" applyFont="1" applyFill="1"/>
    <xf numFmtId="0" fontId="0" fillId="12" borderId="0" xfId="0" applyFill="1"/>
    <xf numFmtId="0" fontId="1" fillId="15" borderId="28" xfId="0" applyFont="1" applyFill="1" applyBorder="1" applyAlignment="1">
      <alignment horizontal="right"/>
    </xf>
    <xf numFmtId="0" fontId="1" fillId="15" borderId="0" xfId="0" applyFont="1" applyFill="1" applyAlignment="1">
      <alignment horizontal="right"/>
    </xf>
    <xf numFmtId="0" fontId="0" fillId="15" borderId="0" xfId="0" applyFill="1"/>
    <xf numFmtId="0" fontId="0" fillId="15" borderId="30" xfId="0" applyFill="1" applyBorder="1"/>
    <xf numFmtId="0" fontId="1" fillId="15" borderId="0" xfId="0" quotePrefix="1" applyFont="1" applyFill="1" applyAlignment="1">
      <alignment horizontal="left"/>
    </xf>
    <xf numFmtId="0" fontId="1" fillId="15" borderId="0" xfId="0" applyFont="1" applyFill="1" applyAlignment="1">
      <alignment horizontal="left"/>
    </xf>
    <xf numFmtId="0" fontId="25" fillId="15" borderId="0" xfId="0" applyFont="1" applyFill="1" applyAlignment="1">
      <alignment horizontal="center" vertical="top"/>
    </xf>
    <xf numFmtId="0" fontId="3" fillId="15" borderId="27" xfId="0" applyFont="1" applyFill="1" applyBorder="1"/>
    <xf numFmtId="0" fontId="3" fillId="15" borderId="20" xfId="0" applyFont="1" applyFill="1" applyBorder="1"/>
    <xf numFmtId="0" fontId="0" fillId="15" borderId="26" xfId="0" applyFill="1" applyBorder="1"/>
    <xf numFmtId="0" fontId="25" fillId="15" borderId="0" xfId="0" applyFont="1" applyFill="1" applyAlignment="1">
      <alignment vertical="center" wrapText="1"/>
    </xf>
    <xf numFmtId="0" fontId="12" fillId="0" borderId="1" xfId="0" applyFont="1" applyBorder="1"/>
    <xf numFmtId="0" fontId="28" fillId="16" borderId="1" xfId="0" quotePrefix="1" applyFont="1" applyFill="1" applyBorder="1" applyAlignment="1">
      <alignment horizontal="center"/>
    </xf>
    <xf numFmtId="0" fontId="27" fillId="12" borderId="1" xfId="0" applyFont="1" applyFill="1" applyBorder="1" applyAlignment="1">
      <alignment horizontal="center" wrapText="1"/>
    </xf>
    <xf numFmtId="2" fontId="27" fillId="12" borderId="13" xfId="0" applyNumberFormat="1" applyFont="1" applyFill="1" applyBorder="1" applyAlignment="1">
      <alignment horizontal="center" vertical="center"/>
    </xf>
    <xf numFmtId="2" fontId="27" fillId="12" borderId="1" xfId="0" applyNumberFormat="1" applyFont="1" applyFill="1" applyBorder="1" applyAlignment="1">
      <alignment horizontal="center" vertical="center"/>
    </xf>
    <xf numFmtId="0" fontId="0" fillId="3" borderId="0" xfId="0" applyFill="1"/>
    <xf numFmtId="0" fontId="13" fillId="12" borderId="1" xfId="0" applyFont="1" applyFill="1" applyBorder="1" applyAlignment="1">
      <alignment horizontal="center" wrapText="1"/>
    </xf>
    <xf numFmtId="0" fontId="0" fillId="10" borderId="1" xfId="0" applyFill="1" applyBorder="1"/>
    <xf numFmtId="3" fontId="0" fillId="15" borderId="0" xfId="0" applyNumberFormat="1" applyFill="1"/>
    <xf numFmtId="1" fontId="0" fillId="15" borderId="0" xfId="0" applyNumberFormat="1" applyFill="1"/>
    <xf numFmtId="9" fontId="0" fillId="15" borderId="0" xfId="0" applyNumberFormat="1" applyFill="1"/>
    <xf numFmtId="165" fontId="3" fillId="15" borderId="0" xfId="2" applyNumberFormat="1" applyFont="1" applyFill="1" applyBorder="1" applyAlignment="1">
      <alignment horizontal="right" wrapText="1"/>
    </xf>
    <xf numFmtId="165" fontId="3" fillId="10" borderId="8" xfId="2" applyNumberFormat="1" applyFont="1" applyFill="1" applyAlignment="1">
      <alignment horizontal="right" wrapText="1"/>
    </xf>
    <xf numFmtId="165" fontId="0" fillId="0" borderId="1" xfId="0" applyNumberFormat="1" applyBorder="1"/>
    <xf numFmtId="2" fontId="0" fillId="0" borderId="14" xfId="2" applyNumberFormat="1" applyFont="1" applyBorder="1" applyAlignment="1">
      <alignment vertical="center" wrapText="1"/>
    </xf>
    <xf numFmtId="0" fontId="31" fillId="10" borderId="1" xfId="0" applyFont="1" applyFill="1" applyBorder="1" applyAlignment="1">
      <alignment vertical="center" wrapText="1"/>
    </xf>
    <xf numFmtId="9" fontId="0" fillId="5" borderId="1" xfId="0" applyNumberFormat="1" applyFill="1" applyBorder="1"/>
    <xf numFmtId="0" fontId="0" fillId="16" borderId="1" xfId="0" quotePrefix="1" applyFill="1" applyBorder="1"/>
    <xf numFmtId="0" fontId="31" fillId="6" borderId="1" xfId="0" applyFont="1" applyFill="1" applyBorder="1" applyAlignment="1">
      <alignment vertical="center" wrapText="1"/>
    </xf>
    <xf numFmtId="0" fontId="31" fillId="5" borderId="1" xfId="0" applyFont="1" applyFill="1" applyBorder="1" applyAlignment="1">
      <alignment vertical="center" wrapText="1"/>
    </xf>
    <xf numFmtId="165" fontId="5" fillId="10" borderId="9" xfId="3" applyNumberFormat="1" applyFont="1" applyFill="1" applyAlignment="1">
      <alignment horizontal="right" wrapText="1"/>
    </xf>
    <xf numFmtId="3" fontId="0" fillId="10" borderId="0" xfId="0" applyNumberFormat="1" applyFill="1"/>
    <xf numFmtId="0" fontId="0" fillId="10" borderId="7" xfId="0" applyFill="1" applyBorder="1"/>
    <xf numFmtId="165" fontId="3" fillId="10" borderId="10" xfId="2" applyNumberFormat="1" applyFont="1" applyFill="1" applyBorder="1" applyAlignment="1">
      <alignment horizontal="right" wrapText="1"/>
    </xf>
    <xf numFmtId="3" fontId="5" fillId="15" borderId="2" xfId="4" applyNumberFormat="1" applyFont="1" applyFill="1" applyAlignment="1">
      <alignment horizontal="center" wrapText="1"/>
    </xf>
    <xf numFmtId="165" fontId="5" fillId="10" borderId="8" xfId="2" applyNumberFormat="1" applyFont="1" applyFill="1" applyAlignment="1">
      <alignment horizontal="right" wrapText="1"/>
    </xf>
    <xf numFmtId="165" fontId="3" fillId="10" borderId="9" xfId="3" applyNumberFormat="1" applyFont="1" applyFill="1" applyAlignment="1">
      <alignment horizontal="right" wrapText="1"/>
    </xf>
    <xf numFmtId="0" fontId="30" fillId="17" borderId="1" xfId="0" applyFont="1" applyFill="1" applyBorder="1" applyAlignment="1">
      <alignment horizontal="center" vertical="center" wrapText="1"/>
    </xf>
    <xf numFmtId="2" fontId="30" fillId="18" borderId="1" xfId="0" applyNumberFormat="1" applyFont="1" applyFill="1" applyBorder="1" applyAlignment="1">
      <alignment horizontal="center" vertical="center" wrapText="1"/>
    </xf>
    <xf numFmtId="174" fontId="0" fillId="8" borderId="1" xfId="2" applyNumberFormat="1" applyFont="1" applyFill="1" applyBorder="1" applyAlignment="1">
      <alignment horizontal="right" wrapText="1"/>
    </xf>
    <xf numFmtId="0" fontId="0" fillId="16" borderId="0" xfId="0" applyFill="1"/>
    <xf numFmtId="2" fontId="27" fillId="12" borderId="1" xfId="0" applyNumberFormat="1" applyFont="1" applyFill="1" applyBorder="1" applyAlignment="1">
      <alignment horizontal="center" vertical="center" wrapText="1"/>
    </xf>
    <xf numFmtId="10" fontId="27" fillId="12" borderId="1" xfId="6" applyNumberFormat="1" applyFont="1" applyFill="1" applyBorder="1" applyAlignment="1">
      <alignment horizontal="center" wrapText="1"/>
    </xf>
    <xf numFmtId="2" fontId="0" fillId="7" borderId="1" xfId="0" applyNumberFormat="1" applyFill="1" applyBorder="1" applyAlignment="1">
      <alignment vertical="center"/>
    </xf>
    <xf numFmtId="2" fontId="1" fillId="7" borderId="1" xfId="0" applyNumberFormat="1" applyFont="1" applyFill="1" applyBorder="1" applyAlignment="1">
      <alignment vertical="center"/>
    </xf>
    <xf numFmtId="0" fontId="0" fillId="15" borderId="0" xfId="0" applyFill="1" applyAlignment="1">
      <alignment vertical="top" wrapText="1"/>
    </xf>
    <xf numFmtId="0" fontId="0" fillId="15" borderId="0" xfId="0" applyFill="1" applyAlignment="1">
      <alignment vertical="center" wrapText="1"/>
    </xf>
    <xf numFmtId="0" fontId="0" fillId="10" borderId="1" xfId="0" applyFill="1" applyBorder="1" applyAlignment="1">
      <alignment vertical="center"/>
    </xf>
    <xf numFmtId="0" fontId="0" fillId="10" borderId="1" xfId="0" applyFill="1" applyBorder="1" applyAlignment="1">
      <alignment vertical="top" wrapText="1"/>
    </xf>
    <xf numFmtId="174" fontId="0" fillId="10" borderId="1" xfId="0" applyNumberFormat="1" applyFill="1" applyBorder="1" applyAlignment="1">
      <alignment vertical="top" wrapText="1"/>
    </xf>
    <xf numFmtId="11" fontId="0" fillId="10" borderId="1" xfId="0" applyNumberFormat="1" applyFill="1" applyBorder="1" applyAlignment="1">
      <alignment vertical="top" wrapText="1"/>
    </xf>
    <xf numFmtId="165" fontId="5" fillId="15" borderId="0" xfId="3" applyNumberFormat="1" applyFont="1" applyFill="1" applyBorder="1" applyAlignment="1">
      <alignment horizontal="right" wrapText="1"/>
    </xf>
    <xf numFmtId="165" fontId="3" fillId="15" borderId="0" xfId="3" applyNumberFormat="1" applyFont="1" applyFill="1" applyBorder="1" applyAlignment="1">
      <alignment horizontal="right" wrapText="1"/>
    </xf>
    <xf numFmtId="0" fontId="7" fillId="15" borderId="2" xfId="4" applyFont="1" applyFill="1" applyAlignment="1"/>
    <xf numFmtId="0" fontId="3" fillId="10" borderId="8" xfId="2" applyFont="1" applyFill="1" applyAlignment="1"/>
    <xf numFmtId="0" fontId="5" fillId="10" borderId="9" xfId="3" applyFont="1" applyFill="1" applyAlignment="1"/>
    <xf numFmtId="0" fontId="1" fillId="15" borderId="0" xfId="0" applyFont="1" applyFill="1"/>
    <xf numFmtId="3" fontId="5" fillId="15" borderId="0" xfId="4" applyNumberFormat="1" applyFont="1" applyFill="1" applyBorder="1" applyAlignment="1">
      <alignment horizontal="right" vertical="top" wrapText="1"/>
    </xf>
    <xf numFmtId="165" fontId="33" fillId="15" borderId="0" xfId="2" applyNumberFormat="1" applyFont="1" applyFill="1" applyBorder="1" applyAlignment="1">
      <alignment horizontal="right" wrapText="1"/>
    </xf>
    <xf numFmtId="0" fontId="31" fillId="2" borderId="1" xfId="0" applyFont="1" applyFill="1" applyBorder="1" applyAlignment="1">
      <alignment vertical="center" wrapText="1"/>
    </xf>
    <xf numFmtId="174" fontId="12" fillId="2" borderId="1" xfId="0" applyNumberFormat="1" applyFont="1" applyFill="1" applyBorder="1" applyAlignment="1">
      <alignment horizontal="center" vertical="center" wrapText="1"/>
    </xf>
    <xf numFmtId="166" fontId="1" fillId="15" borderId="0" xfId="0" applyNumberFormat="1" applyFont="1" applyFill="1"/>
    <xf numFmtId="166" fontId="0" fillId="15" borderId="0" xfId="0" applyNumberFormat="1" applyFill="1"/>
    <xf numFmtId="3" fontId="1" fillId="15" borderId="0" xfId="0" applyNumberFormat="1" applyFont="1" applyFill="1"/>
    <xf numFmtId="11" fontId="1" fillId="15" borderId="0" xfId="0" applyNumberFormat="1" applyFont="1" applyFill="1" applyAlignment="1">
      <alignment horizontal="center"/>
    </xf>
    <xf numFmtId="10" fontId="0" fillId="15" borderId="0" xfId="0" applyNumberFormat="1" applyFill="1"/>
    <xf numFmtId="164" fontId="0" fillId="15" borderId="0" xfId="6" applyNumberFormat="1" applyFont="1" applyFill="1" applyBorder="1"/>
    <xf numFmtId="0" fontId="0" fillId="15" borderId="0" xfId="0" applyFill="1" applyAlignment="1">
      <alignment wrapText="1"/>
    </xf>
    <xf numFmtId="174" fontId="0" fillId="7" borderId="1" xfId="0" applyNumberFormat="1" applyFill="1" applyBorder="1"/>
    <xf numFmtId="176" fontId="0" fillId="7" borderId="1" xfId="0" applyNumberFormat="1" applyFill="1" applyBorder="1"/>
    <xf numFmtId="0" fontId="1" fillId="10" borderId="1" xfId="0" applyFont="1" applyFill="1" applyBorder="1"/>
    <xf numFmtId="167" fontId="0" fillId="7" borderId="1" xfId="0" applyNumberFormat="1" applyFill="1" applyBorder="1" applyAlignment="1">
      <alignment horizontal="center"/>
    </xf>
    <xf numFmtId="3" fontId="0" fillId="8" borderId="1" xfId="0" applyNumberFormat="1" applyFill="1" applyBorder="1"/>
    <xf numFmtId="3" fontId="0" fillId="5" borderId="1" xfId="0" applyNumberFormat="1" applyFill="1" applyBorder="1"/>
    <xf numFmtId="0" fontId="0" fillId="5" borderId="1" xfId="0" applyFill="1" applyBorder="1"/>
    <xf numFmtId="173" fontId="0" fillId="5" borderId="1" xfId="0" applyNumberFormat="1" applyFill="1" applyBorder="1"/>
    <xf numFmtId="173" fontId="0" fillId="7" borderId="1" xfId="0" applyNumberFormat="1" applyFill="1" applyBorder="1"/>
    <xf numFmtId="177" fontId="0" fillId="7" borderId="1" xfId="0" applyNumberFormat="1" applyFill="1" applyBorder="1"/>
    <xf numFmtId="3" fontId="0" fillId="5" borderId="1" xfId="0" applyNumberFormat="1" applyFill="1" applyBorder="1" applyAlignment="1">
      <alignment horizontal="center"/>
    </xf>
    <xf numFmtId="0" fontId="0" fillId="15" borderId="0" xfId="0" applyFill="1" applyAlignment="1">
      <alignment vertical="center"/>
    </xf>
    <xf numFmtId="177" fontId="0" fillId="7" borderId="1" xfId="0" applyNumberFormat="1" applyFill="1" applyBorder="1" applyAlignment="1">
      <alignment horizontal="center"/>
    </xf>
    <xf numFmtId="173" fontId="0" fillId="20" borderId="1" xfId="0" applyNumberFormat="1" applyFill="1" applyBorder="1"/>
    <xf numFmtId="175" fontId="1" fillId="7" borderId="1" xfId="0" applyNumberFormat="1" applyFont="1" applyFill="1" applyBorder="1"/>
    <xf numFmtId="176" fontId="0" fillId="8" borderId="1" xfId="0" applyNumberFormat="1" applyFill="1" applyBorder="1"/>
    <xf numFmtId="174" fontId="0" fillId="8" borderId="1" xfId="0" applyNumberFormat="1" applyFill="1" applyBorder="1"/>
    <xf numFmtId="178" fontId="0" fillId="7" borderId="1" xfId="6" applyNumberFormat="1" applyFont="1" applyFill="1" applyBorder="1"/>
    <xf numFmtId="3" fontId="0" fillId="0" borderId="1" xfId="0" applyNumberFormat="1" applyBorder="1" applyAlignment="1">
      <alignment horizontal="center"/>
    </xf>
    <xf numFmtId="3" fontId="1" fillId="0" borderId="1" xfId="0" applyNumberFormat="1" applyFont="1" applyBorder="1" applyAlignment="1">
      <alignment horizontal="center"/>
    </xf>
    <xf numFmtId="2" fontId="0" fillId="8" borderId="1" xfId="2" applyNumberFormat="1" applyFont="1" applyFill="1" applyBorder="1" applyAlignment="1">
      <alignment horizontal="right" vertical="center" wrapText="1"/>
    </xf>
    <xf numFmtId="0" fontId="28" fillId="15" borderId="0" xfId="0" applyFont="1" applyFill="1" applyAlignment="1">
      <alignment horizontal="right"/>
    </xf>
    <xf numFmtId="0" fontId="12" fillId="15" borderId="0" xfId="0" applyFont="1" applyFill="1"/>
    <xf numFmtId="1" fontId="0" fillId="20" borderId="1" xfId="0" applyNumberFormat="1" applyFill="1" applyBorder="1"/>
    <xf numFmtId="9" fontId="0" fillId="7" borderId="1" xfId="6" applyFont="1" applyFill="1" applyBorder="1"/>
    <xf numFmtId="9" fontId="0" fillId="7" borderId="1" xfId="0" applyNumberFormat="1" applyFill="1" applyBorder="1"/>
    <xf numFmtId="168" fontId="1" fillId="7" borderId="1" xfId="0" applyNumberFormat="1" applyFont="1" applyFill="1" applyBorder="1"/>
    <xf numFmtId="2" fontId="27" fillId="12" borderId="13" xfId="0" applyNumberFormat="1" applyFont="1" applyFill="1" applyBorder="1" applyAlignment="1">
      <alignment horizontal="left" vertical="center"/>
    </xf>
    <xf numFmtId="2" fontId="27" fillId="12" borderId="1" xfId="0" applyNumberFormat="1" applyFont="1" applyFill="1" applyBorder="1" applyAlignment="1">
      <alignment horizontal="left" vertical="center"/>
    </xf>
    <xf numFmtId="0" fontId="0" fillId="15" borderId="0" xfId="0" quotePrefix="1" applyFill="1"/>
    <xf numFmtId="169" fontId="0" fillId="7" borderId="1" xfId="0" applyNumberFormat="1" applyFill="1" applyBorder="1"/>
    <xf numFmtId="2" fontId="27" fillId="12" borderId="5" xfId="0" applyNumberFormat="1" applyFont="1" applyFill="1" applyBorder="1" applyAlignment="1">
      <alignment horizontal="center" vertical="center"/>
    </xf>
    <xf numFmtId="2" fontId="27" fillId="12" borderId="3" xfId="0" applyNumberFormat="1" applyFont="1" applyFill="1" applyBorder="1" applyAlignment="1">
      <alignment horizontal="left" vertical="center"/>
    </xf>
    <xf numFmtId="2" fontId="27" fillId="12" borderId="5" xfId="0" applyNumberFormat="1" applyFont="1" applyFill="1" applyBorder="1" applyAlignment="1">
      <alignment horizontal="left" vertical="center"/>
    </xf>
    <xf numFmtId="0" fontId="8" fillId="15" borderId="0" xfId="5" applyFill="1">
      <alignment horizontal="left"/>
    </xf>
    <xf numFmtId="0" fontId="3" fillId="10" borderId="8" xfId="2" applyFont="1" applyFill="1" applyAlignment="1">
      <alignment horizontal="left"/>
    </xf>
    <xf numFmtId="0" fontId="5" fillId="10" borderId="8" xfId="2" applyFont="1" applyFill="1" applyAlignment="1">
      <alignment horizontal="left"/>
    </xf>
    <xf numFmtId="0" fontId="3" fillId="10" borderId="0" xfId="2" applyFont="1" applyFill="1" applyBorder="1" applyAlignment="1">
      <alignment horizontal="left"/>
    </xf>
    <xf numFmtId="0" fontId="0" fillId="2" borderId="1" xfId="0" applyFill="1" applyBorder="1"/>
    <xf numFmtId="179" fontId="0" fillId="7" borderId="1" xfId="0" applyNumberFormat="1" applyFill="1" applyBorder="1" applyAlignment="1">
      <alignment horizontal="center"/>
    </xf>
    <xf numFmtId="179" fontId="1" fillId="7" borderId="1" xfId="0" applyNumberFormat="1" applyFont="1" applyFill="1" applyBorder="1" applyAlignment="1">
      <alignment horizontal="center"/>
    </xf>
    <xf numFmtId="179" fontId="0" fillId="8" borderId="1" xfId="0" applyNumberFormat="1" applyFill="1" applyBorder="1" applyAlignment="1">
      <alignment horizontal="center"/>
    </xf>
    <xf numFmtId="173" fontId="0" fillId="7" borderId="1" xfId="0" applyNumberFormat="1" applyFill="1" applyBorder="1" applyAlignment="1">
      <alignment horizontal="center"/>
    </xf>
    <xf numFmtId="169" fontId="0" fillId="7" borderId="1" xfId="0" applyNumberFormat="1" applyFill="1" applyBorder="1" applyAlignment="1">
      <alignment horizontal="center"/>
    </xf>
    <xf numFmtId="174" fontId="0" fillId="7" borderId="1" xfId="0" applyNumberFormat="1" applyFill="1" applyBorder="1" applyAlignment="1">
      <alignment horizontal="center"/>
    </xf>
    <xf numFmtId="165" fontId="0" fillId="2" borderId="1" xfId="2" applyNumberFormat="1" applyFont="1" applyFill="1" applyBorder="1" applyAlignment="1">
      <alignment horizontal="center" wrapText="1"/>
    </xf>
    <xf numFmtId="0" fontId="0" fillId="2" borderId="1" xfId="2" applyFont="1" applyFill="1" applyBorder="1" applyAlignment="1">
      <alignment horizontal="left" wrapText="1"/>
    </xf>
    <xf numFmtId="0" fontId="31" fillId="8" borderId="5" xfId="0" applyFont="1" applyFill="1" applyBorder="1" applyAlignment="1">
      <alignment vertical="center" wrapText="1"/>
    </xf>
    <xf numFmtId="174" fontId="12" fillId="8" borderId="1" xfId="0" quotePrefix="1" applyNumberFormat="1" applyFont="1" applyFill="1" applyBorder="1" applyAlignment="1">
      <alignment horizontal="right" vertical="center" wrapText="1"/>
    </xf>
    <xf numFmtId="174" fontId="0" fillId="15" borderId="0" xfId="0" applyNumberFormat="1" applyFill="1"/>
    <xf numFmtId="174" fontId="12" fillId="22" borderId="1" xfId="0" quotePrefix="1" applyNumberFormat="1" applyFont="1" applyFill="1" applyBorder="1" applyAlignment="1">
      <alignment horizontal="right" vertical="center" wrapText="1"/>
    </xf>
    <xf numFmtId="174" fontId="12" fillId="7" borderId="1" xfId="0" quotePrefix="1" applyNumberFormat="1" applyFont="1" applyFill="1" applyBorder="1" applyAlignment="1">
      <alignment horizontal="right" vertical="center" wrapText="1"/>
    </xf>
    <xf numFmtId="174" fontId="12" fillId="15" borderId="1" xfId="0" quotePrefix="1" applyNumberFormat="1" applyFont="1" applyFill="1" applyBorder="1" applyAlignment="1">
      <alignment horizontal="right" vertical="center" wrapText="1"/>
    </xf>
    <xf numFmtId="0" fontId="0" fillId="10" borderId="1" xfId="0" applyFill="1" applyBorder="1" applyAlignment="1">
      <alignment horizontal="center"/>
    </xf>
    <xf numFmtId="169" fontId="0" fillId="8" borderId="1" xfId="0" applyNumberFormat="1" applyFill="1" applyBorder="1"/>
    <xf numFmtId="169" fontId="0" fillId="8" borderId="1" xfId="2" applyNumberFormat="1" applyFont="1" applyFill="1" applyBorder="1" applyAlignment="1">
      <alignment horizontal="right" vertical="center" wrapText="1"/>
    </xf>
    <xf numFmtId="9" fontId="0" fillId="0" borderId="1" xfId="6" applyFont="1" applyBorder="1" applyAlignment="1">
      <alignment horizontal="center"/>
    </xf>
    <xf numFmtId="0" fontId="0" fillId="5" borderId="1" xfId="0" applyFill="1" applyBorder="1" applyAlignment="1">
      <alignment horizontal="center"/>
    </xf>
    <xf numFmtId="0" fontId="13" fillId="19" borderId="1" xfId="0" applyFont="1" applyFill="1" applyBorder="1" applyAlignment="1">
      <alignment horizontal="center" wrapText="1"/>
    </xf>
    <xf numFmtId="0" fontId="0" fillId="5" borderId="1" xfId="0" quotePrefix="1" applyFill="1" applyBorder="1"/>
    <xf numFmtId="0" fontId="38" fillId="15" borderId="0" xfId="0" applyFont="1" applyFill="1" applyAlignment="1">
      <alignment wrapText="1"/>
    </xf>
    <xf numFmtId="0" fontId="39" fillId="15" borderId="0" xfId="0" applyFont="1" applyFill="1"/>
    <xf numFmtId="0" fontId="38" fillId="15" borderId="0" xfId="0" applyFont="1" applyFill="1"/>
    <xf numFmtId="0" fontId="7" fillId="15" borderId="0" xfId="0" applyFont="1" applyFill="1" applyAlignment="1">
      <alignment wrapText="1"/>
    </xf>
    <xf numFmtId="0" fontId="7" fillId="15" borderId="34" xfId="0" applyFont="1" applyFill="1" applyBorder="1" applyAlignment="1">
      <alignment wrapText="1"/>
    </xf>
    <xf numFmtId="2" fontId="0" fillId="2" borderId="1" xfId="2" applyNumberFormat="1" applyFont="1" applyFill="1" applyBorder="1" applyAlignment="1">
      <alignment vertical="center" wrapText="1"/>
    </xf>
    <xf numFmtId="2" fontId="9" fillId="2" borderId="1" xfId="2" applyNumberFormat="1" applyFont="1" applyFill="1" applyBorder="1" applyAlignment="1">
      <alignment vertical="center" wrapText="1"/>
    </xf>
    <xf numFmtId="2" fontId="0" fillId="2" borderId="1" xfId="2" applyNumberFormat="1" applyFont="1" applyFill="1" applyBorder="1" applyAlignment="1">
      <alignment horizontal="left" vertical="center" wrapText="1"/>
    </xf>
    <xf numFmtId="165" fontId="0" fillId="2" borderId="1" xfId="0" applyNumberFormat="1" applyFill="1" applyBorder="1"/>
    <xf numFmtId="9" fontId="0" fillId="2" borderId="1" xfId="0" applyNumberFormat="1" applyFill="1" applyBorder="1"/>
    <xf numFmtId="179" fontId="0" fillId="7" borderId="5" xfId="0" applyNumberFormat="1" applyFill="1" applyBorder="1" applyAlignment="1">
      <alignment horizontal="center"/>
    </xf>
    <xf numFmtId="174" fontId="0" fillId="8" borderId="1" xfId="0" applyNumberFormat="1" applyFill="1" applyBorder="1" applyAlignment="1">
      <alignment horizontal="center"/>
    </xf>
    <xf numFmtId="9" fontId="0" fillId="5" borderId="1" xfId="0" quotePrefix="1" applyNumberFormat="1" applyFill="1" applyBorder="1"/>
    <xf numFmtId="2" fontId="12" fillId="2" borderId="3" xfId="0" applyNumberFormat="1" applyFont="1" applyFill="1" applyBorder="1" applyAlignment="1">
      <alignment horizontal="left" vertical="center"/>
    </xf>
    <xf numFmtId="2" fontId="12" fillId="2" borderId="5" xfId="0" applyNumberFormat="1" applyFont="1" applyFill="1" applyBorder="1" applyAlignment="1">
      <alignment horizontal="left" vertical="center"/>
    </xf>
    <xf numFmtId="0" fontId="2" fillId="15" borderId="0" xfId="0" applyFont="1" applyFill="1"/>
    <xf numFmtId="0" fontId="48" fillId="17" borderId="1" xfId="0" applyFont="1" applyFill="1" applyBorder="1" applyAlignment="1">
      <alignment horizontal="center" vertical="center" wrapText="1"/>
    </xf>
    <xf numFmtId="0" fontId="48" fillId="21" borderId="1" xfId="0" applyFont="1" applyFill="1" applyBorder="1" applyAlignment="1">
      <alignment horizontal="center" vertical="center" wrapText="1"/>
    </xf>
    <xf numFmtId="0" fontId="49" fillId="6" borderId="1" xfId="0" applyFont="1" applyFill="1" applyBorder="1" applyAlignment="1">
      <alignment vertical="center"/>
    </xf>
    <xf numFmtId="0" fontId="49" fillId="6" borderId="1" xfId="0" applyFont="1" applyFill="1" applyBorder="1" applyAlignment="1">
      <alignment horizontal="center" vertical="center"/>
    </xf>
    <xf numFmtId="0" fontId="50" fillId="7" borderId="1" xfId="0" applyFont="1" applyFill="1" applyBorder="1" applyAlignment="1">
      <alignment vertical="center"/>
    </xf>
    <xf numFmtId="0" fontId="51" fillId="6" borderId="1" xfId="0" applyFont="1" applyFill="1" applyBorder="1" applyAlignment="1">
      <alignment horizontal="center"/>
    </xf>
    <xf numFmtId="0" fontId="50" fillId="6" borderId="1" xfId="0" applyFont="1" applyFill="1" applyBorder="1" applyAlignment="1">
      <alignment vertical="center"/>
    </xf>
    <xf numFmtId="0" fontId="13" fillId="12" borderId="13" xfId="0" applyFont="1" applyFill="1" applyBorder="1" applyAlignment="1">
      <alignment horizontal="center" wrapText="1"/>
    </xf>
    <xf numFmtId="180" fontId="0" fillId="8" borderId="1" xfId="0" applyNumberFormat="1" applyFill="1" applyBorder="1"/>
    <xf numFmtId="173" fontId="0" fillId="5" borderId="1" xfId="0" applyNumberFormat="1" applyFill="1" applyBorder="1" applyAlignment="1">
      <alignment horizontal="left"/>
    </xf>
    <xf numFmtId="9" fontId="12" fillId="7" borderId="1" xfId="6" applyFont="1" applyFill="1" applyBorder="1"/>
    <xf numFmtId="2" fontId="12" fillId="7" borderId="1" xfId="0" applyNumberFormat="1" applyFont="1" applyFill="1" applyBorder="1" applyAlignment="1">
      <alignment horizontal="center"/>
    </xf>
    <xf numFmtId="174" fontId="12" fillId="7" borderId="1" xfId="0" applyNumberFormat="1" applyFont="1" applyFill="1" applyBorder="1" applyAlignment="1">
      <alignment horizontal="center"/>
    </xf>
    <xf numFmtId="0" fontId="0" fillId="10" borderId="3" xfId="0" applyFill="1" applyBorder="1" applyAlignment="1">
      <alignment horizontal="left"/>
    </xf>
    <xf numFmtId="0" fontId="0" fillId="10" borderId="5" xfId="0" applyFill="1" applyBorder="1" applyAlignment="1">
      <alignment horizontal="left"/>
    </xf>
    <xf numFmtId="0" fontId="27" fillId="12" borderId="1" xfId="0" applyFont="1" applyFill="1" applyBorder="1" applyAlignment="1">
      <alignment horizontal="center" vertical="top" wrapText="1"/>
    </xf>
    <xf numFmtId="0" fontId="0" fillId="2" borderId="1" xfId="0" applyFill="1" applyBorder="1" applyAlignment="1">
      <alignment horizontal="center"/>
    </xf>
    <xf numFmtId="2" fontId="0" fillId="2" borderId="1" xfId="0" applyNumberFormat="1" applyFill="1" applyBorder="1" applyAlignment="1">
      <alignment vertical="center"/>
    </xf>
    <xf numFmtId="178" fontId="0" fillId="5" borderId="1" xfId="6" applyNumberFormat="1" applyFont="1" applyFill="1" applyBorder="1" applyAlignment="1">
      <alignment horizontal="right"/>
    </xf>
    <xf numFmtId="164" fontId="0" fillId="7" borderId="1" xfId="6" applyNumberFormat="1" applyFont="1" applyFill="1" applyBorder="1"/>
    <xf numFmtId="165" fontId="3" fillId="7" borderId="8" xfId="2" applyNumberFormat="1" applyFont="1" applyFill="1" applyAlignment="1">
      <alignment horizontal="right" wrapText="1"/>
    </xf>
    <xf numFmtId="0" fontId="14" fillId="15" borderId="0" xfId="0" applyFont="1" applyFill="1"/>
    <xf numFmtId="174" fontId="12" fillId="8" borderId="1" xfId="0" applyNumberFormat="1" applyFont="1" applyFill="1" applyBorder="1"/>
    <xf numFmtId="171" fontId="12" fillId="8" borderId="1" xfId="7" applyNumberFormat="1" applyFont="1" applyFill="1" applyBorder="1"/>
    <xf numFmtId="170" fontId="12" fillId="7" borderId="1" xfId="7" applyNumberFormat="1" applyFont="1" applyFill="1" applyBorder="1"/>
    <xf numFmtId="170" fontId="12" fillId="7" borderId="1" xfId="0" applyNumberFormat="1" applyFont="1" applyFill="1" applyBorder="1"/>
    <xf numFmtId="43" fontId="12" fillId="7" borderId="1" xfId="0" applyNumberFormat="1" applyFont="1" applyFill="1" applyBorder="1"/>
    <xf numFmtId="170" fontId="12" fillId="15" borderId="1" xfId="0" applyNumberFormat="1" applyFont="1" applyFill="1" applyBorder="1"/>
    <xf numFmtId="171" fontId="12" fillId="15" borderId="1" xfId="0" applyNumberFormat="1" applyFont="1" applyFill="1" applyBorder="1"/>
    <xf numFmtId="10" fontId="1" fillId="15" borderId="1" xfId="6" applyNumberFormat="1" applyFont="1" applyFill="1" applyBorder="1"/>
    <xf numFmtId="164" fontId="1" fillId="15" borderId="1" xfId="6" applyNumberFormat="1" applyFont="1" applyFill="1" applyBorder="1"/>
    <xf numFmtId="164" fontId="12" fillId="8" borderId="1" xfId="6" applyNumberFormat="1" applyFont="1" applyFill="1" applyBorder="1"/>
    <xf numFmtId="10" fontId="12" fillId="15" borderId="1" xfId="6" applyNumberFormat="1" applyFont="1" applyFill="1" applyBorder="1"/>
    <xf numFmtId="0" fontId="12" fillId="15" borderId="1" xfId="0" applyFont="1" applyFill="1" applyBorder="1"/>
    <xf numFmtId="0" fontId="22" fillId="15" borderId="19" xfId="0" applyFont="1" applyFill="1" applyBorder="1"/>
    <xf numFmtId="0" fontId="22" fillId="15" borderId="16" xfId="0" applyFont="1" applyFill="1" applyBorder="1"/>
    <xf numFmtId="9" fontId="0" fillId="5" borderId="1" xfId="0" applyNumberFormat="1" applyFill="1" applyBorder="1" applyAlignment="1" applyProtection="1">
      <alignment horizontal="center" vertical="center"/>
      <protection locked="0"/>
    </xf>
    <xf numFmtId="0" fontId="52" fillId="15" borderId="28" xfId="0" applyFont="1" applyFill="1" applyBorder="1" applyAlignment="1">
      <alignment horizontal="center"/>
    </xf>
    <xf numFmtId="0" fontId="52" fillId="15" borderId="0" xfId="0" applyFont="1" applyFill="1" applyAlignment="1">
      <alignment horizontal="center"/>
    </xf>
    <xf numFmtId="0" fontId="52" fillId="15" borderId="29" xfId="0" applyFont="1" applyFill="1" applyBorder="1" applyAlignment="1">
      <alignment horizontal="center"/>
    </xf>
    <xf numFmtId="0" fontId="12" fillId="15" borderId="28" xfId="0" applyFont="1" applyFill="1" applyBorder="1"/>
    <xf numFmtId="0" fontId="12" fillId="15" borderId="29" xfId="0" applyFont="1" applyFill="1" applyBorder="1"/>
    <xf numFmtId="0" fontId="12" fillId="15" borderId="30" xfId="0" applyFont="1" applyFill="1" applyBorder="1"/>
    <xf numFmtId="0" fontId="12" fillId="15" borderId="16" xfId="0" applyFont="1" applyFill="1" applyBorder="1"/>
    <xf numFmtId="0" fontId="12" fillId="15" borderId="0" xfId="0" applyFont="1" applyFill="1" applyAlignment="1">
      <alignment vertical="center" wrapText="1"/>
    </xf>
    <xf numFmtId="0" fontId="28" fillId="15" borderId="0" xfId="0" applyFont="1" applyFill="1" applyAlignment="1">
      <alignment vertical="center" wrapText="1"/>
    </xf>
    <xf numFmtId="0" fontId="28" fillId="15" borderId="0" xfId="0" applyFont="1" applyFill="1" applyAlignment="1">
      <alignment vertical="center"/>
    </xf>
    <xf numFmtId="9" fontId="0" fillId="5" borderId="13" xfId="0" applyNumberFormat="1" applyFill="1" applyBorder="1" applyAlignment="1" applyProtection="1">
      <alignment horizontal="center" vertical="center"/>
      <protection locked="0"/>
    </xf>
    <xf numFmtId="0" fontId="0" fillId="5" borderId="12" xfId="0" applyFill="1" applyBorder="1" applyAlignment="1" applyProtection="1">
      <alignment horizontal="left"/>
      <protection locked="0"/>
    </xf>
    <xf numFmtId="0" fontId="0" fillId="15" borderId="0" xfId="0" applyFill="1" applyAlignment="1">
      <alignment horizontal="left"/>
    </xf>
    <xf numFmtId="0" fontId="0" fillId="15" borderId="29" xfId="0" applyFill="1" applyBorder="1"/>
    <xf numFmtId="0" fontId="0" fillId="5" borderId="12" xfId="0" applyFill="1" applyBorder="1" applyAlignment="1" applyProtection="1">
      <alignment horizontal="center"/>
      <protection locked="0"/>
    </xf>
    <xf numFmtId="0" fontId="0" fillId="15" borderId="0" xfId="0" applyFill="1" applyAlignment="1">
      <alignment horizontal="right"/>
    </xf>
    <xf numFmtId="0" fontId="0" fillId="15" borderId="0" xfId="0" quotePrefix="1" applyFill="1" applyAlignment="1">
      <alignment horizontal="left"/>
    </xf>
    <xf numFmtId="0" fontId="0" fillId="15" borderId="28" xfId="0" applyFill="1" applyBorder="1"/>
    <xf numFmtId="0" fontId="49" fillId="23" borderId="1" xfId="0" applyFont="1" applyFill="1" applyBorder="1" applyAlignment="1">
      <alignment horizontal="center" vertical="center"/>
    </xf>
    <xf numFmtId="0" fontId="0" fillId="7" borderId="1" xfId="0" applyFill="1" applyBorder="1" applyAlignment="1">
      <alignment horizontal="right"/>
    </xf>
    <xf numFmtId="0" fontId="5" fillId="10" borderId="10" xfId="2" applyFont="1" applyFill="1" applyBorder="1" applyAlignment="1">
      <alignment horizontal="left"/>
    </xf>
    <xf numFmtId="0" fontId="5" fillId="10" borderId="9" xfId="3" applyFont="1" applyFill="1" applyAlignment="1">
      <alignment horizontal="left"/>
    </xf>
    <xf numFmtId="0" fontId="3" fillId="10" borderId="9" xfId="3" applyFont="1" applyFill="1" applyAlignment="1">
      <alignment horizontal="left"/>
    </xf>
    <xf numFmtId="0" fontId="3" fillId="10" borderId="8" xfId="2" quotePrefix="1" applyFont="1" applyFill="1" applyAlignment="1">
      <alignment horizontal="left"/>
    </xf>
    <xf numFmtId="0" fontId="3" fillId="10" borderId="9" xfId="3" quotePrefix="1" applyFont="1" applyFill="1" applyAlignment="1">
      <alignment horizontal="left"/>
    </xf>
    <xf numFmtId="9" fontId="3" fillId="10" borderId="8" xfId="2" quotePrefix="1" applyNumberFormat="1" applyFont="1" applyFill="1" applyAlignment="1">
      <alignment horizontal="left"/>
    </xf>
    <xf numFmtId="0" fontId="5" fillId="10" borderId="8" xfId="2" quotePrefix="1" applyFont="1" applyFill="1" applyAlignment="1">
      <alignment horizontal="left"/>
    </xf>
    <xf numFmtId="9" fontId="3" fillId="10" borderId="9" xfId="3" quotePrefix="1" applyNumberFormat="1" applyFont="1" applyFill="1" applyAlignment="1">
      <alignment horizontal="left"/>
    </xf>
    <xf numFmtId="165" fontId="5" fillId="10" borderId="8" xfId="2" applyNumberFormat="1" applyFont="1" applyFill="1" applyAlignment="1">
      <alignment horizontal="left" wrapText="1"/>
    </xf>
    <xf numFmtId="165" fontId="3" fillId="10" borderId="8" xfId="2" applyNumberFormat="1" applyFont="1" applyFill="1" applyAlignment="1">
      <alignment horizontal="left" wrapText="1"/>
    </xf>
    <xf numFmtId="165" fontId="3" fillId="10" borderId="8" xfId="2" applyNumberFormat="1" applyFont="1" applyFill="1" applyAlignment="1">
      <alignment horizontal="left"/>
    </xf>
    <xf numFmtId="9" fontId="0" fillId="2" borderId="1" xfId="0" quotePrefix="1" applyNumberFormat="1" applyFill="1" applyBorder="1"/>
    <xf numFmtId="2" fontId="27" fillId="12" borderId="13" xfId="0" applyNumberFormat="1" applyFont="1" applyFill="1" applyBorder="1" applyAlignment="1">
      <alignment horizontal="center" vertical="center" wrapText="1"/>
    </xf>
    <xf numFmtId="174" fontId="0" fillId="2" borderId="1" xfId="0" applyNumberFormat="1" applyFill="1" applyBorder="1" applyAlignment="1">
      <alignment horizontal="center"/>
    </xf>
    <xf numFmtId="179" fontId="0" fillId="2" borderId="1" xfId="0" applyNumberFormat="1" applyFill="1" applyBorder="1" applyAlignment="1">
      <alignment horizontal="center"/>
    </xf>
    <xf numFmtId="0" fontId="30" fillId="17" borderId="41" xfId="0" applyFont="1" applyFill="1" applyBorder="1" applyAlignment="1">
      <alignment horizontal="center" vertical="center" wrapText="1"/>
    </xf>
    <xf numFmtId="0" fontId="56" fillId="15" borderId="12" xfId="0" applyFont="1" applyFill="1" applyBorder="1"/>
    <xf numFmtId="0" fontId="28" fillId="15" borderId="12" xfId="0" applyFont="1" applyFill="1" applyBorder="1"/>
    <xf numFmtId="0" fontId="57" fillId="15" borderId="12" xfId="0" applyFont="1" applyFill="1" applyBorder="1"/>
    <xf numFmtId="0" fontId="0" fillId="15" borderId="12" xfId="0" applyFill="1" applyBorder="1"/>
    <xf numFmtId="0" fontId="34" fillId="15" borderId="0" xfId="0" applyFont="1" applyFill="1" applyAlignment="1">
      <alignment horizontal="center"/>
    </xf>
    <xf numFmtId="0" fontId="12" fillId="15" borderId="12" xfId="0" applyFont="1" applyFill="1" applyBorder="1"/>
    <xf numFmtId="0" fontId="55" fillId="15" borderId="12" xfId="0" applyFont="1" applyFill="1" applyBorder="1"/>
    <xf numFmtId="0" fontId="58" fillId="15" borderId="0" xfId="0" applyFont="1" applyFill="1"/>
    <xf numFmtId="0" fontId="27" fillId="12" borderId="3" xfId="0" applyFont="1" applyFill="1" applyBorder="1" applyAlignment="1">
      <alignment horizontal="center" wrapText="1"/>
    </xf>
    <xf numFmtId="0" fontId="0" fillId="15" borderId="0" xfId="0" applyFill="1" applyAlignment="1">
      <alignment horizontal="center" wrapText="1"/>
    </xf>
    <xf numFmtId="0" fontId="27" fillId="24" borderId="1" xfId="0" applyFont="1" applyFill="1" applyBorder="1" applyAlignment="1">
      <alignment horizontal="center" wrapText="1"/>
    </xf>
    <xf numFmtId="0" fontId="27" fillId="12" borderId="45" xfId="0" applyFont="1" applyFill="1" applyBorder="1" applyAlignment="1">
      <alignment horizontal="center" wrapText="1"/>
    </xf>
    <xf numFmtId="0" fontId="27" fillId="24" borderId="46" xfId="0" applyFont="1" applyFill="1" applyBorder="1" applyAlignment="1">
      <alignment horizontal="center" wrapText="1"/>
    </xf>
    <xf numFmtId="0" fontId="39" fillId="10" borderId="1" xfId="0" applyFont="1" applyFill="1" applyBorder="1"/>
    <xf numFmtId="3" fontId="39" fillId="10" borderId="1" xfId="0" applyNumberFormat="1" applyFont="1" applyFill="1" applyBorder="1"/>
    <xf numFmtId="0" fontId="59" fillId="25" borderId="1" xfId="0" applyFont="1" applyFill="1" applyBorder="1" applyAlignment="1">
      <alignment horizontal="center" wrapText="1"/>
    </xf>
    <xf numFmtId="0" fontId="28" fillId="25" borderId="1" xfId="0" applyFont="1" applyFill="1" applyBorder="1" applyAlignment="1">
      <alignment horizontal="center" wrapText="1"/>
    </xf>
    <xf numFmtId="0" fontId="27" fillId="24" borderId="41" xfId="0" applyFont="1" applyFill="1" applyBorder="1" applyAlignment="1">
      <alignment horizontal="center" wrapText="1"/>
    </xf>
    <xf numFmtId="0" fontId="27" fillId="12" borderId="41" xfId="0" applyFont="1" applyFill="1" applyBorder="1" applyAlignment="1">
      <alignment horizontal="center" wrapText="1"/>
    </xf>
    <xf numFmtId="180" fontId="0" fillId="8" borderId="30" xfId="0" applyNumberFormat="1" applyFill="1" applyBorder="1"/>
    <xf numFmtId="180" fontId="0" fillId="8" borderId="20" xfId="0" applyNumberFormat="1" applyFill="1" applyBorder="1"/>
    <xf numFmtId="180" fontId="0" fillId="2" borderId="20" xfId="0" applyNumberFormat="1" applyFill="1" applyBorder="1"/>
    <xf numFmtId="180" fontId="0" fillId="2" borderId="16" xfId="0" applyNumberFormat="1" applyFill="1" applyBorder="1"/>
    <xf numFmtId="0" fontId="0" fillId="8" borderId="4" xfId="0" applyFill="1" applyBorder="1"/>
    <xf numFmtId="180" fontId="0" fillId="8" borderId="4" xfId="0" applyNumberFormat="1" applyFill="1" applyBorder="1"/>
    <xf numFmtId="180" fontId="0" fillId="7" borderId="4" xfId="0" applyNumberFormat="1" applyFill="1" applyBorder="1"/>
    <xf numFmtId="0" fontId="0" fillId="8" borderId="4" xfId="0" applyFill="1" applyBorder="1" applyAlignment="1">
      <alignment horizontal="center"/>
    </xf>
    <xf numFmtId="0" fontId="0" fillId="7" borderId="4" xfId="0" applyFill="1" applyBorder="1" applyAlignment="1">
      <alignment horizontal="center"/>
    </xf>
    <xf numFmtId="3" fontId="0" fillId="2" borderId="1" xfId="0" applyNumberFormat="1" applyFill="1" applyBorder="1"/>
    <xf numFmtId="164" fontId="0" fillId="2" borderId="1" xfId="0" applyNumberFormat="1" applyFill="1" applyBorder="1"/>
    <xf numFmtId="3" fontId="1" fillId="7" borderId="1" xfId="0" applyNumberFormat="1" applyFont="1" applyFill="1" applyBorder="1"/>
    <xf numFmtId="0" fontId="0" fillId="0" borderId="1" xfId="0" quotePrefix="1" applyBorder="1"/>
    <xf numFmtId="173" fontId="28" fillId="2" borderId="1" xfId="0" applyNumberFormat="1" applyFont="1" applyFill="1" applyBorder="1" applyAlignment="1">
      <alignment horizontal="center"/>
    </xf>
    <xf numFmtId="173" fontId="28" fillId="2" borderId="1" xfId="0" quotePrefix="1" applyNumberFormat="1" applyFont="1" applyFill="1" applyBorder="1" applyAlignment="1">
      <alignment horizontal="center"/>
    </xf>
    <xf numFmtId="179" fontId="28" fillId="2" borderId="1" xfId="0" applyNumberFormat="1" applyFont="1" applyFill="1" applyBorder="1" applyAlignment="1">
      <alignment horizontal="center"/>
    </xf>
    <xf numFmtId="165" fontId="1" fillId="7" borderId="1" xfId="0" applyNumberFormat="1" applyFont="1" applyFill="1" applyBorder="1"/>
    <xf numFmtId="4" fontId="0" fillId="7" borderId="1" xfId="0" applyNumberFormat="1" applyFill="1" applyBorder="1"/>
    <xf numFmtId="3" fontId="27" fillId="12" borderId="1" xfId="0" applyNumberFormat="1" applyFont="1" applyFill="1" applyBorder="1" applyAlignment="1">
      <alignment horizontal="center" wrapText="1"/>
    </xf>
    <xf numFmtId="3" fontId="27" fillId="12" borderId="13" xfId="0" applyNumberFormat="1" applyFont="1" applyFill="1" applyBorder="1" applyAlignment="1">
      <alignment horizontal="center" wrapText="1"/>
    </xf>
    <xf numFmtId="0" fontId="0" fillId="5" borderId="4" xfId="0" applyFill="1" applyBorder="1" applyAlignment="1">
      <alignment horizontal="center"/>
    </xf>
    <xf numFmtId="180" fontId="0" fillId="8" borderId="49" xfId="0" applyNumberFormat="1" applyFill="1" applyBorder="1"/>
    <xf numFmtId="180" fontId="0" fillId="2" borderId="4" xfId="0" applyNumberFormat="1" applyFill="1" applyBorder="1"/>
    <xf numFmtId="180" fontId="0" fillId="2" borderId="50" xfId="0" applyNumberFormat="1" applyFill="1" applyBorder="1"/>
    <xf numFmtId="3" fontId="27" fillId="12" borderId="23" xfId="0" applyNumberFormat="1" applyFont="1" applyFill="1" applyBorder="1" applyAlignment="1">
      <alignment horizontal="center" wrapText="1"/>
    </xf>
    <xf numFmtId="3" fontId="27" fillId="12" borderId="51" xfId="0" applyNumberFormat="1" applyFont="1" applyFill="1" applyBorder="1" applyAlignment="1">
      <alignment horizontal="center" wrapText="1"/>
    </xf>
    <xf numFmtId="3" fontId="27" fillId="12" borderId="52" xfId="0" applyNumberFormat="1" applyFont="1" applyFill="1" applyBorder="1" applyAlignment="1">
      <alignment horizontal="center" wrapText="1"/>
    </xf>
    <xf numFmtId="180" fontId="0" fillId="7" borderId="49" xfId="0" applyNumberFormat="1" applyFill="1" applyBorder="1"/>
    <xf numFmtId="180" fontId="0" fillId="7" borderId="50" xfId="0" applyNumberFormat="1" applyFill="1" applyBorder="1"/>
    <xf numFmtId="180" fontId="0" fillId="7" borderId="53" xfId="0" applyNumberFormat="1" applyFill="1" applyBorder="1"/>
    <xf numFmtId="180" fontId="0" fillId="7" borderId="54" xfId="0" applyNumberFormat="1" applyFill="1" applyBorder="1"/>
    <xf numFmtId="180" fontId="0" fillId="7" borderId="55" xfId="0" applyNumberFormat="1" applyFill="1" applyBorder="1"/>
    <xf numFmtId="0" fontId="17" fillId="10" borderId="0" xfId="0" quotePrefix="1" applyFont="1" applyFill="1"/>
    <xf numFmtId="0" fontId="61" fillId="10" borderId="0" xfId="0" applyFont="1" applyFill="1"/>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19" xfId="0" applyBorder="1" applyAlignment="1">
      <alignment horizontal="left" vertical="top" wrapText="1"/>
    </xf>
    <xf numFmtId="0" fontId="0" fillId="0" borderId="28" xfId="0" applyBorder="1" applyAlignment="1">
      <alignment horizontal="left" vertical="top" wrapText="1"/>
    </xf>
    <xf numFmtId="0" fontId="0" fillId="0" borderId="0" xfId="0" applyAlignment="1">
      <alignment horizontal="left" vertical="top" wrapText="1"/>
    </xf>
    <xf numFmtId="0" fontId="0" fillId="0" borderId="29" xfId="0" applyBorder="1" applyAlignment="1">
      <alignment horizontal="left" vertical="top" wrapText="1"/>
    </xf>
    <xf numFmtId="0" fontId="0" fillId="0" borderId="30" xfId="0" applyBorder="1" applyAlignment="1">
      <alignment horizontal="left" vertical="top" wrapText="1"/>
    </xf>
    <xf numFmtId="0" fontId="0" fillId="0" borderId="20" xfId="0" applyBorder="1" applyAlignment="1">
      <alignment horizontal="left" vertical="top" wrapText="1"/>
    </xf>
    <xf numFmtId="0" fontId="0" fillId="0" borderId="16" xfId="0" applyBorder="1" applyAlignment="1">
      <alignment horizontal="left" vertical="top" wrapText="1"/>
    </xf>
    <xf numFmtId="0" fontId="12" fillId="10" borderId="17" xfId="0" applyFont="1" applyFill="1" applyBorder="1" applyAlignment="1">
      <alignment horizontal="center" vertical="center"/>
    </xf>
    <xf numFmtId="0" fontId="12" fillId="10" borderId="18" xfId="0" applyFont="1" applyFill="1" applyBorder="1" applyAlignment="1">
      <alignment horizontal="center" vertical="center"/>
    </xf>
    <xf numFmtId="0" fontId="12" fillId="10" borderId="15" xfId="0" applyFont="1" applyFill="1" applyBorder="1" applyAlignment="1">
      <alignment horizontal="center" vertical="center"/>
    </xf>
    <xf numFmtId="0" fontId="11" fillId="15" borderId="27" xfId="0" applyFont="1" applyFill="1" applyBorder="1" applyAlignment="1">
      <alignment horizontal="right" vertical="center" indent="1"/>
    </xf>
    <xf numFmtId="0" fontId="11" fillId="15" borderId="20" xfId="0" applyFont="1" applyFill="1" applyBorder="1" applyAlignment="1">
      <alignment horizontal="right" vertical="center" indent="1"/>
    </xf>
    <xf numFmtId="0" fontId="3" fillId="5" borderId="31" xfId="0" applyFont="1" applyFill="1" applyBorder="1" applyAlignment="1">
      <alignment horizontal="center"/>
    </xf>
    <xf numFmtId="0" fontId="22" fillId="13" borderId="31" xfId="0" applyFont="1" applyFill="1" applyBorder="1" applyAlignment="1">
      <alignment horizontal="center"/>
    </xf>
    <xf numFmtId="0" fontId="3" fillId="9" borderId="32" xfId="0" applyFont="1" applyFill="1" applyBorder="1" applyAlignment="1">
      <alignment horizontal="center"/>
    </xf>
    <xf numFmtId="0" fontId="24" fillId="14" borderId="32" xfId="0" applyFont="1" applyFill="1" applyBorder="1" applyAlignment="1">
      <alignment horizontal="center"/>
    </xf>
    <xf numFmtId="0" fontId="0" fillId="5" borderId="12" xfId="0" applyFill="1" applyBorder="1" applyAlignment="1" applyProtection="1">
      <alignment horizontal="left"/>
      <protection locked="0"/>
    </xf>
    <xf numFmtId="0" fontId="53" fillId="12" borderId="26" xfId="0" applyFont="1" applyFill="1" applyBorder="1" applyAlignment="1">
      <alignment horizontal="center" vertical="center"/>
    </xf>
    <xf numFmtId="0" fontId="53" fillId="12" borderId="27" xfId="0" applyFont="1" applyFill="1" applyBorder="1" applyAlignment="1">
      <alignment horizontal="center" vertical="center"/>
    </xf>
    <xf numFmtId="0" fontId="53" fillId="12" borderId="19" xfId="0" applyFont="1" applyFill="1" applyBorder="1" applyAlignment="1">
      <alignment horizontal="center" vertical="center"/>
    </xf>
    <xf numFmtId="0" fontId="25" fillId="10" borderId="3" xfId="0" applyFont="1" applyFill="1" applyBorder="1" applyAlignment="1">
      <alignment horizontal="center" vertical="top"/>
    </xf>
    <xf numFmtId="0" fontId="25" fillId="10" borderId="4" xfId="0" applyFont="1" applyFill="1" applyBorder="1" applyAlignment="1">
      <alignment horizontal="center" vertical="top"/>
    </xf>
    <xf numFmtId="0" fontId="25" fillId="10" borderId="5" xfId="0" applyFont="1" applyFill="1" applyBorder="1" applyAlignment="1">
      <alignment horizontal="center" vertical="top"/>
    </xf>
    <xf numFmtId="0" fontId="0" fillId="5" borderId="12" xfId="0" applyFill="1" applyBorder="1" applyAlignment="1" applyProtection="1">
      <alignment horizontal="center"/>
      <protection locked="0"/>
    </xf>
    <xf numFmtId="0" fontId="1" fillId="15" borderId="0" xfId="0" applyFont="1" applyFill="1" applyAlignment="1">
      <alignment horizontal="right"/>
    </xf>
    <xf numFmtId="49" fontId="0" fillId="5" borderId="12" xfId="0" applyNumberFormat="1" applyFill="1" applyBorder="1" applyAlignment="1" applyProtection="1">
      <alignment horizontal="left"/>
      <protection locked="0"/>
    </xf>
    <xf numFmtId="172" fontId="0" fillId="5" borderId="12" xfId="0" applyNumberFormat="1" applyFill="1" applyBorder="1" applyAlignment="1" applyProtection="1">
      <alignment horizontal="left"/>
      <protection locked="0"/>
    </xf>
    <xf numFmtId="0" fontId="0" fillId="8" borderId="12" xfId="0" applyFill="1" applyBorder="1" applyAlignment="1" applyProtection="1">
      <alignment horizontal="left"/>
      <protection locked="0"/>
    </xf>
    <xf numFmtId="9" fontId="0" fillId="5" borderId="23" xfId="0" applyNumberFormat="1" applyFill="1" applyBorder="1" applyAlignment="1" applyProtection="1">
      <alignment horizontal="right" vertical="center" wrapText="1"/>
      <protection locked="0"/>
    </xf>
    <xf numFmtId="9" fontId="0" fillId="5" borderId="21" xfId="0" applyNumberFormat="1" applyFill="1" applyBorder="1" applyAlignment="1" applyProtection="1">
      <alignment horizontal="right" vertical="center" wrapText="1"/>
      <protection locked="0"/>
    </xf>
    <xf numFmtId="9" fontId="0" fillId="5" borderId="22" xfId="0" applyNumberFormat="1" applyFill="1" applyBorder="1" applyAlignment="1" applyProtection="1">
      <alignment horizontal="right" vertical="center" wrapText="1"/>
      <protection locked="0"/>
    </xf>
    <xf numFmtId="9" fontId="0" fillId="5" borderId="24" xfId="0" applyNumberFormat="1" applyFill="1" applyBorder="1" applyAlignment="1" applyProtection="1">
      <alignment horizontal="right" vertical="center" wrapText="1"/>
      <protection locked="0"/>
    </xf>
    <xf numFmtId="9" fontId="0" fillId="5" borderId="12" xfId="0" applyNumberFormat="1" applyFill="1" applyBorder="1" applyAlignment="1" applyProtection="1">
      <alignment horizontal="right" vertical="center" wrapText="1"/>
      <protection locked="0"/>
    </xf>
    <xf numFmtId="9" fontId="0" fillId="5" borderId="25" xfId="0" applyNumberFormat="1" applyFill="1" applyBorder="1" applyAlignment="1" applyProtection="1">
      <alignment horizontal="right" vertical="center" wrapText="1"/>
      <protection locked="0"/>
    </xf>
    <xf numFmtId="173" fontId="0" fillId="5" borderId="12" xfId="0" applyNumberFormat="1" applyFill="1" applyBorder="1" applyAlignment="1" applyProtection="1">
      <alignment horizontal="left"/>
      <protection locked="0"/>
    </xf>
    <xf numFmtId="0" fontId="12" fillId="15" borderId="0" xfId="0" applyFont="1" applyFill="1" applyAlignment="1">
      <alignment horizontal="center" vertical="center" wrapText="1"/>
    </xf>
    <xf numFmtId="0" fontId="12" fillId="15" borderId="20" xfId="0" applyFont="1" applyFill="1" applyBorder="1" applyAlignment="1">
      <alignment horizontal="center" vertical="center" wrapText="1"/>
    </xf>
    <xf numFmtId="0" fontId="1" fillId="15" borderId="0" xfId="0" applyFont="1" applyFill="1" applyAlignment="1">
      <alignment horizontal="right" wrapText="1"/>
    </xf>
    <xf numFmtId="3" fontId="0" fillId="5" borderId="12" xfId="0" applyNumberFormat="1" applyFill="1" applyBorder="1" applyAlignment="1" applyProtection="1">
      <alignment horizontal="left"/>
      <protection locked="0"/>
    </xf>
    <xf numFmtId="9" fontId="0" fillId="5" borderId="3" xfId="0" applyNumberFormat="1" applyFill="1" applyBorder="1" applyAlignment="1" applyProtection="1">
      <alignment horizontal="right" vertical="center"/>
      <protection locked="0"/>
    </xf>
    <xf numFmtId="9" fontId="0" fillId="5" borderId="4" xfId="0" applyNumberFormat="1" applyFill="1" applyBorder="1" applyAlignment="1" applyProtection="1">
      <alignment horizontal="right" vertical="center"/>
      <protection locked="0"/>
    </xf>
    <xf numFmtId="9" fontId="0" fillId="5" borderId="5" xfId="0" applyNumberFormat="1" applyFill="1" applyBorder="1" applyAlignment="1" applyProtection="1">
      <alignment horizontal="right" vertical="center"/>
      <protection locked="0"/>
    </xf>
    <xf numFmtId="0" fontId="12" fillId="5" borderId="3" xfId="0" applyFont="1" applyFill="1" applyBorder="1" applyAlignment="1">
      <alignment horizontal="right" vertical="center"/>
    </xf>
    <xf numFmtId="0" fontId="12" fillId="5" borderId="5" xfId="0" applyFont="1" applyFill="1" applyBorder="1" applyAlignment="1">
      <alignment horizontal="right" vertical="center"/>
    </xf>
    <xf numFmtId="0" fontId="28" fillId="15" borderId="0" xfId="0" applyFont="1" applyFill="1" applyAlignment="1">
      <alignment horizontal="left" vertical="center" wrapText="1"/>
    </xf>
    <xf numFmtId="0" fontId="1" fillId="15" borderId="3" xfId="0" applyFont="1" applyFill="1" applyBorder="1" applyAlignment="1">
      <alignment horizontal="center"/>
    </xf>
    <xf numFmtId="0" fontId="1" fillId="15" borderId="4" xfId="0" applyFont="1" applyFill="1" applyBorder="1" applyAlignment="1">
      <alignment horizontal="center"/>
    </xf>
    <xf numFmtId="0" fontId="1" fillId="15" borderId="5" xfId="0" applyFont="1" applyFill="1" applyBorder="1" applyAlignment="1">
      <alignment horizontal="center"/>
    </xf>
    <xf numFmtId="0" fontId="1" fillId="10" borderId="3" xfId="0" applyFont="1" applyFill="1" applyBorder="1" applyAlignment="1">
      <alignment horizontal="left"/>
    </xf>
    <xf numFmtId="0" fontId="1" fillId="10" borderId="4" xfId="0" applyFont="1" applyFill="1" applyBorder="1" applyAlignment="1">
      <alignment horizontal="left"/>
    </xf>
    <xf numFmtId="0" fontId="1" fillId="10" borderId="5" xfId="0" applyFont="1" applyFill="1" applyBorder="1" applyAlignment="1">
      <alignment horizontal="left"/>
    </xf>
    <xf numFmtId="9" fontId="0" fillId="2" borderId="3" xfId="6" applyFont="1" applyFill="1" applyBorder="1" applyAlignment="1">
      <alignment horizontal="center"/>
    </xf>
    <xf numFmtId="9" fontId="0" fillId="2" borderId="4" xfId="6" applyFont="1" applyFill="1" applyBorder="1" applyAlignment="1">
      <alignment horizontal="center"/>
    </xf>
    <xf numFmtId="9" fontId="0" fillId="2" borderId="5" xfId="6" applyFont="1" applyFill="1" applyBorder="1" applyAlignment="1">
      <alignment horizontal="center"/>
    </xf>
    <xf numFmtId="173" fontId="0" fillId="2" borderId="3" xfId="6" applyNumberFormat="1" applyFont="1" applyFill="1" applyBorder="1" applyAlignment="1">
      <alignment horizontal="center"/>
    </xf>
    <xf numFmtId="173" fontId="0" fillId="2" borderId="4" xfId="6" applyNumberFormat="1" applyFont="1" applyFill="1" applyBorder="1" applyAlignment="1">
      <alignment horizontal="center"/>
    </xf>
    <xf numFmtId="173" fontId="0" fillId="2" borderId="5" xfId="6" applyNumberFormat="1" applyFont="1" applyFill="1" applyBorder="1" applyAlignment="1">
      <alignment horizontal="center"/>
    </xf>
    <xf numFmtId="0" fontId="0" fillId="0" borderId="3" xfId="0" applyBorder="1" applyAlignment="1">
      <alignment horizontal="left"/>
    </xf>
    <xf numFmtId="0" fontId="0" fillId="0" borderId="4" xfId="0" applyBorder="1" applyAlignment="1">
      <alignment horizontal="left"/>
    </xf>
    <xf numFmtId="0" fontId="0" fillId="0" borderId="5" xfId="0" applyBorder="1" applyAlignment="1">
      <alignment horizontal="left"/>
    </xf>
    <xf numFmtId="0" fontId="0" fillId="7" borderId="3" xfId="0" applyFill="1" applyBorder="1" applyAlignment="1">
      <alignment horizontal="left"/>
    </xf>
    <xf numFmtId="0" fontId="0" fillId="7" borderId="4" xfId="0" applyFill="1" applyBorder="1" applyAlignment="1">
      <alignment horizontal="left"/>
    </xf>
    <xf numFmtId="0" fontId="0" fillId="7" borderId="5" xfId="0" applyFill="1" applyBorder="1" applyAlignment="1">
      <alignment horizontal="left"/>
    </xf>
    <xf numFmtId="0" fontId="27" fillId="12" borderId="23" xfId="0" applyFont="1" applyFill="1" applyBorder="1" applyAlignment="1">
      <alignment horizontal="center" vertical="top" wrapText="1"/>
    </xf>
    <xf numFmtId="0" fontId="27" fillId="12" borderId="21" xfId="0" applyFont="1" applyFill="1" applyBorder="1" applyAlignment="1">
      <alignment horizontal="center" vertical="top" wrapText="1"/>
    </xf>
    <xf numFmtId="0" fontId="27" fillId="12" borderId="22" xfId="0" applyFont="1" applyFill="1" applyBorder="1" applyAlignment="1">
      <alignment horizontal="center" vertical="top" wrapText="1"/>
    </xf>
    <xf numFmtId="0" fontId="1" fillId="10" borderId="23" xfId="0" applyFont="1" applyFill="1" applyBorder="1" applyAlignment="1">
      <alignment horizontal="left"/>
    </xf>
    <xf numFmtId="0" fontId="1" fillId="10" borderId="21" xfId="0" applyFont="1" applyFill="1" applyBorder="1" applyAlignment="1">
      <alignment horizontal="left"/>
    </xf>
    <xf numFmtId="0" fontId="1" fillId="10" borderId="22" xfId="0" applyFont="1" applyFill="1" applyBorder="1" applyAlignment="1">
      <alignment horizontal="left"/>
    </xf>
    <xf numFmtId="0" fontId="0" fillId="10" borderId="3" xfId="0" applyFill="1" applyBorder="1" applyAlignment="1">
      <alignment horizontal="left"/>
    </xf>
    <xf numFmtId="0" fontId="0" fillId="10" borderId="4" xfId="0" applyFill="1" applyBorder="1" applyAlignment="1">
      <alignment horizontal="left"/>
    </xf>
    <xf numFmtId="0" fontId="0" fillId="10" borderId="5" xfId="0" applyFill="1" applyBorder="1" applyAlignment="1">
      <alignment horizontal="left"/>
    </xf>
    <xf numFmtId="0" fontId="28" fillId="0" borderId="23" xfId="0" applyFont="1" applyBorder="1" applyAlignment="1">
      <alignment horizontal="center" vertical="center"/>
    </xf>
    <xf numFmtId="0" fontId="28" fillId="0" borderId="21" xfId="0" applyFont="1" applyBorder="1" applyAlignment="1">
      <alignment horizontal="center" vertical="center"/>
    </xf>
    <xf numFmtId="0" fontId="28" fillId="0" borderId="22" xfId="0" applyFont="1" applyBorder="1" applyAlignment="1">
      <alignment horizontal="center" vertical="center"/>
    </xf>
    <xf numFmtId="0" fontId="28" fillId="0" borderId="24" xfId="0" applyFont="1" applyBorder="1" applyAlignment="1">
      <alignment horizontal="center" vertical="center"/>
    </xf>
    <xf numFmtId="0" fontId="28" fillId="0" borderId="12" xfId="0" applyFont="1" applyBorder="1" applyAlignment="1">
      <alignment horizontal="center" vertical="center"/>
    </xf>
    <xf numFmtId="0" fontId="28" fillId="0" borderId="25" xfId="0" applyFont="1" applyBorder="1" applyAlignment="1">
      <alignment horizontal="center" vertical="center"/>
    </xf>
    <xf numFmtId="0" fontId="12" fillId="2" borderId="3" xfId="0" applyFont="1" applyFill="1" applyBorder="1" applyAlignment="1">
      <alignment horizontal="center"/>
    </xf>
    <xf numFmtId="0" fontId="12" fillId="2" borderId="5" xfId="0" applyFont="1" applyFill="1" applyBorder="1" applyAlignment="1">
      <alignment horizontal="center"/>
    </xf>
    <xf numFmtId="0" fontId="27" fillId="12" borderId="3" xfId="0" applyFont="1" applyFill="1" applyBorder="1" applyAlignment="1">
      <alignment horizontal="center" wrapText="1"/>
    </xf>
    <xf numFmtId="0" fontId="27" fillId="12" borderId="5" xfId="0" applyFont="1" applyFill="1" applyBorder="1" applyAlignment="1">
      <alignment horizontal="center" wrapText="1"/>
    </xf>
    <xf numFmtId="9" fontId="0" fillId="0" borderId="3" xfId="0" applyNumberFormat="1" applyBorder="1" applyAlignment="1">
      <alignment horizontal="left"/>
    </xf>
    <xf numFmtId="0" fontId="27" fillId="12" borderId="3" xfId="0" applyFont="1" applyFill="1" applyBorder="1" applyAlignment="1">
      <alignment horizontal="center" vertical="top" wrapText="1"/>
    </xf>
    <xf numFmtId="0" fontId="27" fillId="12" borderId="4" xfId="0" applyFont="1" applyFill="1" applyBorder="1" applyAlignment="1">
      <alignment horizontal="center" vertical="top" wrapText="1"/>
    </xf>
    <xf numFmtId="0" fontId="27" fillId="12" borderId="5" xfId="0" applyFont="1" applyFill="1" applyBorder="1" applyAlignment="1">
      <alignment horizontal="center" vertical="top" wrapText="1"/>
    </xf>
    <xf numFmtId="0" fontId="0" fillId="0" borderId="3"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1" fillId="0" borderId="24" xfId="0" applyFont="1" applyBorder="1" applyAlignment="1">
      <alignment horizontal="center" vertical="center"/>
    </xf>
    <xf numFmtId="0" fontId="1" fillId="0" borderId="12" xfId="0" applyFont="1" applyBorder="1" applyAlignment="1">
      <alignment horizontal="center" vertical="center"/>
    </xf>
    <xf numFmtId="0" fontId="1" fillId="0" borderId="25" xfId="0" applyFont="1" applyBorder="1" applyAlignment="1">
      <alignment horizontal="center" vertical="center"/>
    </xf>
    <xf numFmtId="0" fontId="0" fillId="2" borderId="3" xfId="0" applyFill="1" applyBorder="1" applyAlignment="1">
      <alignment horizontal="center" wrapText="1"/>
    </xf>
    <xf numFmtId="0" fontId="0" fillId="2" borderId="4" xfId="0" applyFill="1" applyBorder="1" applyAlignment="1">
      <alignment horizontal="center" wrapText="1"/>
    </xf>
    <xf numFmtId="0" fontId="0" fillId="2" borderId="5" xfId="0" applyFill="1" applyBorder="1" applyAlignment="1">
      <alignment horizontal="center" wrapText="1"/>
    </xf>
    <xf numFmtId="9" fontId="13" fillId="12" borderId="3" xfId="6" applyFont="1" applyFill="1" applyBorder="1" applyAlignment="1">
      <alignment horizontal="center"/>
    </xf>
    <xf numFmtId="9" fontId="13" fillId="12" borderId="4" xfId="6" applyFont="1" applyFill="1" applyBorder="1" applyAlignment="1">
      <alignment horizontal="center"/>
    </xf>
    <xf numFmtId="9" fontId="13" fillId="12" borderId="5" xfId="6" applyFont="1" applyFill="1" applyBorder="1" applyAlignment="1">
      <alignment horizontal="center"/>
    </xf>
    <xf numFmtId="9" fontId="0" fillId="2" borderId="3" xfId="6" applyFont="1" applyFill="1" applyBorder="1" applyAlignment="1">
      <alignment horizontal="center" vertical="center"/>
    </xf>
    <xf numFmtId="9" fontId="0" fillId="2" borderId="4" xfId="6" applyFont="1" applyFill="1" applyBorder="1" applyAlignment="1">
      <alignment horizontal="center" vertical="center"/>
    </xf>
    <xf numFmtId="9" fontId="0" fillId="2" borderId="5" xfId="6" applyFont="1" applyFill="1" applyBorder="1" applyAlignment="1">
      <alignment horizontal="center" vertical="center"/>
    </xf>
    <xf numFmtId="0" fontId="27" fillId="12" borderId="3" xfId="0" applyFont="1" applyFill="1" applyBorder="1" applyAlignment="1">
      <alignment horizontal="center"/>
    </xf>
    <xf numFmtId="0" fontId="27" fillId="12" borderId="4" xfId="0" applyFont="1" applyFill="1" applyBorder="1" applyAlignment="1">
      <alignment horizontal="center"/>
    </xf>
    <xf numFmtId="0" fontId="27" fillId="12" borderId="5" xfId="0" applyFont="1" applyFill="1" applyBorder="1" applyAlignment="1">
      <alignment horizontal="center"/>
    </xf>
    <xf numFmtId="0" fontId="11" fillId="10" borderId="3" xfId="0" applyFont="1" applyFill="1" applyBorder="1" applyAlignment="1">
      <alignment horizontal="center" vertical="center"/>
    </xf>
    <xf numFmtId="0" fontId="11" fillId="10" borderId="4" xfId="0" applyFont="1" applyFill="1" applyBorder="1" applyAlignment="1">
      <alignment horizontal="center" vertical="center"/>
    </xf>
    <xf numFmtId="0" fontId="11" fillId="10" borderId="5" xfId="0" applyFont="1" applyFill="1" applyBorder="1" applyAlignment="1">
      <alignment horizontal="center" vertical="center"/>
    </xf>
    <xf numFmtId="0" fontId="35" fillId="10" borderId="23" xfId="0" applyFont="1" applyFill="1" applyBorder="1" applyAlignment="1">
      <alignment horizontal="center" vertical="center" wrapText="1"/>
    </xf>
    <xf numFmtId="0" fontId="35" fillId="10" borderId="21" xfId="0" applyFont="1" applyFill="1" applyBorder="1" applyAlignment="1">
      <alignment horizontal="center" vertical="center" wrapText="1"/>
    </xf>
    <xf numFmtId="0" fontId="35" fillId="10" borderId="22" xfId="0" applyFont="1" applyFill="1" applyBorder="1" applyAlignment="1">
      <alignment horizontal="center" vertical="center" wrapText="1"/>
    </xf>
    <xf numFmtId="0" fontId="35" fillId="10" borderId="24" xfId="0" applyFont="1" applyFill="1" applyBorder="1" applyAlignment="1">
      <alignment horizontal="center" vertical="center" wrapText="1"/>
    </xf>
    <xf numFmtId="0" fontId="35" fillId="10" borderId="12" xfId="0" applyFont="1" applyFill="1" applyBorder="1" applyAlignment="1">
      <alignment horizontal="center" vertical="center" wrapText="1"/>
    </xf>
    <xf numFmtId="0" fontId="35" fillId="10" borderId="25" xfId="0" applyFont="1" applyFill="1" applyBorder="1" applyAlignment="1">
      <alignment horizontal="center" vertical="center" wrapText="1"/>
    </xf>
    <xf numFmtId="0" fontId="40" fillId="15" borderId="0" xfId="0" applyFont="1" applyFill="1" applyAlignment="1">
      <alignment horizontal="left" wrapText="1"/>
    </xf>
    <xf numFmtId="3" fontId="5" fillId="15" borderId="11" xfId="0" applyNumberFormat="1" applyFont="1" applyFill="1" applyBorder="1" applyAlignment="1">
      <alignment horizontal="left" wrapText="1"/>
    </xf>
    <xf numFmtId="3" fontId="5" fillId="15" borderId="11" xfId="0" applyNumberFormat="1" applyFont="1" applyFill="1" applyBorder="1" applyAlignment="1">
      <alignment horizontal="left"/>
    </xf>
    <xf numFmtId="0" fontId="2" fillId="15" borderId="6" xfId="1" applyFill="1" applyAlignment="1">
      <alignment wrapText="1"/>
    </xf>
    <xf numFmtId="0" fontId="0" fillId="15" borderId="6" xfId="0" applyFill="1" applyBorder="1" applyAlignment="1">
      <alignment wrapText="1"/>
    </xf>
    <xf numFmtId="0" fontId="45" fillId="15" borderId="0" xfId="0" applyFont="1" applyFill="1" applyAlignment="1">
      <alignment horizontal="left" vertical="top" wrapText="1"/>
    </xf>
    <xf numFmtId="0" fontId="42" fillId="15" borderId="36" xfId="0" applyFont="1" applyFill="1" applyBorder="1" applyAlignment="1">
      <alignment horizontal="center" wrapText="1"/>
    </xf>
    <xf numFmtId="0" fontId="42" fillId="15" borderId="34" xfId="0" applyFont="1" applyFill="1" applyBorder="1" applyAlignment="1">
      <alignment horizontal="center" wrapText="1"/>
    </xf>
    <xf numFmtId="0" fontId="45" fillId="15" borderId="35" xfId="0" applyFont="1" applyFill="1" applyBorder="1" applyAlignment="1">
      <alignment horizontal="left" vertical="top" wrapText="1"/>
    </xf>
    <xf numFmtId="0" fontId="47" fillId="15" borderId="0" xfId="0" applyFont="1" applyFill="1" applyAlignment="1">
      <alignment horizontal="left" vertical="top" wrapText="1"/>
    </xf>
    <xf numFmtId="0" fontId="41" fillId="15" borderId="0" xfId="0" applyFont="1" applyFill="1" applyAlignment="1">
      <alignment horizontal="left" wrapText="1"/>
    </xf>
    <xf numFmtId="0" fontId="42" fillId="15" borderId="0" xfId="0" applyFont="1" applyFill="1" applyAlignment="1">
      <alignment horizontal="left" wrapText="1"/>
    </xf>
    <xf numFmtId="0" fontId="42" fillId="15" borderId="39" xfId="0" applyFont="1" applyFill="1" applyBorder="1" applyAlignment="1">
      <alignment horizontal="left" wrapText="1"/>
    </xf>
    <xf numFmtId="0" fontId="42" fillId="15" borderId="33" xfId="0" applyFont="1" applyFill="1" applyBorder="1" applyAlignment="1">
      <alignment horizontal="left" wrapText="1"/>
    </xf>
    <xf numFmtId="0" fontId="42" fillId="15" borderId="40" xfId="0" applyFont="1" applyFill="1" applyBorder="1" applyAlignment="1">
      <alignment horizontal="left" wrapText="1"/>
    </xf>
    <xf numFmtId="0" fontId="42" fillId="15" borderId="38" xfId="0" applyFont="1" applyFill="1" applyBorder="1" applyAlignment="1">
      <alignment horizontal="left" wrapText="1"/>
    </xf>
    <xf numFmtId="0" fontId="23" fillId="15" borderId="38" xfId="0" applyFont="1" applyFill="1" applyBorder="1" applyAlignment="1">
      <alignment horizontal="left" wrapText="1"/>
    </xf>
    <xf numFmtId="0" fontId="23" fillId="15" borderId="0" xfId="0" applyFont="1" applyFill="1" applyAlignment="1">
      <alignment horizontal="left" wrapText="1"/>
    </xf>
    <xf numFmtId="0" fontId="23" fillId="15" borderId="37" xfId="0" applyFont="1" applyFill="1" applyBorder="1" applyAlignment="1">
      <alignment horizontal="left" wrapText="1"/>
    </xf>
    <xf numFmtId="0" fontId="23" fillId="15" borderId="33" xfId="0" applyFont="1" applyFill="1" applyBorder="1" applyAlignment="1">
      <alignment horizontal="left" wrapText="1"/>
    </xf>
    <xf numFmtId="0" fontId="60" fillId="10" borderId="23" xfId="0" applyFont="1" applyFill="1" applyBorder="1" applyAlignment="1">
      <alignment horizontal="left" vertical="center" wrapText="1"/>
    </xf>
    <xf numFmtId="0" fontId="60" fillId="10" borderId="21" xfId="0" applyFont="1" applyFill="1" applyBorder="1" applyAlignment="1">
      <alignment horizontal="left" vertical="center" wrapText="1"/>
    </xf>
    <xf numFmtId="0" fontId="60" fillId="10" borderId="22" xfId="0" applyFont="1" applyFill="1" applyBorder="1" applyAlignment="1">
      <alignment horizontal="left" vertical="center" wrapText="1"/>
    </xf>
    <xf numFmtId="0" fontId="60" fillId="10" borderId="47" xfId="0" applyFont="1" applyFill="1" applyBorder="1" applyAlignment="1">
      <alignment horizontal="left" vertical="center" wrapText="1"/>
    </xf>
    <xf numFmtId="0" fontId="60" fillId="10" borderId="0" xfId="0" applyFont="1" applyFill="1" applyAlignment="1">
      <alignment horizontal="left" vertical="center" wrapText="1"/>
    </xf>
    <xf numFmtId="0" fontId="60" fillId="10" borderId="48" xfId="0" applyFont="1" applyFill="1" applyBorder="1" applyAlignment="1">
      <alignment horizontal="left" vertical="center" wrapText="1"/>
    </xf>
    <xf numFmtId="0" fontId="60" fillId="10" borderId="24" xfId="0" applyFont="1" applyFill="1" applyBorder="1" applyAlignment="1">
      <alignment horizontal="left" vertical="center" wrapText="1"/>
    </xf>
    <xf numFmtId="0" fontId="60" fillId="10" borderId="12" xfId="0" applyFont="1" applyFill="1" applyBorder="1" applyAlignment="1">
      <alignment horizontal="left" vertical="center" wrapText="1"/>
    </xf>
    <xf numFmtId="0" fontId="60" fillId="10" borderId="25" xfId="0" applyFont="1" applyFill="1" applyBorder="1" applyAlignment="1">
      <alignment horizontal="left" vertical="center" wrapText="1"/>
    </xf>
    <xf numFmtId="0" fontId="1" fillId="10" borderId="3" xfId="0" applyFont="1" applyFill="1" applyBorder="1" applyAlignment="1">
      <alignment horizontal="center"/>
    </xf>
    <xf numFmtId="0" fontId="1" fillId="10" borderId="4" xfId="0" applyFont="1" applyFill="1" applyBorder="1" applyAlignment="1">
      <alignment horizontal="center"/>
    </xf>
    <xf numFmtId="0" fontId="1" fillId="10" borderId="5" xfId="0" applyFont="1" applyFill="1" applyBorder="1" applyAlignment="1">
      <alignment horizontal="center"/>
    </xf>
    <xf numFmtId="0" fontId="1" fillId="10" borderId="42" xfId="0" applyFont="1" applyFill="1" applyBorder="1" applyAlignment="1">
      <alignment horizontal="center"/>
    </xf>
    <xf numFmtId="0" fontId="1" fillId="10" borderId="43" xfId="0" applyFont="1" applyFill="1" applyBorder="1" applyAlignment="1">
      <alignment horizontal="center"/>
    </xf>
    <xf numFmtId="0" fontId="1" fillId="10" borderId="44" xfId="0" applyFont="1" applyFill="1" applyBorder="1" applyAlignment="1">
      <alignment horizontal="center"/>
    </xf>
    <xf numFmtId="0" fontId="14" fillId="10" borderId="0" xfId="0" applyFont="1" applyFill="1" applyAlignment="1">
      <alignment horizontal="center"/>
    </xf>
    <xf numFmtId="0" fontId="15" fillId="10" borderId="0" xfId="0" applyFont="1" applyFill="1" applyAlignment="1">
      <alignment horizontal="center"/>
    </xf>
    <xf numFmtId="165" fontId="3" fillId="0" borderId="8" xfId="2" applyNumberFormat="1" applyFont="1" applyFill="1" applyAlignment="1">
      <alignment horizontal="right" wrapText="1"/>
    </xf>
  </cellXfs>
  <cellStyles count="8">
    <cellStyle name="Body: normal cell" xfId="2" xr:uid="{84FAD003-0126-48D9-93AE-036756D6D965}"/>
    <cellStyle name="Comma" xfId="7" builtinId="3"/>
    <cellStyle name="Footnotes: top row" xfId="1" xr:uid="{2717544D-321C-4217-B1EB-5053EFC421B0}"/>
    <cellStyle name="Header: bottom row" xfId="4" xr:uid="{508D70F7-E7AA-427C-A9D3-6533B5BE7C16}"/>
    <cellStyle name="Normal" xfId="0" builtinId="0"/>
    <cellStyle name="Parent row" xfId="3" xr:uid="{E5033DE9-08AE-4074-ACA0-55B727215742}"/>
    <cellStyle name="Percent" xfId="6" builtinId="5"/>
    <cellStyle name="Table title" xfId="5" xr:uid="{7E13E5E6-E2AE-4B07-A86D-D1445C2FF555}"/>
  </cellStyles>
  <dxfs count="0"/>
  <tableStyles count="0" defaultTableStyle="TableStyleMedium2" defaultPivotStyle="PivotStyleLight16"/>
  <colors>
    <mruColors>
      <color rgb="FF0070CD"/>
      <color rgb="FF77BC1F"/>
      <color rgb="FFFFF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8E1E0-1056-411B-BEE7-75AE1D387C6E}">
  <sheetPr codeName="Sheet1"/>
  <dimension ref="A2:BF26"/>
  <sheetViews>
    <sheetView workbookViewId="0">
      <selection activeCell="B3" sqref="B3"/>
    </sheetView>
  </sheetViews>
  <sheetFormatPr defaultColWidth="8.85546875" defaultRowHeight="15" x14ac:dyDescent="0.25"/>
  <cols>
    <col min="1" max="1" width="2.7109375" style="28" customWidth="1"/>
    <col min="2" max="10" width="8.85546875" style="28"/>
    <col min="11" max="11" width="29.5703125" style="28" customWidth="1"/>
    <col min="12" max="16384" width="8.85546875" style="28"/>
  </cols>
  <sheetData>
    <row r="2" spans="1:58" s="21" customFormat="1" ht="22.5" x14ac:dyDescent="0.35">
      <c r="A2" s="17"/>
      <c r="B2" s="18" t="str">
        <f>Lookups!B2</f>
        <v>Ph V TRM Appendix F: Building Operator Certification Audit and Design Tool</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20"/>
      <c r="AO2" s="20"/>
      <c r="AP2" s="20"/>
    </row>
    <row r="3" spans="1:58" s="25" customFormat="1" ht="17.25" x14ac:dyDescent="0.25">
      <c r="A3" s="22"/>
      <c r="B3" s="23" t="s">
        <v>0</v>
      </c>
      <c r="C3" s="24"/>
      <c r="D3" s="24"/>
      <c r="E3" s="24"/>
      <c r="F3" s="24"/>
      <c r="G3" s="24"/>
      <c r="H3" s="24"/>
      <c r="I3" s="24"/>
      <c r="J3" s="24"/>
      <c r="K3" s="24"/>
      <c r="L3" s="24"/>
      <c r="M3" s="22"/>
      <c r="N3" s="22"/>
      <c r="AT3" s="24"/>
      <c r="AU3" s="24"/>
      <c r="AV3" s="24"/>
      <c r="AW3" s="24"/>
      <c r="AX3" s="24"/>
      <c r="AY3" s="24"/>
      <c r="AZ3" s="24"/>
      <c r="BA3" s="24"/>
      <c r="BB3" s="24"/>
      <c r="BC3" s="24"/>
      <c r="BD3" s="24"/>
      <c r="BE3" s="24"/>
      <c r="BF3" s="24"/>
    </row>
    <row r="4" spans="1:58" ht="18" x14ac:dyDescent="0.25">
      <c r="B4" s="192"/>
    </row>
    <row r="5" spans="1:58" ht="15.75" thickBot="1" x14ac:dyDescent="0.3"/>
    <row r="6" spans="1:58" ht="15.75" thickBot="1" x14ac:dyDescent="0.3">
      <c r="B6" s="306" t="s">
        <v>1</v>
      </c>
      <c r="C6" s="307"/>
      <c r="D6" s="307"/>
      <c r="E6" s="307"/>
      <c r="F6" s="307"/>
      <c r="G6" s="307"/>
      <c r="H6" s="307"/>
      <c r="I6" s="307"/>
      <c r="J6" s="307"/>
      <c r="K6" s="308"/>
    </row>
    <row r="7" spans="1:58" ht="15.75" thickBot="1" x14ac:dyDescent="0.3"/>
    <row r="8" spans="1:58" x14ac:dyDescent="0.25">
      <c r="B8" s="297" t="s">
        <v>2</v>
      </c>
      <c r="C8" s="298"/>
      <c r="D8" s="298"/>
      <c r="E8" s="298"/>
      <c r="F8" s="298"/>
      <c r="G8" s="298"/>
      <c r="H8" s="298"/>
      <c r="I8" s="298"/>
      <c r="J8" s="298"/>
      <c r="K8" s="299"/>
    </row>
    <row r="9" spans="1:58" x14ac:dyDescent="0.25">
      <c r="B9" s="300"/>
      <c r="C9" s="301"/>
      <c r="D9" s="301"/>
      <c r="E9" s="301"/>
      <c r="F9" s="301"/>
      <c r="G9" s="301"/>
      <c r="H9" s="301"/>
      <c r="I9" s="301"/>
      <c r="J9" s="301"/>
      <c r="K9" s="302"/>
    </row>
    <row r="10" spans="1:58" x14ac:dyDescent="0.25">
      <c r="B10" s="300"/>
      <c r="C10" s="301"/>
      <c r="D10" s="301"/>
      <c r="E10" s="301"/>
      <c r="F10" s="301"/>
      <c r="G10" s="301"/>
      <c r="H10" s="301"/>
      <c r="I10" s="301"/>
      <c r="J10" s="301"/>
      <c r="K10" s="302"/>
    </row>
    <row r="11" spans="1:58" x14ac:dyDescent="0.25">
      <c r="B11" s="300"/>
      <c r="C11" s="301"/>
      <c r="D11" s="301"/>
      <c r="E11" s="301"/>
      <c r="F11" s="301"/>
      <c r="G11" s="301"/>
      <c r="H11" s="301"/>
      <c r="I11" s="301"/>
      <c r="J11" s="301"/>
      <c r="K11" s="302"/>
    </row>
    <row r="12" spans="1:58" x14ac:dyDescent="0.25">
      <c r="B12" s="300"/>
      <c r="C12" s="301"/>
      <c r="D12" s="301"/>
      <c r="E12" s="301"/>
      <c r="F12" s="301"/>
      <c r="G12" s="301"/>
      <c r="H12" s="301"/>
      <c r="I12" s="301"/>
      <c r="J12" s="301"/>
      <c r="K12" s="302"/>
    </row>
    <row r="13" spans="1:58" x14ac:dyDescent="0.25">
      <c r="B13" s="300"/>
      <c r="C13" s="301"/>
      <c r="D13" s="301"/>
      <c r="E13" s="301"/>
      <c r="F13" s="301"/>
      <c r="G13" s="301"/>
      <c r="H13" s="301"/>
      <c r="I13" s="301"/>
      <c r="J13" s="301"/>
      <c r="K13" s="302"/>
    </row>
    <row r="14" spans="1:58" x14ac:dyDescent="0.25">
      <c r="B14" s="300"/>
      <c r="C14" s="301"/>
      <c r="D14" s="301"/>
      <c r="E14" s="301"/>
      <c r="F14" s="301"/>
      <c r="G14" s="301"/>
      <c r="H14" s="301"/>
      <c r="I14" s="301"/>
      <c r="J14" s="301"/>
      <c r="K14" s="302"/>
    </row>
    <row r="15" spans="1:58" x14ac:dyDescent="0.25">
      <c r="B15" s="300"/>
      <c r="C15" s="301"/>
      <c r="D15" s="301"/>
      <c r="E15" s="301"/>
      <c r="F15" s="301"/>
      <c r="G15" s="301"/>
      <c r="H15" s="301"/>
      <c r="I15" s="301"/>
      <c r="J15" s="301"/>
      <c r="K15" s="302"/>
    </row>
    <row r="16" spans="1:58" x14ac:dyDescent="0.25">
      <c r="B16" s="300"/>
      <c r="C16" s="301"/>
      <c r="D16" s="301"/>
      <c r="E16" s="301"/>
      <c r="F16" s="301"/>
      <c r="G16" s="301"/>
      <c r="H16" s="301"/>
      <c r="I16" s="301"/>
      <c r="J16" s="301"/>
      <c r="K16" s="302"/>
    </row>
    <row r="17" spans="2:11" x14ac:dyDescent="0.25">
      <c r="B17" s="300"/>
      <c r="C17" s="301"/>
      <c r="D17" s="301"/>
      <c r="E17" s="301"/>
      <c r="F17" s="301"/>
      <c r="G17" s="301"/>
      <c r="H17" s="301"/>
      <c r="I17" s="301"/>
      <c r="J17" s="301"/>
      <c r="K17" s="302"/>
    </row>
    <row r="18" spans="2:11" x14ac:dyDescent="0.25">
      <c r="B18" s="300"/>
      <c r="C18" s="301"/>
      <c r="D18" s="301"/>
      <c r="E18" s="301"/>
      <c r="F18" s="301"/>
      <c r="G18" s="301"/>
      <c r="H18" s="301"/>
      <c r="I18" s="301"/>
      <c r="J18" s="301"/>
      <c r="K18" s="302"/>
    </row>
    <row r="19" spans="2:11" x14ac:dyDescent="0.25">
      <c r="B19" s="300"/>
      <c r="C19" s="301"/>
      <c r="D19" s="301"/>
      <c r="E19" s="301"/>
      <c r="F19" s="301"/>
      <c r="G19" s="301"/>
      <c r="H19" s="301"/>
      <c r="I19" s="301"/>
      <c r="J19" s="301"/>
      <c r="K19" s="302"/>
    </row>
    <row r="20" spans="2:11" x14ac:dyDescent="0.25">
      <c r="B20" s="300"/>
      <c r="C20" s="301"/>
      <c r="D20" s="301"/>
      <c r="E20" s="301"/>
      <c r="F20" s="301"/>
      <c r="G20" s="301"/>
      <c r="H20" s="301"/>
      <c r="I20" s="301"/>
      <c r="J20" s="301"/>
      <c r="K20" s="302"/>
    </row>
    <row r="21" spans="2:11" x14ac:dyDescent="0.25">
      <c r="B21" s="300"/>
      <c r="C21" s="301"/>
      <c r="D21" s="301"/>
      <c r="E21" s="301"/>
      <c r="F21" s="301"/>
      <c r="G21" s="301"/>
      <c r="H21" s="301"/>
      <c r="I21" s="301"/>
      <c r="J21" s="301"/>
      <c r="K21" s="302"/>
    </row>
    <row r="22" spans="2:11" x14ac:dyDescent="0.25">
      <c r="B22" s="300"/>
      <c r="C22" s="301"/>
      <c r="D22" s="301"/>
      <c r="E22" s="301"/>
      <c r="F22" s="301"/>
      <c r="G22" s="301"/>
      <c r="H22" s="301"/>
      <c r="I22" s="301"/>
      <c r="J22" s="301"/>
      <c r="K22" s="302"/>
    </row>
    <row r="23" spans="2:11" x14ac:dyDescent="0.25">
      <c r="B23" s="300"/>
      <c r="C23" s="301"/>
      <c r="D23" s="301"/>
      <c r="E23" s="301"/>
      <c r="F23" s="301"/>
      <c r="G23" s="301"/>
      <c r="H23" s="301"/>
      <c r="I23" s="301"/>
      <c r="J23" s="301"/>
      <c r="K23" s="302"/>
    </row>
    <row r="24" spans="2:11" x14ac:dyDescent="0.25">
      <c r="B24" s="300"/>
      <c r="C24" s="301"/>
      <c r="D24" s="301"/>
      <c r="E24" s="301"/>
      <c r="F24" s="301"/>
      <c r="G24" s="301"/>
      <c r="H24" s="301"/>
      <c r="I24" s="301"/>
      <c r="J24" s="301"/>
      <c r="K24" s="302"/>
    </row>
    <row r="25" spans="2:11" x14ac:dyDescent="0.25">
      <c r="B25" s="300"/>
      <c r="C25" s="301"/>
      <c r="D25" s="301"/>
      <c r="E25" s="301"/>
      <c r="F25" s="301"/>
      <c r="G25" s="301"/>
      <c r="H25" s="301"/>
      <c r="I25" s="301"/>
      <c r="J25" s="301"/>
      <c r="K25" s="302"/>
    </row>
    <row r="26" spans="2:11" ht="40.5" customHeight="1" thickBot="1" x14ac:dyDescent="0.3">
      <c r="B26" s="303"/>
      <c r="C26" s="304"/>
      <c r="D26" s="304"/>
      <c r="E26" s="304"/>
      <c r="F26" s="304"/>
      <c r="G26" s="304"/>
      <c r="H26" s="304"/>
      <c r="I26" s="304"/>
      <c r="J26" s="304"/>
      <c r="K26" s="305"/>
    </row>
  </sheetData>
  <mergeCells count="2">
    <mergeCell ref="B8:K26"/>
    <mergeCell ref="B6:K6"/>
  </mergeCells>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C36CB-EDB9-4374-BFBC-6DDEEE05AB8F}">
  <sheetPr codeName="Sheet9">
    <tabColor rgb="FF7030A0"/>
  </sheetPr>
  <dimension ref="A2:AF29"/>
  <sheetViews>
    <sheetView zoomScale="90" zoomScaleNormal="90" workbookViewId="0">
      <selection activeCell="I34" sqref="I34"/>
    </sheetView>
  </sheetViews>
  <sheetFormatPr defaultColWidth="8.85546875" defaultRowHeight="12" x14ac:dyDescent="0.2"/>
  <cols>
    <col min="1" max="1" width="2.7109375" style="170" customWidth="1"/>
    <col min="2" max="2" width="18.140625" style="170" customWidth="1"/>
    <col min="3" max="12" width="10.28515625" style="170" customWidth="1"/>
    <col min="13" max="13" width="13" style="170" customWidth="1"/>
    <col min="14" max="14" width="7.85546875" style="170" customWidth="1"/>
    <col min="15" max="16384" width="8.85546875" style="170"/>
  </cols>
  <sheetData>
    <row r="2" spans="1:32" s="21" customFormat="1" ht="22.5" x14ac:dyDescent="0.35">
      <c r="A2" s="17"/>
      <c r="B2" s="18" t="str">
        <f>Lookups!B2</f>
        <v>Ph V TRM Appendix F: Building Operator Certification Audit and Design Tool</v>
      </c>
      <c r="C2" s="19"/>
      <c r="D2" s="19"/>
      <c r="E2" s="19"/>
      <c r="F2" s="19"/>
      <c r="G2" s="19"/>
      <c r="H2" s="19"/>
      <c r="O2" s="20"/>
      <c r="P2" s="20"/>
    </row>
    <row r="3" spans="1:32" s="25" customFormat="1" ht="17.25" x14ac:dyDescent="0.25">
      <c r="A3" s="22"/>
      <c r="B3" s="23" t="s">
        <v>614</v>
      </c>
      <c r="C3" s="24"/>
      <c r="D3" s="24"/>
      <c r="E3" s="24"/>
      <c r="F3" s="24"/>
      <c r="G3" s="24"/>
      <c r="H3" s="24"/>
      <c r="T3" s="24"/>
      <c r="U3" s="24"/>
      <c r="V3" s="24"/>
      <c r="W3" s="24"/>
      <c r="X3" s="24"/>
      <c r="Y3" s="24"/>
      <c r="Z3" s="24"/>
      <c r="AA3" s="24"/>
      <c r="AB3" s="24"/>
      <c r="AC3" s="24"/>
      <c r="AD3" s="24"/>
      <c r="AE3" s="24"/>
      <c r="AF3" s="24"/>
    </row>
    <row r="5" spans="1:32" ht="15" x14ac:dyDescent="0.25">
      <c r="B5" s="444" t="s">
        <v>615</v>
      </c>
      <c r="C5" s="445"/>
      <c r="D5" s="445"/>
      <c r="E5" s="445"/>
      <c r="F5" s="445"/>
      <c r="G5" s="445"/>
      <c r="H5" s="445"/>
      <c r="I5" s="445"/>
      <c r="J5" s="445"/>
      <c r="K5" s="445"/>
      <c r="L5" s="445"/>
      <c r="M5" s="445"/>
      <c r="N5" s="446"/>
    </row>
    <row r="6" spans="1:32" ht="24" x14ac:dyDescent="0.2">
      <c r="B6" s="171" t="s">
        <v>167</v>
      </c>
      <c r="C6" s="171" t="s">
        <v>168</v>
      </c>
      <c r="D6" s="171" t="s">
        <v>169</v>
      </c>
      <c r="E6" s="171" t="s">
        <v>139</v>
      </c>
      <c r="F6" s="171" t="s">
        <v>83</v>
      </c>
      <c r="G6" s="171" t="s">
        <v>140</v>
      </c>
      <c r="H6" s="171" t="s">
        <v>85</v>
      </c>
      <c r="I6" s="171" t="s">
        <v>86</v>
      </c>
      <c r="J6" s="171" t="s">
        <v>51</v>
      </c>
      <c r="K6" s="171" t="s">
        <v>170</v>
      </c>
      <c r="L6" s="171" t="s">
        <v>171</v>
      </c>
      <c r="M6" s="172" t="s">
        <v>167</v>
      </c>
      <c r="N6" s="172" t="s">
        <v>112</v>
      </c>
    </row>
    <row r="7" spans="1:32" x14ac:dyDescent="0.2">
      <c r="B7" s="173" t="s">
        <v>616</v>
      </c>
      <c r="C7" s="174">
        <v>-0.12</v>
      </c>
      <c r="D7" s="226">
        <v>0.28000000000000003</v>
      </c>
      <c r="E7" s="226">
        <v>3.35</v>
      </c>
      <c r="F7" s="226">
        <v>2.02</v>
      </c>
      <c r="G7" s="226">
        <v>0.06</v>
      </c>
      <c r="H7" s="226">
        <v>1.51</v>
      </c>
      <c r="I7" s="226">
        <v>0.33</v>
      </c>
      <c r="J7" s="226">
        <v>0.48</v>
      </c>
      <c r="K7" s="226">
        <v>1.02</v>
      </c>
      <c r="L7" s="226">
        <v>2.0099999999999998</v>
      </c>
      <c r="M7" s="175" t="str">
        <f t="shared" ref="M7:M18" si="0">LEFT(B7,FIND(" (",B7,1)-1)</f>
        <v>Education</v>
      </c>
      <c r="N7" s="175" t="str">
        <f>_xlfn.LET(_xlpm.StartChar,FIND(" (",B7,1)+2,MID(B7,_xlpm.StartChar,FIND(")",B7,1)-_xlpm.StartChar))</f>
        <v>n=37</v>
      </c>
    </row>
    <row r="8" spans="1:32" x14ac:dyDescent="0.2">
      <c r="B8" s="173" t="s">
        <v>617</v>
      </c>
      <c r="C8" s="174">
        <v>-0.01</v>
      </c>
      <c r="D8" s="226">
        <v>1.1000000000000001</v>
      </c>
      <c r="E8" s="226">
        <v>5.97</v>
      </c>
      <c r="F8" s="226">
        <v>2.91</v>
      </c>
      <c r="G8" s="226">
        <v>0.24</v>
      </c>
      <c r="H8" s="226">
        <v>4.68</v>
      </c>
      <c r="I8" s="226">
        <v>2.38</v>
      </c>
      <c r="J8" s="226">
        <v>17.89</v>
      </c>
      <c r="K8" s="226">
        <v>0.44</v>
      </c>
      <c r="L8" s="226">
        <v>2.8</v>
      </c>
      <c r="M8" s="175" t="str">
        <f t="shared" si="0"/>
        <v>Grocery</v>
      </c>
      <c r="N8" s="175" t="str">
        <f t="shared" ref="N8:N21" si="1">_xlfn.LET(_xlpm.StartChar,FIND(" (",B8,1)+2,MID(B8,_xlpm.StartChar,FIND(")",B8,1)-_xlpm.StartChar))</f>
        <v>n=27</v>
      </c>
    </row>
    <row r="9" spans="1:32" x14ac:dyDescent="0.2">
      <c r="B9" s="173" t="s">
        <v>618</v>
      </c>
      <c r="C9" s="174">
        <v>-2.3199999999999998</v>
      </c>
      <c r="D9" s="226">
        <v>0.28999999999999998</v>
      </c>
      <c r="E9" s="226">
        <v>8.67</v>
      </c>
      <c r="F9" s="226">
        <v>3.63</v>
      </c>
      <c r="G9" s="226">
        <v>0.33</v>
      </c>
      <c r="H9" s="226">
        <v>4.9800000000000004</v>
      </c>
      <c r="I9" s="226">
        <v>0.26</v>
      </c>
      <c r="J9" s="226">
        <v>0.84</v>
      </c>
      <c r="K9" s="226">
        <v>2.41</v>
      </c>
      <c r="L9" s="226">
        <v>6.42</v>
      </c>
      <c r="M9" s="175" t="str">
        <f t="shared" si="0"/>
        <v>Health</v>
      </c>
      <c r="N9" s="175" t="str">
        <f t="shared" si="1"/>
        <v>n=41</v>
      </c>
    </row>
    <row r="10" spans="1:32" x14ac:dyDescent="0.2">
      <c r="B10" s="173" t="s">
        <v>619</v>
      </c>
      <c r="C10" s="174">
        <v>-0.36</v>
      </c>
      <c r="D10" s="226">
        <v>0.04</v>
      </c>
      <c r="E10" s="226">
        <v>1.51</v>
      </c>
      <c r="F10" s="226">
        <v>1.57</v>
      </c>
      <c r="G10" s="226">
        <v>0.37</v>
      </c>
      <c r="H10" s="226">
        <v>1.59</v>
      </c>
      <c r="I10" s="226">
        <v>0.01</v>
      </c>
      <c r="J10" s="226">
        <v>4.8600000000000003</v>
      </c>
      <c r="K10" s="226">
        <v>1.57</v>
      </c>
      <c r="L10" s="226">
        <v>31.91</v>
      </c>
      <c r="M10" s="175" t="str">
        <f t="shared" si="0"/>
        <v>Industrial</v>
      </c>
      <c r="N10" s="175" t="str">
        <f t="shared" si="1"/>
        <v>n=62</v>
      </c>
    </row>
    <row r="11" spans="1:32" x14ac:dyDescent="0.2">
      <c r="B11" s="173" t="s">
        <v>620</v>
      </c>
      <c r="C11" s="174">
        <v>-0.02</v>
      </c>
      <c r="D11" s="226">
        <v>0.38</v>
      </c>
      <c r="E11" s="226">
        <v>9.48</v>
      </c>
      <c r="F11" s="226">
        <v>1.89</v>
      </c>
      <c r="G11" s="226">
        <v>0.23</v>
      </c>
      <c r="H11" s="226">
        <v>2.79</v>
      </c>
      <c r="I11" s="226">
        <v>0.47</v>
      </c>
      <c r="J11" s="226">
        <v>0.23</v>
      </c>
      <c r="K11" s="226">
        <v>0.6</v>
      </c>
      <c r="L11" s="226">
        <v>0.88</v>
      </c>
      <c r="M11" s="175" t="str">
        <f t="shared" si="0"/>
        <v>Institutional</v>
      </c>
      <c r="N11" s="175" t="str">
        <f t="shared" si="1"/>
        <v>n=37</v>
      </c>
    </row>
    <row r="12" spans="1:32" x14ac:dyDescent="0.2">
      <c r="B12" s="173" t="s">
        <v>621</v>
      </c>
      <c r="C12" s="174">
        <v>-0.03</v>
      </c>
      <c r="D12" s="226">
        <v>2.0299999999999998</v>
      </c>
      <c r="E12" s="226">
        <v>3.47</v>
      </c>
      <c r="F12" s="226">
        <v>1.78</v>
      </c>
      <c r="G12" s="226">
        <v>0.23</v>
      </c>
      <c r="H12" s="226">
        <v>1.57</v>
      </c>
      <c r="I12" s="226">
        <v>0.23</v>
      </c>
      <c r="J12" s="226">
        <v>0.22</v>
      </c>
      <c r="K12" s="226">
        <v>0.2</v>
      </c>
      <c r="L12" s="226">
        <v>0.26</v>
      </c>
      <c r="M12" s="175" t="str">
        <f t="shared" si="0"/>
        <v>Lodging</v>
      </c>
      <c r="N12" s="175" t="str">
        <f t="shared" si="1"/>
        <v>n=26</v>
      </c>
    </row>
    <row r="13" spans="1:32" x14ac:dyDescent="0.2">
      <c r="B13" s="173" t="s">
        <v>622</v>
      </c>
      <c r="C13" s="174">
        <v>0</v>
      </c>
      <c r="D13" s="226">
        <v>0.13</v>
      </c>
      <c r="E13" s="226">
        <v>2.39</v>
      </c>
      <c r="F13" s="226">
        <v>1.49</v>
      </c>
      <c r="G13" s="226">
        <v>0.16</v>
      </c>
      <c r="H13" s="226">
        <v>1.21</v>
      </c>
      <c r="I13" s="226">
        <v>0.34</v>
      </c>
      <c r="J13" s="226">
        <v>0.3</v>
      </c>
      <c r="K13" s="226">
        <v>0.3</v>
      </c>
      <c r="L13" s="226">
        <v>2.08</v>
      </c>
      <c r="M13" s="175" t="str">
        <f t="shared" si="0"/>
        <v>Miscellaneous</v>
      </c>
      <c r="N13" s="175" t="str">
        <f t="shared" si="1"/>
        <v>n=62</v>
      </c>
    </row>
    <row r="14" spans="1:32" x14ac:dyDescent="0.2">
      <c r="B14" s="173" t="s">
        <v>623</v>
      </c>
      <c r="C14" s="174">
        <v>-0.01</v>
      </c>
      <c r="D14" s="226">
        <v>0.16</v>
      </c>
      <c r="E14" s="226">
        <v>2.84</v>
      </c>
      <c r="F14" s="226">
        <v>1.1599999999999999</v>
      </c>
      <c r="G14" s="226">
        <v>0.11</v>
      </c>
      <c r="H14" s="226">
        <v>0.86</v>
      </c>
      <c r="I14" s="226">
        <v>0.01</v>
      </c>
      <c r="J14" s="226">
        <v>0.04</v>
      </c>
      <c r="K14" s="226">
        <v>1.18</v>
      </c>
      <c r="L14" s="226">
        <v>1.18</v>
      </c>
      <c r="M14" s="175" t="str">
        <f t="shared" si="0"/>
        <v>Office</v>
      </c>
      <c r="N14" s="175" t="str">
        <f t="shared" si="1"/>
        <v>n=57</v>
      </c>
    </row>
    <row r="15" spans="1:32" x14ac:dyDescent="0.2">
      <c r="B15" s="173" t="s">
        <v>624</v>
      </c>
      <c r="C15" s="174">
        <v>-0.44</v>
      </c>
      <c r="D15" s="226">
        <v>0.1</v>
      </c>
      <c r="E15" s="226">
        <v>1.38</v>
      </c>
      <c r="F15" s="226">
        <v>1.04</v>
      </c>
      <c r="G15" s="226">
        <v>0.15</v>
      </c>
      <c r="H15" s="226">
        <v>0.79</v>
      </c>
      <c r="I15" s="226">
        <v>0.49</v>
      </c>
      <c r="J15" s="226">
        <v>7.0000000000000007E-2</v>
      </c>
      <c r="K15" s="226">
        <v>0.12</v>
      </c>
      <c r="L15" s="226">
        <v>0</v>
      </c>
      <c r="M15" s="175" t="str">
        <f t="shared" si="0"/>
        <v>Religious</v>
      </c>
      <c r="N15" s="175" t="str">
        <f t="shared" si="1"/>
        <v>n=23</v>
      </c>
    </row>
    <row r="16" spans="1:32" x14ac:dyDescent="0.2">
      <c r="B16" s="173" t="s">
        <v>625</v>
      </c>
      <c r="C16" s="174">
        <v>-0.56000000000000005</v>
      </c>
      <c r="D16" s="226">
        <v>1.58</v>
      </c>
      <c r="E16" s="226">
        <v>3.78</v>
      </c>
      <c r="F16" s="226">
        <v>1.63</v>
      </c>
      <c r="G16" s="226">
        <v>3.01</v>
      </c>
      <c r="H16" s="226">
        <v>1.25</v>
      </c>
      <c r="I16" s="226">
        <v>8.86</v>
      </c>
      <c r="J16" s="226">
        <v>7.71</v>
      </c>
      <c r="K16" s="226">
        <v>0.32</v>
      </c>
      <c r="L16" s="226">
        <v>2.1800000000000002</v>
      </c>
      <c r="M16" s="175" t="str">
        <f t="shared" si="0"/>
        <v>Restaurant</v>
      </c>
      <c r="N16" s="175" t="str">
        <f t="shared" si="1"/>
        <v>n=27</v>
      </c>
    </row>
    <row r="17" spans="2:14" x14ac:dyDescent="0.2">
      <c r="B17" s="173" t="s">
        <v>626</v>
      </c>
      <c r="C17" s="174">
        <v>0</v>
      </c>
      <c r="D17" s="226">
        <v>0.17</v>
      </c>
      <c r="E17" s="226">
        <v>1.98</v>
      </c>
      <c r="F17" s="226">
        <v>1.57</v>
      </c>
      <c r="G17" s="226">
        <v>0.08</v>
      </c>
      <c r="H17" s="226">
        <v>1.24</v>
      </c>
      <c r="I17" s="226">
        <v>0.25</v>
      </c>
      <c r="J17" s="226">
        <v>0.43</v>
      </c>
      <c r="K17" s="226">
        <v>0.71</v>
      </c>
      <c r="L17" s="226">
        <v>0.65</v>
      </c>
      <c r="M17" s="175" t="str">
        <f t="shared" si="0"/>
        <v>Retail</v>
      </c>
      <c r="N17" s="175" t="str">
        <f t="shared" si="1"/>
        <v>n=52</v>
      </c>
    </row>
    <row r="18" spans="2:14" x14ac:dyDescent="0.2">
      <c r="B18" s="173" t="s">
        <v>627</v>
      </c>
      <c r="C18" s="174">
        <v>0</v>
      </c>
      <c r="D18" s="226">
        <v>7.0000000000000007E-2</v>
      </c>
      <c r="E18" s="226">
        <v>0.28999999999999998</v>
      </c>
      <c r="F18" s="226">
        <v>1.33</v>
      </c>
      <c r="G18" s="226">
        <v>0.12</v>
      </c>
      <c r="H18" s="226">
        <v>0.7</v>
      </c>
      <c r="I18" s="226">
        <v>0</v>
      </c>
      <c r="J18" s="226">
        <v>0.43</v>
      </c>
      <c r="K18" s="226">
        <v>0.38</v>
      </c>
      <c r="L18" s="226">
        <v>0.38</v>
      </c>
      <c r="M18" s="175" t="str">
        <f t="shared" si="0"/>
        <v>Warehouse</v>
      </c>
      <c r="N18" s="175" t="str">
        <f t="shared" si="1"/>
        <v>n=42</v>
      </c>
    </row>
    <row r="19" spans="2:14" x14ac:dyDescent="0.2">
      <c r="B19" s="173"/>
      <c r="C19" s="174"/>
      <c r="D19" s="176"/>
      <c r="E19" s="176"/>
      <c r="F19" s="176"/>
      <c r="G19" s="176"/>
      <c r="H19" s="176"/>
      <c r="I19" s="176"/>
      <c r="J19" s="176"/>
      <c r="K19" s="176"/>
      <c r="L19" s="176"/>
      <c r="M19" s="177"/>
      <c r="N19" s="177"/>
    </row>
    <row r="20" spans="2:14" x14ac:dyDescent="0.2">
      <c r="B20" s="173" t="s">
        <v>628</v>
      </c>
      <c r="C20" s="174">
        <v>-0.09</v>
      </c>
      <c r="D20" s="174">
        <v>0.26</v>
      </c>
      <c r="E20" s="174">
        <v>2.41</v>
      </c>
      <c r="F20" s="174">
        <v>1.49</v>
      </c>
      <c r="G20" s="174">
        <v>0.15</v>
      </c>
      <c r="H20" s="174">
        <v>1.39</v>
      </c>
      <c r="I20" s="174">
        <v>0.3</v>
      </c>
      <c r="J20" s="174">
        <v>1.35</v>
      </c>
      <c r="K20" s="174">
        <v>0.85</v>
      </c>
      <c r="L20" s="174">
        <v>1.31</v>
      </c>
      <c r="M20" s="175" t="str">
        <f>LEFT(B20,FIND(" (",B20,1)-1)</f>
        <v>Small</v>
      </c>
      <c r="N20" s="175" t="str">
        <f t="shared" si="1"/>
        <v>n=382</v>
      </c>
    </row>
    <row r="21" spans="2:14" x14ac:dyDescent="0.2">
      <c r="B21" s="173" t="s">
        <v>629</v>
      </c>
      <c r="C21" s="174">
        <v>-1.1100000000000001</v>
      </c>
      <c r="D21" s="174">
        <v>0.34</v>
      </c>
      <c r="E21" s="174">
        <v>6.92</v>
      </c>
      <c r="F21" s="174">
        <v>2.2999999999999998</v>
      </c>
      <c r="G21" s="174">
        <v>0.5</v>
      </c>
      <c r="H21" s="174">
        <v>2.38</v>
      </c>
      <c r="I21" s="174">
        <v>0.12</v>
      </c>
      <c r="J21" s="174">
        <v>0.95</v>
      </c>
      <c r="K21" s="174">
        <v>1.46</v>
      </c>
      <c r="L21" s="174">
        <v>27.77</v>
      </c>
      <c r="M21" s="175" t="str">
        <f>LEFT(B21,FIND(" (",B21,1)-1)</f>
        <v>Large</v>
      </c>
      <c r="N21" s="175" t="str">
        <f t="shared" si="1"/>
        <v>n=111</v>
      </c>
    </row>
    <row r="24" spans="2:14" ht="12.6" customHeight="1" x14ac:dyDescent="0.2"/>
    <row r="28" spans="2:14" ht="13.15" customHeight="1" x14ac:dyDescent="0.2"/>
    <row r="29" spans="2:14" ht="28.9" customHeight="1" x14ac:dyDescent="0.2"/>
  </sheetData>
  <mergeCells count="1">
    <mergeCell ref="B5:N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8CBF3-E6A3-4625-B552-7CDD0933E31E}">
  <sheetPr codeName="Sheet4">
    <tabColor rgb="FF7030A0"/>
  </sheetPr>
  <dimension ref="A2:BF2228"/>
  <sheetViews>
    <sheetView workbookViewId="0">
      <selection activeCell="K26" sqref="K26"/>
    </sheetView>
  </sheetViews>
  <sheetFormatPr defaultColWidth="8.85546875" defaultRowHeight="15" x14ac:dyDescent="0.25"/>
  <cols>
    <col min="1" max="1" width="2.7109375" style="28" customWidth="1"/>
    <col min="2" max="2" width="21.85546875" style="28" customWidth="1"/>
    <col min="3" max="3" width="17.5703125" style="28" customWidth="1"/>
    <col min="4" max="4" width="29.7109375" style="28" customWidth="1"/>
    <col min="5" max="5" width="2.7109375" style="28" customWidth="1"/>
    <col min="6" max="6" width="28.5703125" style="28" customWidth="1"/>
    <col min="7" max="8" width="25.28515625" style="28" customWidth="1"/>
    <col min="9" max="9" width="24" style="28" customWidth="1"/>
    <col min="10" max="10" width="2.7109375" style="28" customWidth="1"/>
    <col min="11" max="11" width="15.5703125" style="28" bestFit="1" customWidth="1"/>
    <col min="12" max="12" width="2.7109375" style="28" customWidth="1"/>
    <col min="13" max="13" width="16.5703125" style="28" customWidth="1"/>
    <col min="14" max="14" width="2.7109375" style="28" customWidth="1"/>
    <col min="15" max="16" width="8.85546875" style="28" customWidth="1"/>
    <col min="17" max="17" width="12.140625" style="28" customWidth="1"/>
    <col min="18" max="18" width="2.7109375" style="28" customWidth="1"/>
    <col min="19" max="19" width="13.85546875" style="28" customWidth="1"/>
    <col min="20" max="20" width="2.7109375" style="28" customWidth="1"/>
    <col min="21" max="21" width="51.42578125" style="28" customWidth="1"/>
    <col min="22" max="22" width="2.7109375" style="28" customWidth="1"/>
    <col min="23" max="23" width="42.28515625" style="72" customWidth="1"/>
    <col min="24" max="24" width="10.28515625" style="72" customWidth="1"/>
    <col min="25" max="25" width="2.7109375" style="28" customWidth="1"/>
    <col min="26" max="26" width="15.140625" style="28" customWidth="1"/>
    <col min="27" max="27" width="2.7109375" style="28" customWidth="1"/>
    <col min="28" max="28" width="15.140625" style="28" customWidth="1"/>
    <col min="29" max="29" width="2.7109375" style="28" customWidth="1"/>
    <col min="30" max="30" width="47.7109375" style="28" customWidth="1"/>
    <col min="31" max="31" width="10.28515625" style="28" customWidth="1"/>
    <col min="32" max="32" width="2.7109375" style="28" customWidth="1"/>
    <col min="33" max="33" width="15.140625" style="28" customWidth="1"/>
    <col min="34" max="34" width="2.7109375" style="28" customWidth="1"/>
    <col min="35" max="35" width="8.85546875" style="28"/>
    <col min="36" max="36" width="2.7109375" style="28" customWidth="1"/>
    <col min="37" max="37" width="33.140625" style="28" customWidth="1"/>
    <col min="38" max="38" width="2.7109375" style="28" customWidth="1"/>
    <col min="39" max="39" width="31.28515625" style="28" customWidth="1"/>
    <col min="40" max="40" width="2.7109375" style="28" customWidth="1"/>
    <col min="41" max="41" width="12.28515625" style="28" customWidth="1"/>
    <col min="42" max="16384" width="8.85546875" style="28"/>
  </cols>
  <sheetData>
    <row r="2" spans="1:58" s="21" customFormat="1" ht="22.5" x14ac:dyDescent="0.35">
      <c r="A2" s="17"/>
      <c r="B2" s="18" t="s">
        <v>630</v>
      </c>
      <c r="C2" s="19"/>
      <c r="D2" s="19"/>
      <c r="E2" s="19"/>
      <c r="F2" s="19"/>
      <c r="G2" s="19"/>
      <c r="H2" s="19"/>
      <c r="I2" s="19"/>
      <c r="J2" s="19"/>
      <c r="O2" s="19"/>
      <c r="P2" s="19"/>
      <c r="Q2" s="19"/>
      <c r="R2" s="19"/>
      <c r="S2" s="19"/>
      <c r="T2" s="19"/>
      <c r="U2" s="19"/>
      <c r="V2" s="19"/>
      <c r="Y2" s="19"/>
      <c r="Z2" s="19"/>
      <c r="AA2" s="19"/>
      <c r="AB2" s="19"/>
      <c r="AC2" s="19"/>
      <c r="AD2" s="19"/>
      <c r="AE2" s="19"/>
      <c r="AF2" s="19"/>
      <c r="AG2" s="19"/>
      <c r="AH2" s="19"/>
      <c r="AI2" s="19"/>
      <c r="AJ2" s="19"/>
      <c r="AK2" s="19"/>
      <c r="AL2" s="19"/>
      <c r="AM2" s="19"/>
      <c r="AN2" s="19"/>
      <c r="AO2" s="19"/>
      <c r="AP2" s="20"/>
    </row>
    <row r="3" spans="1:58" s="25" customFormat="1" ht="17.25" x14ac:dyDescent="0.25">
      <c r="A3" s="22"/>
      <c r="B3" s="23" t="s">
        <v>631</v>
      </c>
      <c r="C3" s="24"/>
      <c r="D3" s="24"/>
      <c r="E3" s="24"/>
      <c r="F3" s="24"/>
      <c r="G3" s="24"/>
      <c r="H3" s="24"/>
      <c r="I3" s="24"/>
      <c r="J3" s="24"/>
      <c r="AT3" s="24"/>
      <c r="AU3" s="24"/>
      <c r="AV3" s="24"/>
      <c r="AW3" s="24"/>
      <c r="AX3" s="24"/>
      <c r="AY3" s="24"/>
      <c r="AZ3" s="24"/>
      <c r="BA3" s="24"/>
      <c r="BB3" s="24"/>
      <c r="BC3" s="24"/>
      <c r="BD3" s="24"/>
      <c r="BE3" s="24"/>
      <c r="BF3" s="24"/>
    </row>
    <row r="6" spans="1:58" ht="45" x14ac:dyDescent="0.25">
      <c r="A6" s="73"/>
      <c r="B6" s="43" t="s">
        <v>632</v>
      </c>
      <c r="C6" s="43" t="s">
        <v>633</v>
      </c>
      <c r="D6" s="43" t="s">
        <v>634</v>
      </c>
      <c r="E6" s="73"/>
      <c r="F6" s="43" t="s">
        <v>635</v>
      </c>
      <c r="G6" s="178" t="s">
        <v>636</v>
      </c>
      <c r="H6" s="178" t="s">
        <v>637</v>
      </c>
      <c r="I6" s="43" t="s">
        <v>638</v>
      </c>
      <c r="J6" s="73"/>
      <c r="K6" s="43" t="s">
        <v>639</v>
      </c>
      <c r="L6" s="73"/>
      <c r="M6" s="43" t="s">
        <v>640</v>
      </c>
      <c r="N6" s="73"/>
      <c r="O6" s="43" t="s">
        <v>641</v>
      </c>
      <c r="P6" s="153" t="s">
        <v>642</v>
      </c>
      <c r="Q6" s="43" t="s">
        <v>643</v>
      </c>
      <c r="S6" s="43" t="s">
        <v>644</v>
      </c>
      <c r="U6" s="43" t="str">
        <f>'CBECS Elec'!B238</f>
        <v>Cooling equipment 
(more than one may apply)</v>
      </c>
      <c r="W6" s="43" t="s">
        <v>645</v>
      </c>
      <c r="X6" s="43" t="s">
        <v>646</v>
      </c>
      <c r="Z6" s="43" t="str">
        <f>'CBECS Elec'!B212</f>
        <v>Percentage of floorspace cooled</v>
      </c>
      <c r="AB6" s="43" t="s">
        <v>647</v>
      </c>
      <c r="AD6" s="43" t="s">
        <v>645</v>
      </c>
      <c r="AE6" s="43" t="s">
        <v>646</v>
      </c>
      <c r="AG6" s="43" t="str">
        <f>'CBECS Elec'!B207</f>
        <v>Percentage of floorspace heated</v>
      </c>
      <c r="AI6" s="43" t="s">
        <v>648</v>
      </c>
      <c r="AK6" s="43" t="str">
        <f>'CBECS Elec'!B284</f>
        <v>Office equipment
(more than one may apply)</v>
      </c>
      <c r="AM6" s="43" t="str">
        <f>'CBECS Elec'!B301</f>
        <v>Separate computer areas
(more than one may apply)</v>
      </c>
      <c r="AO6" s="43" t="s">
        <v>649</v>
      </c>
    </row>
    <row r="7" spans="1:58" x14ac:dyDescent="0.25">
      <c r="B7" s="44" t="s">
        <v>169</v>
      </c>
      <c r="C7" s="44" t="s">
        <v>81</v>
      </c>
      <c r="D7" s="44" t="s">
        <v>650</v>
      </c>
      <c r="F7" s="101" t="s">
        <v>651</v>
      </c>
      <c r="G7" s="101" t="s">
        <v>210</v>
      </c>
      <c r="H7" s="101" t="s">
        <v>210</v>
      </c>
      <c r="I7" s="180" t="s">
        <v>606</v>
      </c>
      <c r="K7" s="44" t="s">
        <v>652</v>
      </c>
      <c r="M7" s="74" t="s">
        <v>18</v>
      </c>
      <c r="O7" s="1">
        <v>15001</v>
      </c>
      <c r="P7" s="3" t="s">
        <v>653</v>
      </c>
      <c r="Q7" s="1" t="s">
        <v>654</v>
      </c>
      <c r="S7" s="151">
        <v>0</v>
      </c>
      <c r="U7" s="1" t="str">
        <f ca="1">OFFSET('CBECS Elec'!$B$5,MATCH($U$6,'CBECS Elec'!$B:$B,0)+ROW(U7)-ROW($U$7),0,1,1)</f>
        <v>Central chillers</v>
      </c>
      <c r="W7" s="75" t="s">
        <v>655</v>
      </c>
      <c r="X7" s="76">
        <f>7.7/3.412</f>
        <v>2.2567409144196953</v>
      </c>
      <c r="Z7" s="1" t="str">
        <f ca="1">OFFSET('CBECS Elec'!$B$5,MATCH($Z$6,'CBECS Elec'!$B:$B,0)+ROW(Z7)-ROW($Z$7),0,1,1)</f>
        <v>Percentage lit when open</v>
      </c>
      <c r="AB7" s="151">
        <v>0</v>
      </c>
      <c r="AD7" s="5" t="s">
        <v>656</v>
      </c>
      <c r="AE7" s="4">
        <v>0.8</v>
      </c>
      <c r="AG7" s="1" t="str">
        <f ca="1">OFFSET('CBECS Elec'!$B$5,MATCH($AG$6,'CBECS Elec'!$B:$B,0)+ROW(AG7)-ROW($AG$7),0,1,1)</f>
        <v>Percentage of floorspace cooled</v>
      </c>
      <c r="AI7" s="152">
        <v>0.95</v>
      </c>
      <c r="AK7" s="1" t="str">
        <f ca="1">OFFSET('CBECS Elec'!$B$5,MATCH($AK$6,'CBECS Elec'!$B:$B,0)+ROW(AK7)-ROW($AK$7),0,1,1)</f>
        <v>Tablets charged in building</v>
      </c>
      <c r="AM7" s="1" t="s">
        <v>657</v>
      </c>
      <c r="AO7" s="152">
        <v>1.0389999999999999</v>
      </c>
    </row>
    <row r="8" spans="1:58" ht="30" x14ac:dyDescent="0.25">
      <c r="B8" s="44" t="s">
        <v>139</v>
      </c>
      <c r="C8" s="44" t="s">
        <v>82</v>
      </c>
      <c r="D8" s="44" t="s">
        <v>658</v>
      </c>
      <c r="F8" s="101" t="s">
        <v>659</v>
      </c>
      <c r="G8" s="101" t="s">
        <v>210</v>
      </c>
      <c r="H8" s="101" t="s">
        <v>210</v>
      </c>
      <c r="I8" s="180" t="s">
        <v>610</v>
      </c>
      <c r="K8" s="44" t="s">
        <v>660</v>
      </c>
      <c r="M8" s="74" t="s">
        <v>661</v>
      </c>
      <c r="O8" s="1">
        <v>15003</v>
      </c>
      <c r="P8" s="3" t="s">
        <v>653</v>
      </c>
      <c r="Q8" s="1" t="s">
        <v>654</v>
      </c>
      <c r="S8" s="151">
        <v>0.1</v>
      </c>
      <c r="U8" s="1" t="str">
        <f ca="1">OFFSET('CBECS Elec'!$B$5,MATCH($U$6,'CBECS Elec'!$B:$B,0)+ROW(U8)-ROW($U$7),0,1,1)</f>
        <v>Packaged air conditioning units</v>
      </c>
      <c r="W8" s="75" t="s">
        <v>662</v>
      </c>
      <c r="X8" s="76">
        <v>1</v>
      </c>
      <c r="Z8" s="1" t="str">
        <f ca="1">OFFSET('CBECS Elec'!$B$5,MATCH($Z$6,'CBECS Elec'!$B:$B,0)+ROW(Z8)-ROW($Z$7),0,1,1)</f>
        <v>0%</v>
      </c>
      <c r="AB8" s="151" t="s">
        <v>663</v>
      </c>
      <c r="AD8" s="5" t="s">
        <v>40</v>
      </c>
      <c r="AE8" s="4">
        <v>0.8</v>
      </c>
      <c r="AG8" s="1" t="str">
        <f ca="1">OFFSET('CBECS Elec'!$B$5,MATCH($AG$6,'CBECS Elec'!$B:$B,0)+ROW(AG8)-ROW($AG$7),0,1,1)</f>
        <v>Not cooled</v>
      </c>
      <c r="AK8" s="1" t="str">
        <f ca="1">OFFSET('CBECS Elec'!$B$5,MATCH($AK$6,'CBECS Elec'!$B:$B,0)+ROW(AK8)-ROW($AK$7),0,1,1)</f>
        <v>Large floor-standing office devices</v>
      </c>
      <c r="AM8" s="1" t="str">
        <f ca="1">OFFSET('CBECS Elec'!$B$5,MATCH($AM$6,'CBECS Elec'!$B:$B,0)+ROW(AM8)-ROW($AM$8),0,1,1)</f>
        <v>Window and interior lighting 
features (more than one may
apply)</v>
      </c>
    </row>
    <row r="9" spans="1:58" ht="30" x14ac:dyDescent="0.25">
      <c r="B9" s="44" t="s">
        <v>83</v>
      </c>
      <c r="C9" s="44" t="s">
        <v>83</v>
      </c>
      <c r="D9" s="44" t="s">
        <v>664</v>
      </c>
      <c r="F9" s="101" t="s">
        <v>665</v>
      </c>
      <c r="G9" s="101" t="s">
        <v>212</v>
      </c>
      <c r="H9" s="101" t="s">
        <v>666</v>
      </c>
      <c r="I9" s="180" t="s">
        <v>600</v>
      </c>
      <c r="K9" s="44" t="s">
        <v>667</v>
      </c>
      <c r="M9" s="74" t="s">
        <v>668</v>
      </c>
      <c r="O9" s="1">
        <v>15004</v>
      </c>
      <c r="P9" s="3" t="s">
        <v>653</v>
      </c>
      <c r="Q9" s="1" t="s">
        <v>654</v>
      </c>
      <c r="S9" s="151">
        <f>S8+0.1</f>
        <v>0.2</v>
      </c>
      <c r="U9" s="1" t="str">
        <f ca="1">OFFSET('CBECS Elec'!$B$5,MATCH($U$6,'CBECS Elec'!$B:$B,0)+ROW(U9)-ROW($U$7),0,1,1)</f>
        <v>Swamp coolers</v>
      </c>
      <c r="W9" s="75" t="s">
        <v>669</v>
      </c>
      <c r="X9" s="76">
        <f>10.5/3.412</f>
        <v>3.0773739742086752</v>
      </c>
      <c r="Z9" s="1" t="str">
        <f ca="1">OFFSET('CBECS Elec'!$B$5,MATCH($Z$6,'CBECS Elec'!$B:$B,0)+ROW(Z9)-ROW($Z$7),0,1,1)</f>
        <v>1% to 50%</v>
      </c>
      <c r="AB9" s="151">
        <v>0.1</v>
      </c>
      <c r="AD9" s="5" t="s">
        <v>670</v>
      </c>
      <c r="AE9" s="1">
        <f>1000000000000</f>
        <v>1000000000000</v>
      </c>
      <c r="AG9" s="1" t="str">
        <f ca="1">OFFSET('CBECS Elec'!$B$5,MATCH($AG$6,'CBECS Elec'!$B:$B,0)+ROW(AG9)-ROW($AG$7),0,1,1)</f>
        <v>1% to 50%</v>
      </c>
      <c r="AK9" s="1" t="str">
        <f ca="1">OFFSET('CBECS Elec'!$B$5,MATCH($AK$6,'CBECS Elec'!$B:$B,0)+ROW(AK9)-ROW($AK$7),0,1,1)</f>
        <v>Smaller desktop office devices</v>
      </c>
      <c r="AM9" s="1" t="str">
        <f ca="1">OFFSET('CBECS Elec'!$B$5,MATCH($AM$6,'CBECS Elec'!$B:$B,0)+ROW(AM9)-ROW($AM$8),0,1,1)</f>
        <v>Multipaned windows</v>
      </c>
    </row>
    <row r="10" spans="1:58" x14ac:dyDescent="0.25">
      <c r="B10" s="44" t="s">
        <v>140</v>
      </c>
      <c r="C10" s="44" t="s">
        <v>84</v>
      </c>
      <c r="D10" s="44" t="s">
        <v>671</v>
      </c>
      <c r="F10" s="101" t="s">
        <v>672</v>
      </c>
      <c r="G10" s="101" t="s">
        <v>212</v>
      </c>
      <c r="H10" s="101" t="s">
        <v>666</v>
      </c>
      <c r="I10" s="180" t="s">
        <v>607</v>
      </c>
      <c r="K10" s="44" t="s">
        <v>673</v>
      </c>
      <c r="M10" s="74" t="s">
        <v>674</v>
      </c>
      <c r="O10" s="1">
        <v>15005</v>
      </c>
      <c r="P10" s="3" t="s">
        <v>653</v>
      </c>
      <c r="Q10" s="1" t="s">
        <v>654</v>
      </c>
      <c r="S10" s="151">
        <f t="shared" ref="S10:S17" si="0">S9+0.1</f>
        <v>0.30000000000000004</v>
      </c>
      <c r="U10" s="1" t="str">
        <f ca="1">OFFSET('CBECS Elec'!$B$5,MATCH($U$6,'CBECS Elec'!$B:$B,0)+ROW(U10)-ROW($U$7),0,1,1)</f>
        <v>Other</v>
      </c>
      <c r="W10" s="75" t="s">
        <v>43</v>
      </c>
      <c r="X10" s="76">
        <v>3.5</v>
      </c>
      <c r="Z10" s="1" t="str">
        <f ca="1">OFFSET('CBECS Elec'!$B$5,MATCH($Z$6,'CBECS Elec'!$B:$B,0)+ROW(Z10)-ROW($Z$7),0,1,1)</f>
        <v>51% to 99%</v>
      </c>
      <c r="AB10" s="151">
        <f>AB9+0.1</f>
        <v>0.2</v>
      </c>
      <c r="AD10" s="5" t="s">
        <v>657</v>
      </c>
      <c r="AE10" s="1">
        <f>1000000000000</f>
        <v>1000000000000</v>
      </c>
      <c r="AG10" s="1" t="str">
        <f ca="1">OFFSET('CBECS Elec'!$B$5,MATCH($AG$6,'CBECS Elec'!$B:$B,0)+ROW(AG10)-ROW($AG$7),0,1,1)</f>
        <v>51% to 99%</v>
      </c>
      <c r="AK10" s="1" t="str">
        <f ca="1">OFFSET('CBECS Elec'!$B$5,MATCH($AK$6,'CBECS Elec'!$B:$B,0)+ROW(AK10)-ROW($AK$7),0,1,1)</f>
        <v>Interactive whiteboards</v>
      </c>
      <c r="AM10" s="1" t="str">
        <f ca="1">OFFSET('CBECS Elec'!$B$5,MATCH($AM$6,'CBECS Elec'!$B:$B,0)+ROW(AM10)-ROW($AM$8),0,1,1)</f>
        <v>Tinted window glass</v>
      </c>
    </row>
    <row r="11" spans="1:58" x14ac:dyDescent="0.25">
      <c r="B11" s="44" t="s">
        <v>85</v>
      </c>
      <c r="C11" s="44" t="s">
        <v>85</v>
      </c>
      <c r="D11" s="44" t="s">
        <v>675</v>
      </c>
      <c r="F11" s="101" t="s">
        <v>676</v>
      </c>
      <c r="G11" s="101" t="s">
        <v>214</v>
      </c>
      <c r="H11" s="101" t="s">
        <v>179</v>
      </c>
      <c r="I11" s="180" t="s">
        <v>601</v>
      </c>
      <c r="K11" s="44" t="s">
        <v>677</v>
      </c>
      <c r="M11" s="74" t="s">
        <v>678</v>
      </c>
      <c r="O11" s="1">
        <v>15006</v>
      </c>
      <c r="P11" s="3" t="s">
        <v>653</v>
      </c>
      <c r="Q11" s="1" t="s">
        <v>654</v>
      </c>
      <c r="S11" s="151">
        <f t="shared" si="0"/>
        <v>0.4</v>
      </c>
      <c r="U11" s="1" t="str">
        <f ca="1">OFFSET('CBECS Elec'!$B$5,MATCH($U$6,'CBECS Elec'!$B:$B,0)+ROW(U11)-ROW($U$7),0,1,1)</f>
        <v>HVAC features 
(more than one may apply)</v>
      </c>
      <c r="W11" s="75" t="s">
        <v>679</v>
      </c>
      <c r="X11" s="76">
        <v>15</v>
      </c>
      <c r="AB11" s="151">
        <f t="shared" ref="AB11:AB18" si="1">AB10+0.1</f>
        <v>0.30000000000000004</v>
      </c>
      <c r="AK11" s="1" t="str">
        <f ca="1">OFFSET('CBECS Elec'!$B$5,MATCH($AK$6,'CBECS Elec'!$B:$B,0)+ROW(AK11)-ROW($AK$7),0,1,1)</f>
        <v>Televisions or video displays</v>
      </c>
      <c r="AM11" s="1" t="str">
        <f ca="1">OFFSET('CBECS Elec'!$B$5,MATCH($AM$6,'CBECS Elec'!$B:$B,0)+ROW(AM11)-ROW($AM$8),0,1,1)</f>
        <v>Reflective window glass</v>
      </c>
    </row>
    <row r="12" spans="1:58" x14ac:dyDescent="0.25">
      <c r="B12" s="44" t="s">
        <v>86</v>
      </c>
      <c r="C12" s="44" t="s">
        <v>86</v>
      </c>
      <c r="D12" s="44" t="s">
        <v>680</v>
      </c>
      <c r="F12" s="101" t="s">
        <v>681</v>
      </c>
      <c r="G12" s="101" t="s">
        <v>215</v>
      </c>
      <c r="H12" s="101" t="s">
        <v>180</v>
      </c>
      <c r="I12" s="180" t="s">
        <v>605</v>
      </c>
      <c r="K12" s="44" t="s">
        <v>682</v>
      </c>
      <c r="M12" s="74" t="s">
        <v>683</v>
      </c>
      <c r="O12" s="1">
        <v>15007</v>
      </c>
      <c r="P12" s="3" t="s">
        <v>653</v>
      </c>
      <c r="Q12" s="1" t="s">
        <v>654</v>
      </c>
      <c r="S12" s="151">
        <f t="shared" si="0"/>
        <v>0.5</v>
      </c>
      <c r="U12" s="1" t="str">
        <f ca="1">OFFSET('CBECS Elec'!$B$5,MATCH($U$6,'CBECS Elec'!$B:$B,0)+ROW(U12)-ROW($U$7),0,1,1)</f>
        <v>Economizer cycle</v>
      </c>
      <c r="W12" s="75" t="s">
        <v>657</v>
      </c>
      <c r="X12" s="77">
        <f>1000000000000</f>
        <v>1000000000000</v>
      </c>
      <c r="AB12" s="151">
        <f t="shared" si="1"/>
        <v>0.4</v>
      </c>
      <c r="AK12" s="1" t="str">
        <f ca="1">OFFSET('CBECS Elec'!$B$5,MATCH($AK$6,'CBECS Elec'!$B:$B,0)+ROW(AK12)-ROW($AK$7),0,1,1)</f>
        <v>Point-of-sale devices or cash 
registers</v>
      </c>
    </row>
    <row r="13" spans="1:58" x14ac:dyDescent="0.25">
      <c r="B13" s="44" t="s">
        <v>51</v>
      </c>
      <c r="C13" s="44" t="s">
        <v>51</v>
      </c>
      <c r="D13" s="44" t="s">
        <v>684</v>
      </c>
      <c r="F13" s="101" t="s">
        <v>25</v>
      </c>
      <c r="G13" s="101" t="s">
        <v>213</v>
      </c>
      <c r="H13" s="101" t="s">
        <v>685</v>
      </c>
      <c r="I13" s="180" t="s">
        <v>605</v>
      </c>
      <c r="K13" s="44" t="s">
        <v>654</v>
      </c>
      <c r="M13" s="74" t="s">
        <v>686</v>
      </c>
      <c r="O13" s="1">
        <v>15009</v>
      </c>
      <c r="P13" s="3" t="s">
        <v>653</v>
      </c>
      <c r="Q13" s="1" t="s">
        <v>654</v>
      </c>
      <c r="S13" s="151">
        <f t="shared" si="0"/>
        <v>0.6</v>
      </c>
      <c r="U13" s="1" t="str">
        <f ca="1">OFFSET('CBECS Elec'!$B$5,MATCH($U$6,'CBECS Elec'!$B:$B,0)+ROW(U13)-ROW($U$7),0,1,1)</f>
        <v>Variable air volume (VAV) system</v>
      </c>
      <c r="AB13" s="151">
        <f t="shared" si="1"/>
        <v>0.5</v>
      </c>
      <c r="AK13" s="1" t="str">
        <f ca="1">OFFSET('CBECS Elec'!$B$5,MATCH($AK$6,'CBECS Elec'!$B:$B,0)+ROW(AK13)-ROW($AK$7),0,1,1)</f>
        <v>Food preparation or serving areas 
in non-food service buildings
(more than one may apply)</v>
      </c>
    </row>
    <row r="14" spans="1:58" x14ac:dyDescent="0.25">
      <c r="B14" s="44" t="s">
        <v>87</v>
      </c>
      <c r="C14" s="44" t="s">
        <v>87</v>
      </c>
      <c r="D14" s="44" t="s">
        <v>680</v>
      </c>
      <c r="F14" s="101" t="s">
        <v>687</v>
      </c>
      <c r="G14" s="101" t="s">
        <v>226</v>
      </c>
      <c r="H14" s="101" t="s">
        <v>688</v>
      </c>
      <c r="I14" s="180" t="s">
        <v>613</v>
      </c>
      <c r="K14" s="44" t="s">
        <v>689</v>
      </c>
      <c r="O14" s="1">
        <v>15010</v>
      </c>
      <c r="P14" s="3" t="s">
        <v>653</v>
      </c>
      <c r="Q14" s="1" t="s">
        <v>654</v>
      </c>
      <c r="S14" s="151">
        <f t="shared" si="0"/>
        <v>0.7</v>
      </c>
      <c r="U14" s="1" t="str">
        <f ca="1">OFFSET('CBECS Elec'!$B$5,MATCH($U$6,'CBECS Elec'!$B:$B,0)+ROW(U14)-ROW($U$7),0,1,1)</f>
        <v>Dedicated outside air system (DOAS)</v>
      </c>
      <c r="AB14" s="151">
        <f t="shared" si="1"/>
        <v>0.6</v>
      </c>
      <c r="AK14" s="1" t="str">
        <f ca="1">OFFSET('CBECS Elec'!$B$5,MATCH($AK$6,'CBECS Elec'!$B:$B,0)+ROW(AK14)-ROW($AK$7),0,1,1)</f>
        <v>Snack bar, concession stand, or coffee shop</v>
      </c>
    </row>
    <row r="15" spans="1:58" x14ac:dyDescent="0.25">
      <c r="B15" s="44" t="s">
        <v>170</v>
      </c>
      <c r="C15" s="44" t="s">
        <v>170</v>
      </c>
      <c r="D15" s="44" t="s">
        <v>680</v>
      </c>
      <c r="F15" s="101" t="s">
        <v>690</v>
      </c>
      <c r="G15" s="101" t="s">
        <v>222</v>
      </c>
      <c r="H15" s="101" t="s">
        <v>691</v>
      </c>
      <c r="I15" s="180" t="s">
        <v>604</v>
      </c>
      <c r="K15" s="44" t="s">
        <v>692</v>
      </c>
      <c r="O15" s="1">
        <v>15012</v>
      </c>
      <c r="P15" s="3" t="s">
        <v>653</v>
      </c>
      <c r="Q15" s="1" t="s">
        <v>654</v>
      </c>
      <c r="S15" s="151">
        <f t="shared" si="0"/>
        <v>0.79999999999999993</v>
      </c>
      <c r="AB15" s="151">
        <f t="shared" si="1"/>
        <v>0.7</v>
      </c>
      <c r="AK15" s="1" t="str">
        <f ca="1">OFFSET('CBECS Elec'!$B$5,MATCH($AK$6,'CBECS Elec'!$B:$B,0)+ROW(AK15)-ROW($AK$7),0,1,1)</f>
        <v>Fast food or small restaurant</v>
      </c>
    </row>
    <row r="16" spans="1:58" x14ac:dyDescent="0.25">
      <c r="B16" s="44" t="s">
        <v>88</v>
      </c>
      <c r="C16" s="44" t="s">
        <v>88</v>
      </c>
      <c r="D16" s="44" t="s">
        <v>680</v>
      </c>
      <c r="F16" s="101" t="s">
        <v>693</v>
      </c>
      <c r="G16" s="101" t="s">
        <v>216</v>
      </c>
      <c r="H16" s="101" t="s">
        <v>694</v>
      </c>
      <c r="I16" s="180" t="s">
        <v>602</v>
      </c>
      <c r="O16" s="1">
        <v>15014</v>
      </c>
      <c r="P16" s="3" t="s">
        <v>653</v>
      </c>
      <c r="Q16" s="1" t="s">
        <v>654</v>
      </c>
      <c r="S16" s="151">
        <f t="shared" si="0"/>
        <v>0.89999999999999991</v>
      </c>
      <c r="AB16" s="151">
        <f t="shared" si="1"/>
        <v>0.79999999999999993</v>
      </c>
      <c r="AK16" s="1" t="str">
        <f ca="1">OFFSET('CBECS Elec'!$B$5,MATCH($AK$6,'CBECS Elec'!$B:$B,0)+ROW(AK16)-ROW($AK$7),0,1,1)</f>
        <v>Cafeteria or large restaurant</v>
      </c>
    </row>
    <row r="17" spans="2:28" x14ac:dyDescent="0.25">
      <c r="B17" s="44" t="s">
        <v>171</v>
      </c>
      <c r="C17" s="44" t="s">
        <v>89</v>
      </c>
      <c r="D17" s="44" t="s">
        <v>680</v>
      </c>
      <c r="F17" s="101" t="s">
        <v>695</v>
      </c>
      <c r="G17" s="101" t="s">
        <v>216</v>
      </c>
      <c r="H17" s="101" t="s">
        <v>694</v>
      </c>
      <c r="I17" s="180" t="s">
        <v>611</v>
      </c>
      <c r="O17" s="1">
        <v>15015</v>
      </c>
      <c r="P17" s="3" t="s">
        <v>653</v>
      </c>
      <c r="Q17" s="1" t="s">
        <v>654</v>
      </c>
      <c r="S17" s="151">
        <f t="shared" si="0"/>
        <v>0.99999999999999989</v>
      </c>
      <c r="AB17" s="151">
        <f t="shared" si="1"/>
        <v>0.89999999999999991</v>
      </c>
    </row>
    <row r="18" spans="2:28" x14ac:dyDescent="0.25">
      <c r="F18" s="101" t="s">
        <v>696</v>
      </c>
      <c r="G18" s="101" t="s">
        <v>226</v>
      </c>
      <c r="H18" s="101" t="s">
        <v>697</v>
      </c>
      <c r="I18" s="180" t="s">
        <v>604</v>
      </c>
      <c r="O18" s="1">
        <v>15017</v>
      </c>
      <c r="P18" s="3" t="s">
        <v>653</v>
      </c>
      <c r="Q18" s="1" t="s">
        <v>654</v>
      </c>
      <c r="AB18" s="151">
        <f t="shared" si="1"/>
        <v>0.99999999999999989</v>
      </c>
    </row>
    <row r="19" spans="2:28" x14ac:dyDescent="0.25">
      <c r="F19" s="101" t="s">
        <v>698</v>
      </c>
      <c r="G19" s="101" t="s">
        <v>220</v>
      </c>
      <c r="H19" s="101" t="s">
        <v>699</v>
      </c>
      <c r="I19" s="180" t="s">
        <v>603</v>
      </c>
      <c r="O19" s="1">
        <v>15018</v>
      </c>
      <c r="P19" s="3" t="s">
        <v>653</v>
      </c>
      <c r="Q19" s="1" t="s">
        <v>654</v>
      </c>
    </row>
    <row r="20" spans="2:28" x14ac:dyDescent="0.25">
      <c r="F20" s="101" t="s">
        <v>700</v>
      </c>
      <c r="G20" s="101" t="s">
        <v>220</v>
      </c>
      <c r="H20" s="101" t="s">
        <v>699</v>
      </c>
      <c r="I20" s="180" t="s">
        <v>604</v>
      </c>
      <c r="O20" s="1">
        <v>15019</v>
      </c>
      <c r="P20" s="3" t="s">
        <v>653</v>
      </c>
      <c r="Q20" s="1" t="s">
        <v>654</v>
      </c>
    </row>
    <row r="21" spans="2:28" x14ac:dyDescent="0.25">
      <c r="F21" s="101" t="s">
        <v>701</v>
      </c>
      <c r="G21" s="101" t="s">
        <v>220</v>
      </c>
      <c r="H21" s="101" t="s">
        <v>699</v>
      </c>
      <c r="I21" s="180" t="s">
        <v>612</v>
      </c>
      <c r="O21" s="1">
        <v>15020</v>
      </c>
      <c r="P21" s="3" t="s">
        <v>653</v>
      </c>
      <c r="Q21" s="1" t="s">
        <v>654</v>
      </c>
    </row>
    <row r="22" spans="2:28" x14ac:dyDescent="0.25">
      <c r="F22" s="101" t="s">
        <v>702</v>
      </c>
      <c r="G22" s="101" t="s">
        <v>221</v>
      </c>
      <c r="H22" s="101" t="s">
        <v>703</v>
      </c>
      <c r="I22" s="180" t="s">
        <v>608</v>
      </c>
      <c r="O22" s="1">
        <v>15021</v>
      </c>
      <c r="P22" s="3" t="s">
        <v>653</v>
      </c>
      <c r="Q22" s="1" t="s">
        <v>654</v>
      </c>
    </row>
    <row r="23" spans="2:28" x14ac:dyDescent="0.25">
      <c r="F23" s="154" t="s">
        <v>704</v>
      </c>
      <c r="G23" s="101" t="s">
        <v>222</v>
      </c>
      <c r="H23" s="154" t="s">
        <v>691</v>
      </c>
      <c r="I23" s="180" t="s">
        <v>604</v>
      </c>
      <c r="O23" s="1">
        <v>15022</v>
      </c>
      <c r="P23" s="3" t="s">
        <v>653</v>
      </c>
      <c r="Q23" s="1" t="s">
        <v>654</v>
      </c>
    </row>
    <row r="24" spans="2:28" x14ac:dyDescent="0.25">
      <c r="F24" s="101" t="s">
        <v>705</v>
      </c>
      <c r="G24" s="101" t="s">
        <v>223</v>
      </c>
      <c r="H24" s="101" t="s">
        <v>706</v>
      </c>
      <c r="I24" s="180" t="s">
        <v>604</v>
      </c>
      <c r="O24" s="1">
        <v>15024</v>
      </c>
      <c r="P24" s="3" t="s">
        <v>653</v>
      </c>
      <c r="Q24" s="1" t="s">
        <v>654</v>
      </c>
    </row>
    <row r="25" spans="2:28" x14ac:dyDescent="0.25">
      <c r="F25" s="101" t="s">
        <v>703</v>
      </c>
      <c r="G25" s="101" t="s">
        <v>217</v>
      </c>
      <c r="H25" s="101" t="s">
        <v>703</v>
      </c>
      <c r="I25" s="180" t="s">
        <v>608</v>
      </c>
      <c r="O25" s="1">
        <v>15025</v>
      </c>
      <c r="P25" s="3" t="s">
        <v>653</v>
      </c>
      <c r="Q25" s="1" t="s">
        <v>654</v>
      </c>
    </row>
    <row r="26" spans="2:28" x14ac:dyDescent="0.25">
      <c r="F26" s="101" t="s">
        <v>707</v>
      </c>
      <c r="G26" s="101" t="s">
        <v>211</v>
      </c>
      <c r="H26" s="101" t="s">
        <v>708</v>
      </c>
      <c r="I26" s="180" t="s">
        <v>608</v>
      </c>
      <c r="O26" s="1">
        <v>15026</v>
      </c>
      <c r="P26" s="3" t="s">
        <v>653</v>
      </c>
      <c r="Q26" s="1" t="s">
        <v>654</v>
      </c>
    </row>
    <row r="27" spans="2:28" x14ac:dyDescent="0.25">
      <c r="F27" s="101" t="s">
        <v>709</v>
      </c>
      <c r="G27" s="101" t="s">
        <v>219</v>
      </c>
      <c r="H27" s="101" t="s">
        <v>219</v>
      </c>
      <c r="I27" s="180" t="s">
        <v>609</v>
      </c>
      <c r="O27" s="1">
        <v>15027</v>
      </c>
      <c r="P27" s="3" t="s">
        <v>653</v>
      </c>
      <c r="Q27" s="1" t="s">
        <v>654</v>
      </c>
    </row>
    <row r="28" spans="2:28" x14ac:dyDescent="0.25">
      <c r="F28" s="101" t="s">
        <v>710</v>
      </c>
      <c r="G28" s="101" t="s">
        <v>218</v>
      </c>
      <c r="H28" s="101" t="s">
        <v>218</v>
      </c>
      <c r="I28" s="180" t="s">
        <v>608</v>
      </c>
      <c r="O28" s="1">
        <v>15028</v>
      </c>
      <c r="P28" s="3" t="s">
        <v>653</v>
      </c>
      <c r="Q28" s="1" t="s">
        <v>654</v>
      </c>
    </row>
    <row r="29" spans="2:28" x14ac:dyDescent="0.25">
      <c r="F29" s="101" t="s">
        <v>224</v>
      </c>
      <c r="G29" s="101" t="s">
        <v>224</v>
      </c>
      <c r="H29" s="101" t="s">
        <v>697</v>
      </c>
      <c r="I29" s="180" t="s">
        <v>604</v>
      </c>
      <c r="O29" s="1">
        <v>15030</v>
      </c>
      <c r="P29" s="3" t="s">
        <v>653</v>
      </c>
      <c r="Q29" s="1" t="s">
        <v>654</v>
      </c>
    </row>
    <row r="30" spans="2:28" x14ac:dyDescent="0.25">
      <c r="F30" s="101" t="s">
        <v>711</v>
      </c>
      <c r="G30" s="101" t="s">
        <v>225</v>
      </c>
      <c r="H30" s="101" t="s">
        <v>613</v>
      </c>
      <c r="I30" s="180" t="s">
        <v>613</v>
      </c>
      <c r="O30" s="1">
        <v>15031</v>
      </c>
      <c r="P30" s="3" t="s">
        <v>653</v>
      </c>
      <c r="Q30" s="1" t="s">
        <v>654</v>
      </c>
    </row>
    <row r="31" spans="2:28" x14ac:dyDescent="0.25">
      <c r="O31" s="1">
        <v>15032</v>
      </c>
      <c r="P31" s="3" t="s">
        <v>653</v>
      </c>
      <c r="Q31" s="1" t="s">
        <v>654</v>
      </c>
    </row>
    <row r="32" spans="2:28" x14ac:dyDescent="0.25">
      <c r="O32" s="1">
        <v>15033</v>
      </c>
      <c r="P32" s="3" t="s">
        <v>653</v>
      </c>
      <c r="Q32" s="1" t="s">
        <v>654</v>
      </c>
    </row>
    <row r="33" spans="4:17" x14ac:dyDescent="0.25">
      <c r="O33" s="1">
        <v>15034</v>
      </c>
      <c r="P33" s="3" t="s">
        <v>653</v>
      </c>
      <c r="Q33" s="1" t="s">
        <v>654</v>
      </c>
    </row>
    <row r="34" spans="4:17" x14ac:dyDescent="0.25">
      <c r="O34" s="1">
        <v>15035</v>
      </c>
      <c r="P34" s="3" t="s">
        <v>653</v>
      </c>
      <c r="Q34" s="1" t="s">
        <v>654</v>
      </c>
    </row>
    <row r="35" spans="4:17" x14ac:dyDescent="0.25">
      <c r="O35" s="1">
        <v>15036</v>
      </c>
      <c r="P35" s="3" t="s">
        <v>653</v>
      </c>
      <c r="Q35" s="1" t="s">
        <v>654</v>
      </c>
    </row>
    <row r="36" spans="4:17" x14ac:dyDescent="0.25">
      <c r="O36" s="1">
        <v>15037</v>
      </c>
      <c r="P36" s="3" t="s">
        <v>653</v>
      </c>
      <c r="Q36" s="1" t="s">
        <v>654</v>
      </c>
    </row>
    <row r="37" spans="4:17" x14ac:dyDescent="0.25">
      <c r="O37" s="1">
        <v>15038</v>
      </c>
      <c r="P37" s="3" t="s">
        <v>653</v>
      </c>
      <c r="Q37" s="1" t="s">
        <v>654</v>
      </c>
    </row>
    <row r="38" spans="4:17" x14ac:dyDescent="0.25">
      <c r="O38" s="1">
        <v>15042</v>
      </c>
      <c r="P38" s="3" t="s">
        <v>653</v>
      </c>
      <c r="Q38" s="1" t="s">
        <v>654</v>
      </c>
    </row>
    <row r="39" spans="4:17" x14ac:dyDescent="0.25">
      <c r="O39" s="1">
        <v>15043</v>
      </c>
      <c r="P39" s="3" t="s">
        <v>653</v>
      </c>
      <c r="Q39" s="1" t="s">
        <v>654</v>
      </c>
    </row>
    <row r="40" spans="4:17" x14ac:dyDescent="0.25">
      <c r="O40" s="1">
        <v>15044</v>
      </c>
      <c r="P40" s="3" t="s">
        <v>653</v>
      </c>
      <c r="Q40" s="1" t="s">
        <v>654</v>
      </c>
    </row>
    <row r="41" spans="4:17" x14ac:dyDescent="0.25">
      <c r="O41" s="1">
        <v>15045</v>
      </c>
      <c r="P41" s="3" t="s">
        <v>653</v>
      </c>
      <c r="Q41" s="1" t="s">
        <v>654</v>
      </c>
    </row>
    <row r="42" spans="4:17" x14ac:dyDescent="0.25">
      <c r="O42" s="1">
        <v>15046</v>
      </c>
      <c r="P42" s="3" t="s">
        <v>653</v>
      </c>
      <c r="Q42" s="1" t="s">
        <v>654</v>
      </c>
    </row>
    <row r="43" spans="4:17" x14ac:dyDescent="0.25">
      <c r="D43" s="251"/>
      <c r="O43" s="1">
        <v>15047</v>
      </c>
      <c r="P43" s="3" t="s">
        <v>653</v>
      </c>
      <c r="Q43" s="1" t="s">
        <v>654</v>
      </c>
    </row>
    <row r="44" spans="4:17" x14ac:dyDescent="0.25">
      <c r="O44" s="1">
        <v>15049</v>
      </c>
      <c r="P44" s="3" t="s">
        <v>653</v>
      </c>
      <c r="Q44" s="1" t="s">
        <v>654</v>
      </c>
    </row>
    <row r="45" spans="4:17" x14ac:dyDescent="0.25">
      <c r="O45" s="1">
        <v>15050</v>
      </c>
      <c r="P45" s="3" t="s">
        <v>653</v>
      </c>
      <c r="Q45" s="1" t="s">
        <v>654</v>
      </c>
    </row>
    <row r="46" spans="4:17" x14ac:dyDescent="0.25">
      <c r="O46" s="1">
        <v>15051</v>
      </c>
      <c r="P46" s="3" t="s">
        <v>653</v>
      </c>
      <c r="Q46" s="1" t="s">
        <v>654</v>
      </c>
    </row>
    <row r="47" spans="4:17" x14ac:dyDescent="0.25">
      <c r="O47" s="1">
        <v>15052</v>
      </c>
      <c r="P47" s="3" t="s">
        <v>653</v>
      </c>
      <c r="Q47" s="1" t="s">
        <v>654</v>
      </c>
    </row>
    <row r="48" spans="4:17" x14ac:dyDescent="0.25">
      <c r="O48" s="1">
        <v>15053</v>
      </c>
      <c r="P48" s="3" t="s">
        <v>653</v>
      </c>
      <c r="Q48" s="1" t="s">
        <v>654</v>
      </c>
    </row>
    <row r="49" spans="15:17" x14ac:dyDescent="0.25">
      <c r="O49" s="1">
        <v>15054</v>
      </c>
      <c r="P49" s="3" t="s">
        <v>653</v>
      </c>
      <c r="Q49" s="1" t="s">
        <v>654</v>
      </c>
    </row>
    <row r="50" spans="15:17" x14ac:dyDescent="0.25">
      <c r="O50" s="1">
        <v>15055</v>
      </c>
      <c r="P50" s="3" t="s">
        <v>653</v>
      </c>
      <c r="Q50" s="1" t="s">
        <v>654</v>
      </c>
    </row>
    <row r="51" spans="15:17" x14ac:dyDescent="0.25">
      <c r="O51" s="1">
        <v>15056</v>
      </c>
      <c r="P51" s="3" t="s">
        <v>653</v>
      </c>
      <c r="Q51" s="1" t="s">
        <v>654</v>
      </c>
    </row>
    <row r="52" spans="15:17" x14ac:dyDescent="0.25">
      <c r="O52" s="1">
        <v>15057</v>
      </c>
      <c r="P52" s="3" t="s">
        <v>653</v>
      </c>
      <c r="Q52" s="1" t="s">
        <v>654</v>
      </c>
    </row>
    <row r="53" spans="15:17" x14ac:dyDescent="0.25">
      <c r="O53" s="1">
        <v>15059</v>
      </c>
      <c r="P53" s="3" t="s">
        <v>653</v>
      </c>
      <c r="Q53" s="1" t="s">
        <v>654</v>
      </c>
    </row>
    <row r="54" spans="15:17" x14ac:dyDescent="0.25">
      <c r="O54" s="1">
        <v>15060</v>
      </c>
      <c r="P54" s="3" t="s">
        <v>653</v>
      </c>
      <c r="Q54" s="1" t="s">
        <v>654</v>
      </c>
    </row>
    <row r="55" spans="15:17" x14ac:dyDescent="0.25">
      <c r="O55" s="1">
        <v>15061</v>
      </c>
      <c r="P55" s="3" t="s">
        <v>653</v>
      </c>
      <c r="Q55" s="1" t="s">
        <v>654</v>
      </c>
    </row>
    <row r="56" spans="15:17" x14ac:dyDescent="0.25">
      <c r="O56" s="1">
        <v>15062</v>
      </c>
      <c r="P56" s="3" t="s">
        <v>653</v>
      </c>
      <c r="Q56" s="1" t="s">
        <v>654</v>
      </c>
    </row>
    <row r="57" spans="15:17" x14ac:dyDescent="0.25">
      <c r="O57" s="1">
        <v>15063</v>
      </c>
      <c r="P57" s="3" t="s">
        <v>653</v>
      </c>
      <c r="Q57" s="1" t="s">
        <v>654</v>
      </c>
    </row>
    <row r="58" spans="15:17" x14ac:dyDescent="0.25">
      <c r="O58" s="1">
        <v>15064</v>
      </c>
      <c r="P58" s="3" t="s">
        <v>653</v>
      </c>
      <c r="Q58" s="1" t="s">
        <v>654</v>
      </c>
    </row>
    <row r="59" spans="15:17" x14ac:dyDescent="0.25">
      <c r="O59" s="1">
        <v>15065</v>
      </c>
      <c r="P59" s="3" t="s">
        <v>653</v>
      </c>
      <c r="Q59" s="1" t="s">
        <v>654</v>
      </c>
    </row>
    <row r="60" spans="15:17" x14ac:dyDescent="0.25">
      <c r="O60" s="1">
        <v>15066</v>
      </c>
      <c r="P60" s="3" t="s">
        <v>653</v>
      </c>
      <c r="Q60" s="1" t="s">
        <v>654</v>
      </c>
    </row>
    <row r="61" spans="15:17" x14ac:dyDescent="0.25">
      <c r="O61" s="1">
        <v>15067</v>
      </c>
      <c r="P61" s="3" t="s">
        <v>653</v>
      </c>
      <c r="Q61" s="1" t="s">
        <v>654</v>
      </c>
    </row>
    <row r="62" spans="15:17" x14ac:dyDescent="0.25">
      <c r="O62" s="1">
        <v>15068</v>
      </c>
      <c r="P62" s="3" t="s">
        <v>653</v>
      </c>
      <c r="Q62" s="1" t="s">
        <v>654</v>
      </c>
    </row>
    <row r="63" spans="15:17" x14ac:dyDescent="0.25">
      <c r="O63" s="1">
        <v>15069</v>
      </c>
      <c r="P63" s="3" t="s">
        <v>653</v>
      </c>
      <c r="Q63" s="1" t="s">
        <v>654</v>
      </c>
    </row>
    <row r="64" spans="15:17" x14ac:dyDescent="0.25">
      <c r="O64" s="1">
        <v>15071</v>
      </c>
      <c r="P64" s="3" t="s">
        <v>653</v>
      </c>
      <c r="Q64" s="1" t="s">
        <v>654</v>
      </c>
    </row>
    <row r="65" spans="15:17" x14ac:dyDescent="0.25">
      <c r="O65" s="1">
        <v>15072</v>
      </c>
      <c r="P65" s="3" t="s">
        <v>653</v>
      </c>
      <c r="Q65" s="1" t="s">
        <v>654</v>
      </c>
    </row>
    <row r="66" spans="15:17" x14ac:dyDescent="0.25">
      <c r="O66" s="1">
        <v>15074</v>
      </c>
      <c r="P66" s="3" t="s">
        <v>653</v>
      </c>
      <c r="Q66" s="1" t="s">
        <v>654</v>
      </c>
    </row>
    <row r="67" spans="15:17" x14ac:dyDescent="0.25">
      <c r="O67" s="1">
        <v>15075</v>
      </c>
      <c r="P67" s="3" t="s">
        <v>653</v>
      </c>
      <c r="Q67" s="1" t="s">
        <v>654</v>
      </c>
    </row>
    <row r="68" spans="15:17" x14ac:dyDescent="0.25">
      <c r="O68" s="1">
        <v>15076</v>
      </c>
      <c r="P68" s="3" t="s">
        <v>653</v>
      </c>
      <c r="Q68" s="1" t="s">
        <v>654</v>
      </c>
    </row>
    <row r="69" spans="15:17" x14ac:dyDescent="0.25">
      <c r="O69" s="1">
        <v>15077</v>
      </c>
      <c r="P69" s="3" t="s">
        <v>653</v>
      </c>
      <c r="Q69" s="1" t="s">
        <v>654</v>
      </c>
    </row>
    <row r="70" spans="15:17" x14ac:dyDescent="0.25">
      <c r="O70" s="1">
        <v>15078</v>
      </c>
      <c r="P70" s="3" t="s">
        <v>653</v>
      </c>
      <c r="Q70" s="1" t="s">
        <v>654</v>
      </c>
    </row>
    <row r="71" spans="15:17" x14ac:dyDescent="0.25">
      <c r="O71" s="1">
        <v>15081</v>
      </c>
      <c r="P71" s="3" t="s">
        <v>653</v>
      </c>
      <c r="Q71" s="1" t="s">
        <v>654</v>
      </c>
    </row>
    <row r="72" spans="15:17" x14ac:dyDescent="0.25">
      <c r="O72" s="1">
        <v>15082</v>
      </c>
      <c r="P72" s="3" t="s">
        <v>653</v>
      </c>
      <c r="Q72" s="1" t="s">
        <v>654</v>
      </c>
    </row>
    <row r="73" spans="15:17" x14ac:dyDescent="0.25">
      <c r="O73" s="1">
        <v>15083</v>
      </c>
      <c r="P73" s="3" t="s">
        <v>653</v>
      </c>
      <c r="Q73" s="1" t="s">
        <v>654</v>
      </c>
    </row>
    <row r="74" spans="15:17" x14ac:dyDescent="0.25">
      <c r="O74" s="1">
        <v>15084</v>
      </c>
      <c r="P74" s="3" t="s">
        <v>653</v>
      </c>
      <c r="Q74" s="1" t="s">
        <v>654</v>
      </c>
    </row>
    <row r="75" spans="15:17" x14ac:dyDescent="0.25">
      <c r="O75" s="1">
        <v>15085</v>
      </c>
      <c r="P75" s="3" t="s">
        <v>653</v>
      </c>
      <c r="Q75" s="1" t="s">
        <v>654</v>
      </c>
    </row>
    <row r="76" spans="15:17" x14ac:dyDescent="0.25">
      <c r="O76" s="1">
        <v>15086</v>
      </c>
      <c r="P76" s="3" t="s">
        <v>653</v>
      </c>
      <c r="Q76" s="1" t="s">
        <v>654</v>
      </c>
    </row>
    <row r="77" spans="15:17" x14ac:dyDescent="0.25">
      <c r="O77" s="1">
        <v>15087</v>
      </c>
      <c r="P77" s="3" t="s">
        <v>653</v>
      </c>
      <c r="Q77" s="1" t="s">
        <v>654</v>
      </c>
    </row>
    <row r="78" spans="15:17" x14ac:dyDescent="0.25">
      <c r="O78" s="1">
        <v>15088</v>
      </c>
      <c r="P78" s="3" t="s">
        <v>653</v>
      </c>
      <c r="Q78" s="1" t="s">
        <v>654</v>
      </c>
    </row>
    <row r="79" spans="15:17" x14ac:dyDescent="0.25">
      <c r="O79" s="1">
        <v>15089</v>
      </c>
      <c r="P79" s="3" t="s">
        <v>653</v>
      </c>
      <c r="Q79" s="1" t="s">
        <v>654</v>
      </c>
    </row>
    <row r="80" spans="15:17" x14ac:dyDescent="0.25">
      <c r="O80" s="1">
        <v>15090</v>
      </c>
      <c r="P80" s="3" t="s">
        <v>653</v>
      </c>
      <c r="Q80" s="1" t="s">
        <v>654</v>
      </c>
    </row>
    <row r="81" spans="15:17" x14ac:dyDescent="0.25">
      <c r="O81" s="1">
        <v>15091</v>
      </c>
      <c r="P81" s="3" t="s">
        <v>653</v>
      </c>
      <c r="Q81" s="1" t="s">
        <v>654</v>
      </c>
    </row>
    <row r="82" spans="15:17" x14ac:dyDescent="0.25">
      <c r="O82" s="1">
        <v>15095</v>
      </c>
      <c r="P82" s="3" t="s">
        <v>653</v>
      </c>
      <c r="Q82" s="1" t="s">
        <v>654</v>
      </c>
    </row>
    <row r="83" spans="15:17" x14ac:dyDescent="0.25">
      <c r="O83" s="1">
        <v>15096</v>
      </c>
      <c r="P83" s="3" t="s">
        <v>653</v>
      </c>
      <c r="Q83" s="1" t="s">
        <v>654</v>
      </c>
    </row>
    <row r="84" spans="15:17" x14ac:dyDescent="0.25">
      <c r="O84" s="1">
        <v>15101</v>
      </c>
      <c r="P84" s="3" t="s">
        <v>653</v>
      </c>
      <c r="Q84" s="1" t="s">
        <v>654</v>
      </c>
    </row>
    <row r="85" spans="15:17" x14ac:dyDescent="0.25">
      <c r="O85" s="1">
        <v>15102</v>
      </c>
      <c r="P85" s="3" t="s">
        <v>653</v>
      </c>
      <c r="Q85" s="1" t="s">
        <v>654</v>
      </c>
    </row>
    <row r="86" spans="15:17" x14ac:dyDescent="0.25">
      <c r="O86" s="1">
        <v>15104</v>
      </c>
      <c r="P86" s="3" t="s">
        <v>653</v>
      </c>
      <c r="Q86" s="1" t="s">
        <v>654</v>
      </c>
    </row>
    <row r="87" spans="15:17" x14ac:dyDescent="0.25">
      <c r="O87" s="1">
        <v>15106</v>
      </c>
      <c r="P87" s="3" t="s">
        <v>653</v>
      </c>
      <c r="Q87" s="1" t="s">
        <v>654</v>
      </c>
    </row>
    <row r="88" spans="15:17" x14ac:dyDescent="0.25">
      <c r="O88" s="1">
        <v>15108</v>
      </c>
      <c r="P88" s="3" t="s">
        <v>653</v>
      </c>
      <c r="Q88" s="1" t="s">
        <v>654</v>
      </c>
    </row>
    <row r="89" spans="15:17" x14ac:dyDescent="0.25">
      <c r="O89" s="1">
        <v>15110</v>
      </c>
      <c r="P89" s="3" t="s">
        <v>653</v>
      </c>
      <c r="Q89" s="1" t="s">
        <v>654</v>
      </c>
    </row>
    <row r="90" spans="15:17" x14ac:dyDescent="0.25">
      <c r="O90" s="1">
        <v>15112</v>
      </c>
      <c r="P90" s="3" t="s">
        <v>653</v>
      </c>
      <c r="Q90" s="1" t="s">
        <v>654</v>
      </c>
    </row>
    <row r="91" spans="15:17" x14ac:dyDescent="0.25">
      <c r="O91" s="1">
        <v>15116</v>
      </c>
      <c r="P91" s="3" t="s">
        <v>653</v>
      </c>
      <c r="Q91" s="1" t="s">
        <v>654</v>
      </c>
    </row>
    <row r="92" spans="15:17" x14ac:dyDescent="0.25">
      <c r="O92" s="1">
        <v>15120</v>
      </c>
      <c r="P92" s="3" t="s">
        <v>653</v>
      </c>
      <c r="Q92" s="1" t="s">
        <v>654</v>
      </c>
    </row>
    <row r="93" spans="15:17" x14ac:dyDescent="0.25">
      <c r="O93" s="1">
        <v>15122</v>
      </c>
      <c r="P93" s="3" t="s">
        <v>653</v>
      </c>
      <c r="Q93" s="1" t="s">
        <v>654</v>
      </c>
    </row>
    <row r="94" spans="15:17" x14ac:dyDescent="0.25">
      <c r="O94" s="1">
        <v>15123</v>
      </c>
      <c r="P94" s="3" t="s">
        <v>653</v>
      </c>
      <c r="Q94" s="1" t="s">
        <v>654</v>
      </c>
    </row>
    <row r="95" spans="15:17" x14ac:dyDescent="0.25">
      <c r="O95" s="1">
        <v>15126</v>
      </c>
      <c r="P95" s="3" t="s">
        <v>653</v>
      </c>
      <c r="Q95" s="1" t="s">
        <v>654</v>
      </c>
    </row>
    <row r="96" spans="15:17" x14ac:dyDescent="0.25">
      <c r="O96" s="1">
        <v>15127</v>
      </c>
      <c r="P96" s="3" t="s">
        <v>653</v>
      </c>
      <c r="Q96" s="1" t="s">
        <v>654</v>
      </c>
    </row>
    <row r="97" spans="15:17" x14ac:dyDescent="0.25">
      <c r="O97" s="1">
        <v>15129</v>
      </c>
      <c r="P97" s="3" t="s">
        <v>653</v>
      </c>
      <c r="Q97" s="1" t="s">
        <v>654</v>
      </c>
    </row>
    <row r="98" spans="15:17" x14ac:dyDescent="0.25">
      <c r="O98" s="1">
        <v>15130</v>
      </c>
      <c r="P98" s="3" t="s">
        <v>653</v>
      </c>
      <c r="Q98" s="1" t="s">
        <v>654</v>
      </c>
    </row>
    <row r="99" spans="15:17" x14ac:dyDescent="0.25">
      <c r="O99" s="1">
        <v>15131</v>
      </c>
      <c r="P99" s="3" t="s">
        <v>653</v>
      </c>
      <c r="Q99" s="1" t="s">
        <v>654</v>
      </c>
    </row>
    <row r="100" spans="15:17" x14ac:dyDescent="0.25">
      <c r="O100" s="1">
        <v>15132</v>
      </c>
      <c r="P100" s="3" t="s">
        <v>653</v>
      </c>
      <c r="Q100" s="1" t="s">
        <v>654</v>
      </c>
    </row>
    <row r="101" spans="15:17" x14ac:dyDescent="0.25">
      <c r="O101" s="1">
        <v>15133</v>
      </c>
      <c r="P101" s="3" t="s">
        <v>653</v>
      </c>
      <c r="Q101" s="1" t="s">
        <v>654</v>
      </c>
    </row>
    <row r="102" spans="15:17" x14ac:dyDescent="0.25">
      <c r="O102" s="1">
        <v>15134</v>
      </c>
      <c r="P102" s="3" t="s">
        <v>653</v>
      </c>
      <c r="Q102" s="1" t="s">
        <v>654</v>
      </c>
    </row>
    <row r="103" spans="15:17" x14ac:dyDescent="0.25">
      <c r="O103" s="1">
        <v>15135</v>
      </c>
      <c r="P103" s="3" t="s">
        <v>653</v>
      </c>
      <c r="Q103" s="1" t="s">
        <v>654</v>
      </c>
    </row>
    <row r="104" spans="15:17" x14ac:dyDescent="0.25">
      <c r="O104" s="1">
        <v>15136</v>
      </c>
      <c r="P104" s="3" t="s">
        <v>653</v>
      </c>
      <c r="Q104" s="1" t="s">
        <v>654</v>
      </c>
    </row>
    <row r="105" spans="15:17" x14ac:dyDescent="0.25">
      <c r="O105" s="1">
        <v>15137</v>
      </c>
      <c r="P105" s="3" t="s">
        <v>653</v>
      </c>
      <c r="Q105" s="1" t="s">
        <v>654</v>
      </c>
    </row>
    <row r="106" spans="15:17" x14ac:dyDescent="0.25">
      <c r="O106" s="1">
        <v>15139</v>
      </c>
      <c r="P106" s="3" t="s">
        <v>653</v>
      </c>
      <c r="Q106" s="1" t="s">
        <v>654</v>
      </c>
    </row>
    <row r="107" spans="15:17" x14ac:dyDescent="0.25">
      <c r="O107" s="1">
        <v>15140</v>
      </c>
      <c r="P107" s="3" t="s">
        <v>653</v>
      </c>
      <c r="Q107" s="1" t="s">
        <v>654</v>
      </c>
    </row>
    <row r="108" spans="15:17" x14ac:dyDescent="0.25">
      <c r="O108" s="1">
        <v>15142</v>
      </c>
      <c r="P108" s="3" t="s">
        <v>653</v>
      </c>
      <c r="Q108" s="1" t="s">
        <v>654</v>
      </c>
    </row>
    <row r="109" spans="15:17" x14ac:dyDescent="0.25">
      <c r="O109" s="1">
        <v>15143</v>
      </c>
      <c r="P109" s="3" t="s">
        <v>653</v>
      </c>
      <c r="Q109" s="1" t="s">
        <v>654</v>
      </c>
    </row>
    <row r="110" spans="15:17" x14ac:dyDescent="0.25">
      <c r="O110" s="1">
        <v>15144</v>
      </c>
      <c r="P110" s="3" t="s">
        <v>653</v>
      </c>
      <c r="Q110" s="1" t="s">
        <v>654</v>
      </c>
    </row>
    <row r="111" spans="15:17" x14ac:dyDescent="0.25">
      <c r="O111" s="1">
        <v>15145</v>
      </c>
      <c r="P111" s="3" t="s">
        <v>653</v>
      </c>
      <c r="Q111" s="1" t="s">
        <v>654</v>
      </c>
    </row>
    <row r="112" spans="15:17" x14ac:dyDescent="0.25">
      <c r="O112" s="1">
        <v>15146</v>
      </c>
      <c r="P112" s="3" t="s">
        <v>653</v>
      </c>
      <c r="Q112" s="1" t="s">
        <v>654</v>
      </c>
    </row>
    <row r="113" spans="15:17" x14ac:dyDescent="0.25">
      <c r="O113" s="1">
        <v>15147</v>
      </c>
      <c r="P113" s="3" t="s">
        <v>653</v>
      </c>
      <c r="Q113" s="1" t="s">
        <v>654</v>
      </c>
    </row>
    <row r="114" spans="15:17" x14ac:dyDescent="0.25">
      <c r="O114" s="1">
        <v>15148</v>
      </c>
      <c r="P114" s="3" t="s">
        <v>653</v>
      </c>
      <c r="Q114" s="1" t="s">
        <v>654</v>
      </c>
    </row>
    <row r="115" spans="15:17" x14ac:dyDescent="0.25">
      <c r="O115" s="1">
        <v>15189</v>
      </c>
      <c r="P115" s="3" t="s">
        <v>653</v>
      </c>
      <c r="Q115" s="1" t="s">
        <v>654</v>
      </c>
    </row>
    <row r="116" spans="15:17" x14ac:dyDescent="0.25">
      <c r="O116" s="1">
        <v>15201</v>
      </c>
      <c r="P116" s="3" t="s">
        <v>653</v>
      </c>
      <c r="Q116" s="1" t="s">
        <v>654</v>
      </c>
    </row>
    <row r="117" spans="15:17" x14ac:dyDescent="0.25">
      <c r="O117" s="1">
        <v>15202</v>
      </c>
      <c r="P117" s="3" t="s">
        <v>653</v>
      </c>
      <c r="Q117" s="1" t="s">
        <v>654</v>
      </c>
    </row>
    <row r="118" spans="15:17" x14ac:dyDescent="0.25">
      <c r="O118" s="1">
        <v>15203</v>
      </c>
      <c r="P118" s="3" t="s">
        <v>653</v>
      </c>
      <c r="Q118" s="1" t="s">
        <v>654</v>
      </c>
    </row>
    <row r="119" spans="15:17" x14ac:dyDescent="0.25">
      <c r="O119" s="1">
        <v>15204</v>
      </c>
      <c r="P119" s="3" t="s">
        <v>653</v>
      </c>
      <c r="Q119" s="1" t="s">
        <v>654</v>
      </c>
    </row>
    <row r="120" spans="15:17" x14ac:dyDescent="0.25">
      <c r="O120" s="1">
        <v>15205</v>
      </c>
      <c r="P120" s="3" t="s">
        <v>653</v>
      </c>
      <c r="Q120" s="1" t="s">
        <v>654</v>
      </c>
    </row>
    <row r="121" spans="15:17" x14ac:dyDescent="0.25">
      <c r="O121" s="1">
        <v>15206</v>
      </c>
      <c r="P121" s="3" t="s">
        <v>653</v>
      </c>
      <c r="Q121" s="1" t="s">
        <v>654</v>
      </c>
    </row>
    <row r="122" spans="15:17" x14ac:dyDescent="0.25">
      <c r="O122" s="1">
        <v>15207</v>
      </c>
      <c r="P122" s="3" t="s">
        <v>653</v>
      </c>
      <c r="Q122" s="1" t="s">
        <v>654</v>
      </c>
    </row>
    <row r="123" spans="15:17" x14ac:dyDescent="0.25">
      <c r="O123" s="1">
        <v>15208</v>
      </c>
      <c r="P123" s="3" t="s">
        <v>653</v>
      </c>
      <c r="Q123" s="1" t="s">
        <v>654</v>
      </c>
    </row>
    <row r="124" spans="15:17" x14ac:dyDescent="0.25">
      <c r="O124" s="1">
        <v>15209</v>
      </c>
      <c r="P124" s="3" t="s">
        <v>653</v>
      </c>
      <c r="Q124" s="1" t="s">
        <v>654</v>
      </c>
    </row>
    <row r="125" spans="15:17" x14ac:dyDescent="0.25">
      <c r="O125" s="1">
        <v>15210</v>
      </c>
      <c r="P125" s="3" t="s">
        <v>653</v>
      </c>
      <c r="Q125" s="1" t="s">
        <v>654</v>
      </c>
    </row>
    <row r="126" spans="15:17" x14ac:dyDescent="0.25">
      <c r="O126" s="1">
        <v>15211</v>
      </c>
      <c r="P126" s="3" t="s">
        <v>653</v>
      </c>
      <c r="Q126" s="1" t="s">
        <v>654</v>
      </c>
    </row>
    <row r="127" spans="15:17" x14ac:dyDescent="0.25">
      <c r="O127" s="1">
        <v>15212</v>
      </c>
      <c r="P127" s="3" t="s">
        <v>653</v>
      </c>
      <c r="Q127" s="1" t="s">
        <v>654</v>
      </c>
    </row>
    <row r="128" spans="15:17" x14ac:dyDescent="0.25">
      <c r="O128" s="1">
        <v>15213</v>
      </c>
      <c r="P128" s="3" t="s">
        <v>653</v>
      </c>
      <c r="Q128" s="1" t="s">
        <v>654</v>
      </c>
    </row>
    <row r="129" spans="15:17" x14ac:dyDescent="0.25">
      <c r="O129" s="1">
        <v>15214</v>
      </c>
      <c r="P129" s="3" t="s">
        <v>653</v>
      </c>
      <c r="Q129" s="1" t="s">
        <v>654</v>
      </c>
    </row>
    <row r="130" spans="15:17" x14ac:dyDescent="0.25">
      <c r="O130" s="1">
        <v>15215</v>
      </c>
      <c r="P130" s="3" t="s">
        <v>653</v>
      </c>
      <c r="Q130" s="1" t="s">
        <v>654</v>
      </c>
    </row>
    <row r="131" spans="15:17" x14ac:dyDescent="0.25">
      <c r="O131" s="1">
        <v>15216</v>
      </c>
      <c r="P131" s="3" t="s">
        <v>653</v>
      </c>
      <c r="Q131" s="1" t="s">
        <v>654</v>
      </c>
    </row>
    <row r="132" spans="15:17" x14ac:dyDescent="0.25">
      <c r="O132" s="1">
        <v>15217</v>
      </c>
      <c r="P132" s="3" t="s">
        <v>653</v>
      </c>
      <c r="Q132" s="1" t="s">
        <v>654</v>
      </c>
    </row>
    <row r="133" spans="15:17" x14ac:dyDescent="0.25">
      <c r="O133" s="1">
        <v>15218</v>
      </c>
      <c r="P133" s="3" t="s">
        <v>653</v>
      </c>
      <c r="Q133" s="1" t="s">
        <v>654</v>
      </c>
    </row>
    <row r="134" spans="15:17" x14ac:dyDescent="0.25">
      <c r="O134" s="1">
        <v>15219</v>
      </c>
      <c r="P134" s="3" t="s">
        <v>653</v>
      </c>
      <c r="Q134" s="1" t="s">
        <v>654</v>
      </c>
    </row>
    <row r="135" spans="15:17" x14ac:dyDescent="0.25">
      <c r="O135" s="1">
        <v>15220</v>
      </c>
      <c r="P135" s="3" t="s">
        <v>653</v>
      </c>
      <c r="Q135" s="1" t="s">
        <v>654</v>
      </c>
    </row>
    <row r="136" spans="15:17" x14ac:dyDescent="0.25">
      <c r="O136" s="1">
        <v>15221</v>
      </c>
      <c r="P136" s="3" t="s">
        <v>653</v>
      </c>
      <c r="Q136" s="1" t="s">
        <v>654</v>
      </c>
    </row>
    <row r="137" spans="15:17" x14ac:dyDescent="0.25">
      <c r="O137" s="1">
        <v>15222</v>
      </c>
      <c r="P137" s="3" t="s">
        <v>653</v>
      </c>
      <c r="Q137" s="1" t="s">
        <v>654</v>
      </c>
    </row>
    <row r="138" spans="15:17" x14ac:dyDescent="0.25">
      <c r="O138" s="1">
        <v>15223</v>
      </c>
      <c r="P138" s="3" t="s">
        <v>653</v>
      </c>
      <c r="Q138" s="1" t="s">
        <v>654</v>
      </c>
    </row>
    <row r="139" spans="15:17" x14ac:dyDescent="0.25">
      <c r="O139" s="1">
        <v>15224</v>
      </c>
      <c r="P139" s="3" t="s">
        <v>653</v>
      </c>
      <c r="Q139" s="1" t="s">
        <v>654</v>
      </c>
    </row>
    <row r="140" spans="15:17" x14ac:dyDescent="0.25">
      <c r="O140" s="1">
        <v>15225</v>
      </c>
      <c r="P140" s="3" t="s">
        <v>653</v>
      </c>
      <c r="Q140" s="1" t="s">
        <v>654</v>
      </c>
    </row>
    <row r="141" spans="15:17" x14ac:dyDescent="0.25">
      <c r="O141" s="1">
        <v>15226</v>
      </c>
      <c r="P141" s="3" t="s">
        <v>653</v>
      </c>
      <c r="Q141" s="1" t="s">
        <v>654</v>
      </c>
    </row>
    <row r="142" spans="15:17" x14ac:dyDescent="0.25">
      <c r="O142" s="1">
        <v>15227</v>
      </c>
      <c r="P142" s="3" t="s">
        <v>653</v>
      </c>
      <c r="Q142" s="1" t="s">
        <v>654</v>
      </c>
    </row>
    <row r="143" spans="15:17" x14ac:dyDescent="0.25">
      <c r="O143" s="1">
        <v>15228</v>
      </c>
      <c r="P143" s="3" t="s">
        <v>653</v>
      </c>
      <c r="Q143" s="1" t="s">
        <v>654</v>
      </c>
    </row>
    <row r="144" spans="15:17" x14ac:dyDescent="0.25">
      <c r="O144" s="1">
        <v>15229</v>
      </c>
      <c r="P144" s="3" t="s">
        <v>653</v>
      </c>
      <c r="Q144" s="1" t="s">
        <v>654</v>
      </c>
    </row>
    <row r="145" spans="15:17" x14ac:dyDescent="0.25">
      <c r="O145" s="1">
        <v>15230</v>
      </c>
      <c r="P145" s="3" t="s">
        <v>653</v>
      </c>
      <c r="Q145" s="1" t="s">
        <v>654</v>
      </c>
    </row>
    <row r="146" spans="15:17" x14ac:dyDescent="0.25">
      <c r="O146" s="1">
        <v>15231</v>
      </c>
      <c r="P146" s="3" t="s">
        <v>653</v>
      </c>
      <c r="Q146" s="1" t="s">
        <v>654</v>
      </c>
    </row>
    <row r="147" spans="15:17" x14ac:dyDescent="0.25">
      <c r="O147" s="1">
        <v>15232</v>
      </c>
      <c r="P147" s="3" t="s">
        <v>653</v>
      </c>
      <c r="Q147" s="1" t="s">
        <v>654</v>
      </c>
    </row>
    <row r="148" spans="15:17" x14ac:dyDescent="0.25">
      <c r="O148" s="1">
        <v>15233</v>
      </c>
      <c r="P148" s="3" t="s">
        <v>653</v>
      </c>
      <c r="Q148" s="1" t="s">
        <v>654</v>
      </c>
    </row>
    <row r="149" spans="15:17" x14ac:dyDescent="0.25">
      <c r="O149" s="1">
        <v>15234</v>
      </c>
      <c r="P149" s="3" t="s">
        <v>653</v>
      </c>
      <c r="Q149" s="1" t="s">
        <v>654</v>
      </c>
    </row>
    <row r="150" spans="15:17" x14ac:dyDescent="0.25">
      <c r="O150" s="1">
        <v>15235</v>
      </c>
      <c r="P150" s="3" t="s">
        <v>653</v>
      </c>
      <c r="Q150" s="1" t="s">
        <v>654</v>
      </c>
    </row>
    <row r="151" spans="15:17" x14ac:dyDescent="0.25">
      <c r="O151" s="1">
        <v>15236</v>
      </c>
      <c r="P151" s="3" t="s">
        <v>653</v>
      </c>
      <c r="Q151" s="1" t="s">
        <v>654</v>
      </c>
    </row>
    <row r="152" spans="15:17" x14ac:dyDescent="0.25">
      <c r="O152" s="1">
        <v>15237</v>
      </c>
      <c r="P152" s="3" t="s">
        <v>653</v>
      </c>
      <c r="Q152" s="1" t="s">
        <v>654</v>
      </c>
    </row>
    <row r="153" spans="15:17" x14ac:dyDescent="0.25">
      <c r="O153" s="1">
        <v>15238</v>
      </c>
      <c r="P153" s="3" t="s">
        <v>653</v>
      </c>
      <c r="Q153" s="1" t="s">
        <v>654</v>
      </c>
    </row>
    <row r="154" spans="15:17" x14ac:dyDescent="0.25">
      <c r="O154" s="1">
        <v>15239</v>
      </c>
      <c r="P154" s="3" t="s">
        <v>653</v>
      </c>
      <c r="Q154" s="1" t="s">
        <v>654</v>
      </c>
    </row>
    <row r="155" spans="15:17" x14ac:dyDescent="0.25">
      <c r="O155" s="1">
        <v>15240</v>
      </c>
      <c r="P155" s="3" t="s">
        <v>653</v>
      </c>
      <c r="Q155" s="1" t="s">
        <v>654</v>
      </c>
    </row>
    <row r="156" spans="15:17" x14ac:dyDescent="0.25">
      <c r="O156" s="1">
        <v>15241</v>
      </c>
      <c r="P156" s="3" t="s">
        <v>653</v>
      </c>
      <c r="Q156" s="1" t="s">
        <v>654</v>
      </c>
    </row>
    <row r="157" spans="15:17" x14ac:dyDescent="0.25">
      <c r="O157" s="1">
        <v>15242</v>
      </c>
      <c r="P157" s="3" t="s">
        <v>653</v>
      </c>
      <c r="Q157" s="1" t="s">
        <v>654</v>
      </c>
    </row>
    <row r="158" spans="15:17" x14ac:dyDescent="0.25">
      <c r="O158" s="1">
        <v>15243</v>
      </c>
      <c r="P158" s="3" t="s">
        <v>653</v>
      </c>
      <c r="Q158" s="1" t="s">
        <v>654</v>
      </c>
    </row>
    <row r="159" spans="15:17" x14ac:dyDescent="0.25">
      <c r="O159" s="1">
        <v>15244</v>
      </c>
      <c r="P159" s="3" t="s">
        <v>653</v>
      </c>
      <c r="Q159" s="1" t="s">
        <v>654</v>
      </c>
    </row>
    <row r="160" spans="15:17" x14ac:dyDescent="0.25">
      <c r="O160" s="1">
        <v>15250</v>
      </c>
      <c r="P160" s="3" t="s">
        <v>653</v>
      </c>
      <c r="Q160" s="1" t="s">
        <v>654</v>
      </c>
    </row>
    <row r="161" spans="15:17" x14ac:dyDescent="0.25">
      <c r="O161" s="1">
        <v>15251</v>
      </c>
      <c r="P161" s="3" t="s">
        <v>653</v>
      </c>
      <c r="Q161" s="1" t="s">
        <v>654</v>
      </c>
    </row>
    <row r="162" spans="15:17" x14ac:dyDescent="0.25">
      <c r="O162" s="1">
        <v>15252</v>
      </c>
      <c r="P162" s="3" t="s">
        <v>653</v>
      </c>
      <c r="Q162" s="1" t="s">
        <v>654</v>
      </c>
    </row>
    <row r="163" spans="15:17" x14ac:dyDescent="0.25">
      <c r="O163" s="1">
        <v>15253</v>
      </c>
      <c r="P163" s="3" t="s">
        <v>653</v>
      </c>
      <c r="Q163" s="1" t="s">
        <v>654</v>
      </c>
    </row>
    <row r="164" spans="15:17" x14ac:dyDescent="0.25">
      <c r="O164" s="1">
        <v>15254</v>
      </c>
      <c r="P164" s="3" t="s">
        <v>653</v>
      </c>
      <c r="Q164" s="1" t="s">
        <v>654</v>
      </c>
    </row>
    <row r="165" spans="15:17" x14ac:dyDescent="0.25">
      <c r="O165" s="1">
        <v>15255</v>
      </c>
      <c r="P165" s="3" t="s">
        <v>653</v>
      </c>
      <c r="Q165" s="1" t="s">
        <v>654</v>
      </c>
    </row>
    <row r="166" spans="15:17" x14ac:dyDescent="0.25">
      <c r="O166" s="1">
        <v>15257</v>
      </c>
      <c r="P166" s="3" t="s">
        <v>653</v>
      </c>
      <c r="Q166" s="1" t="s">
        <v>654</v>
      </c>
    </row>
    <row r="167" spans="15:17" x14ac:dyDescent="0.25">
      <c r="O167" s="1">
        <v>15258</v>
      </c>
      <c r="P167" s="3" t="s">
        <v>653</v>
      </c>
      <c r="Q167" s="1" t="s">
        <v>654</v>
      </c>
    </row>
    <row r="168" spans="15:17" x14ac:dyDescent="0.25">
      <c r="O168" s="1">
        <v>15259</v>
      </c>
      <c r="P168" s="3" t="s">
        <v>653</v>
      </c>
      <c r="Q168" s="1" t="s">
        <v>654</v>
      </c>
    </row>
    <row r="169" spans="15:17" x14ac:dyDescent="0.25">
      <c r="O169" s="1">
        <v>15260</v>
      </c>
      <c r="P169" s="3" t="s">
        <v>653</v>
      </c>
      <c r="Q169" s="1" t="s">
        <v>654</v>
      </c>
    </row>
    <row r="170" spans="15:17" x14ac:dyDescent="0.25">
      <c r="O170" s="1">
        <v>15261</v>
      </c>
      <c r="P170" s="3" t="s">
        <v>653</v>
      </c>
      <c r="Q170" s="1" t="s">
        <v>654</v>
      </c>
    </row>
    <row r="171" spans="15:17" x14ac:dyDescent="0.25">
      <c r="O171" s="1">
        <v>15262</v>
      </c>
      <c r="P171" s="3" t="s">
        <v>653</v>
      </c>
      <c r="Q171" s="1" t="s">
        <v>654</v>
      </c>
    </row>
    <row r="172" spans="15:17" x14ac:dyDescent="0.25">
      <c r="O172" s="1">
        <v>15263</v>
      </c>
      <c r="P172" s="3" t="s">
        <v>653</v>
      </c>
      <c r="Q172" s="1" t="s">
        <v>654</v>
      </c>
    </row>
    <row r="173" spans="15:17" x14ac:dyDescent="0.25">
      <c r="O173" s="1">
        <v>15264</v>
      </c>
      <c r="P173" s="3" t="s">
        <v>653</v>
      </c>
      <c r="Q173" s="1" t="s">
        <v>654</v>
      </c>
    </row>
    <row r="174" spans="15:17" x14ac:dyDescent="0.25">
      <c r="O174" s="1">
        <v>15265</v>
      </c>
      <c r="P174" s="3" t="s">
        <v>653</v>
      </c>
      <c r="Q174" s="1" t="s">
        <v>654</v>
      </c>
    </row>
    <row r="175" spans="15:17" x14ac:dyDescent="0.25">
      <c r="O175" s="1">
        <v>15267</v>
      </c>
      <c r="P175" s="3" t="s">
        <v>653</v>
      </c>
      <c r="Q175" s="1" t="s">
        <v>654</v>
      </c>
    </row>
    <row r="176" spans="15:17" x14ac:dyDescent="0.25">
      <c r="O176" s="1">
        <v>15268</v>
      </c>
      <c r="P176" s="3" t="s">
        <v>653</v>
      </c>
      <c r="Q176" s="1" t="s">
        <v>654</v>
      </c>
    </row>
    <row r="177" spans="15:17" x14ac:dyDescent="0.25">
      <c r="O177" s="1">
        <v>15270</v>
      </c>
      <c r="P177" s="3" t="s">
        <v>653</v>
      </c>
      <c r="Q177" s="1" t="s">
        <v>654</v>
      </c>
    </row>
    <row r="178" spans="15:17" x14ac:dyDescent="0.25">
      <c r="O178" s="1">
        <v>15272</v>
      </c>
      <c r="P178" s="3" t="s">
        <v>653</v>
      </c>
      <c r="Q178" s="1" t="s">
        <v>654</v>
      </c>
    </row>
    <row r="179" spans="15:17" x14ac:dyDescent="0.25">
      <c r="O179" s="1">
        <v>15274</v>
      </c>
      <c r="P179" s="3" t="s">
        <v>653</v>
      </c>
      <c r="Q179" s="1" t="s">
        <v>654</v>
      </c>
    </row>
    <row r="180" spans="15:17" x14ac:dyDescent="0.25">
      <c r="O180" s="1">
        <v>15275</v>
      </c>
      <c r="P180" s="3" t="s">
        <v>653</v>
      </c>
      <c r="Q180" s="1" t="s">
        <v>654</v>
      </c>
    </row>
    <row r="181" spans="15:17" x14ac:dyDescent="0.25">
      <c r="O181" s="1">
        <v>15276</v>
      </c>
      <c r="P181" s="3" t="s">
        <v>653</v>
      </c>
      <c r="Q181" s="1" t="s">
        <v>654</v>
      </c>
    </row>
    <row r="182" spans="15:17" x14ac:dyDescent="0.25">
      <c r="O182" s="1">
        <v>15277</v>
      </c>
      <c r="P182" s="3" t="s">
        <v>653</v>
      </c>
      <c r="Q182" s="1" t="s">
        <v>654</v>
      </c>
    </row>
    <row r="183" spans="15:17" x14ac:dyDescent="0.25">
      <c r="O183" s="1">
        <v>15278</v>
      </c>
      <c r="P183" s="3" t="s">
        <v>653</v>
      </c>
      <c r="Q183" s="1" t="s">
        <v>654</v>
      </c>
    </row>
    <row r="184" spans="15:17" x14ac:dyDescent="0.25">
      <c r="O184" s="1">
        <v>15279</v>
      </c>
      <c r="P184" s="3" t="s">
        <v>653</v>
      </c>
      <c r="Q184" s="1" t="s">
        <v>654</v>
      </c>
    </row>
    <row r="185" spans="15:17" x14ac:dyDescent="0.25">
      <c r="O185" s="1">
        <v>15281</v>
      </c>
      <c r="P185" s="3" t="s">
        <v>653</v>
      </c>
      <c r="Q185" s="1" t="s">
        <v>654</v>
      </c>
    </row>
    <row r="186" spans="15:17" x14ac:dyDescent="0.25">
      <c r="O186" s="1">
        <v>15282</v>
      </c>
      <c r="P186" s="3" t="s">
        <v>653</v>
      </c>
      <c r="Q186" s="1" t="s">
        <v>654</v>
      </c>
    </row>
    <row r="187" spans="15:17" x14ac:dyDescent="0.25">
      <c r="O187" s="1">
        <v>15283</v>
      </c>
      <c r="P187" s="3" t="s">
        <v>653</v>
      </c>
      <c r="Q187" s="1" t="s">
        <v>654</v>
      </c>
    </row>
    <row r="188" spans="15:17" x14ac:dyDescent="0.25">
      <c r="O188" s="1">
        <v>15285</v>
      </c>
      <c r="P188" s="3" t="s">
        <v>653</v>
      </c>
      <c r="Q188" s="1" t="s">
        <v>654</v>
      </c>
    </row>
    <row r="189" spans="15:17" x14ac:dyDescent="0.25">
      <c r="O189" s="1">
        <v>15286</v>
      </c>
      <c r="P189" s="3" t="s">
        <v>653</v>
      </c>
      <c r="Q189" s="1" t="s">
        <v>654</v>
      </c>
    </row>
    <row r="190" spans="15:17" x14ac:dyDescent="0.25">
      <c r="O190" s="1">
        <v>15290</v>
      </c>
      <c r="P190" s="3" t="s">
        <v>653</v>
      </c>
      <c r="Q190" s="1" t="s">
        <v>654</v>
      </c>
    </row>
    <row r="191" spans="15:17" x14ac:dyDescent="0.25">
      <c r="O191" s="1">
        <v>15295</v>
      </c>
      <c r="P191" s="3" t="s">
        <v>653</v>
      </c>
      <c r="Q191" s="1" t="s">
        <v>654</v>
      </c>
    </row>
    <row r="192" spans="15:17" x14ac:dyDescent="0.25">
      <c r="O192" s="1">
        <v>15301</v>
      </c>
      <c r="P192" s="3" t="s">
        <v>653</v>
      </c>
      <c r="Q192" s="1" t="s">
        <v>654</v>
      </c>
    </row>
    <row r="193" spans="15:17" x14ac:dyDescent="0.25">
      <c r="O193" s="1">
        <v>15310</v>
      </c>
      <c r="P193" s="3" t="s">
        <v>653</v>
      </c>
      <c r="Q193" s="1" t="s">
        <v>654</v>
      </c>
    </row>
    <row r="194" spans="15:17" x14ac:dyDescent="0.25">
      <c r="O194" s="1">
        <v>15311</v>
      </c>
      <c r="P194" s="3" t="s">
        <v>653</v>
      </c>
      <c r="Q194" s="1" t="s">
        <v>654</v>
      </c>
    </row>
    <row r="195" spans="15:17" x14ac:dyDescent="0.25">
      <c r="O195" s="1">
        <v>15312</v>
      </c>
      <c r="P195" s="3" t="s">
        <v>653</v>
      </c>
      <c r="Q195" s="1" t="s">
        <v>654</v>
      </c>
    </row>
    <row r="196" spans="15:17" x14ac:dyDescent="0.25">
      <c r="O196" s="1">
        <v>15313</v>
      </c>
      <c r="P196" s="3" t="s">
        <v>653</v>
      </c>
      <c r="Q196" s="1" t="s">
        <v>654</v>
      </c>
    </row>
    <row r="197" spans="15:17" x14ac:dyDescent="0.25">
      <c r="O197" s="1">
        <v>15314</v>
      </c>
      <c r="P197" s="3" t="s">
        <v>653</v>
      </c>
      <c r="Q197" s="1" t="s">
        <v>654</v>
      </c>
    </row>
    <row r="198" spans="15:17" x14ac:dyDescent="0.25">
      <c r="O198" s="1">
        <v>15315</v>
      </c>
      <c r="P198" s="3" t="s">
        <v>653</v>
      </c>
      <c r="Q198" s="1" t="s">
        <v>654</v>
      </c>
    </row>
    <row r="199" spans="15:17" x14ac:dyDescent="0.25">
      <c r="O199" s="1">
        <v>15316</v>
      </c>
      <c r="P199" s="3" t="s">
        <v>653</v>
      </c>
      <c r="Q199" s="1" t="s">
        <v>654</v>
      </c>
    </row>
    <row r="200" spans="15:17" x14ac:dyDescent="0.25">
      <c r="O200" s="1">
        <v>15317</v>
      </c>
      <c r="P200" s="3" t="s">
        <v>653</v>
      </c>
      <c r="Q200" s="1" t="s">
        <v>654</v>
      </c>
    </row>
    <row r="201" spans="15:17" x14ac:dyDescent="0.25">
      <c r="O201" s="1">
        <v>15320</v>
      </c>
      <c r="P201" s="3" t="s">
        <v>653</v>
      </c>
      <c r="Q201" s="1" t="s">
        <v>654</v>
      </c>
    </row>
    <row r="202" spans="15:17" x14ac:dyDescent="0.25">
      <c r="O202" s="1">
        <v>15321</v>
      </c>
      <c r="P202" s="3" t="s">
        <v>653</v>
      </c>
      <c r="Q202" s="1" t="s">
        <v>654</v>
      </c>
    </row>
    <row r="203" spans="15:17" x14ac:dyDescent="0.25">
      <c r="O203" s="1">
        <v>15322</v>
      </c>
      <c r="P203" s="3" t="s">
        <v>653</v>
      </c>
      <c r="Q203" s="1" t="s">
        <v>654</v>
      </c>
    </row>
    <row r="204" spans="15:17" x14ac:dyDescent="0.25">
      <c r="O204" s="1">
        <v>15323</v>
      </c>
      <c r="P204" s="3" t="s">
        <v>653</v>
      </c>
      <c r="Q204" s="1" t="s">
        <v>654</v>
      </c>
    </row>
    <row r="205" spans="15:17" x14ac:dyDescent="0.25">
      <c r="O205" s="1">
        <v>15324</v>
      </c>
      <c r="P205" s="3" t="s">
        <v>653</v>
      </c>
      <c r="Q205" s="1" t="s">
        <v>654</v>
      </c>
    </row>
    <row r="206" spans="15:17" x14ac:dyDescent="0.25">
      <c r="O206" s="1">
        <v>15325</v>
      </c>
      <c r="P206" s="3" t="s">
        <v>653</v>
      </c>
      <c r="Q206" s="1" t="s">
        <v>654</v>
      </c>
    </row>
    <row r="207" spans="15:17" x14ac:dyDescent="0.25">
      <c r="O207" s="1">
        <v>15327</v>
      </c>
      <c r="P207" s="3" t="s">
        <v>653</v>
      </c>
      <c r="Q207" s="1" t="s">
        <v>654</v>
      </c>
    </row>
    <row r="208" spans="15:17" x14ac:dyDescent="0.25">
      <c r="O208" s="1">
        <v>15329</v>
      </c>
      <c r="P208" s="3" t="s">
        <v>653</v>
      </c>
      <c r="Q208" s="1" t="s">
        <v>654</v>
      </c>
    </row>
    <row r="209" spans="15:17" x14ac:dyDescent="0.25">
      <c r="O209" s="1">
        <v>15330</v>
      </c>
      <c r="P209" s="3" t="s">
        <v>653</v>
      </c>
      <c r="Q209" s="1" t="s">
        <v>654</v>
      </c>
    </row>
    <row r="210" spans="15:17" x14ac:dyDescent="0.25">
      <c r="O210" s="1">
        <v>15331</v>
      </c>
      <c r="P210" s="3" t="s">
        <v>653</v>
      </c>
      <c r="Q210" s="1" t="s">
        <v>654</v>
      </c>
    </row>
    <row r="211" spans="15:17" x14ac:dyDescent="0.25">
      <c r="O211" s="1">
        <v>15332</v>
      </c>
      <c r="P211" s="3" t="s">
        <v>653</v>
      </c>
      <c r="Q211" s="1" t="s">
        <v>654</v>
      </c>
    </row>
    <row r="212" spans="15:17" x14ac:dyDescent="0.25">
      <c r="O212" s="1">
        <v>15333</v>
      </c>
      <c r="P212" s="3" t="s">
        <v>653</v>
      </c>
      <c r="Q212" s="1" t="s">
        <v>654</v>
      </c>
    </row>
    <row r="213" spans="15:17" x14ac:dyDescent="0.25">
      <c r="O213" s="1">
        <v>15334</v>
      </c>
      <c r="P213" s="3" t="s">
        <v>653</v>
      </c>
      <c r="Q213" s="1" t="s">
        <v>654</v>
      </c>
    </row>
    <row r="214" spans="15:17" x14ac:dyDescent="0.25">
      <c r="O214" s="1">
        <v>15336</v>
      </c>
      <c r="P214" s="3" t="s">
        <v>653</v>
      </c>
      <c r="Q214" s="1" t="s">
        <v>654</v>
      </c>
    </row>
    <row r="215" spans="15:17" x14ac:dyDescent="0.25">
      <c r="O215" s="1">
        <v>15337</v>
      </c>
      <c r="P215" s="3" t="s">
        <v>653</v>
      </c>
      <c r="Q215" s="1" t="s">
        <v>654</v>
      </c>
    </row>
    <row r="216" spans="15:17" x14ac:dyDescent="0.25">
      <c r="O216" s="1">
        <v>15338</v>
      </c>
      <c r="P216" s="3" t="s">
        <v>653</v>
      </c>
      <c r="Q216" s="1" t="s">
        <v>654</v>
      </c>
    </row>
    <row r="217" spans="15:17" x14ac:dyDescent="0.25">
      <c r="O217" s="1">
        <v>15339</v>
      </c>
      <c r="P217" s="3" t="s">
        <v>653</v>
      </c>
      <c r="Q217" s="1" t="s">
        <v>654</v>
      </c>
    </row>
    <row r="218" spans="15:17" x14ac:dyDescent="0.25">
      <c r="O218" s="1">
        <v>15340</v>
      </c>
      <c r="P218" s="3" t="s">
        <v>653</v>
      </c>
      <c r="Q218" s="1" t="s">
        <v>654</v>
      </c>
    </row>
    <row r="219" spans="15:17" x14ac:dyDescent="0.25">
      <c r="O219" s="1">
        <v>15341</v>
      </c>
      <c r="P219" s="3" t="s">
        <v>653</v>
      </c>
      <c r="Q219" s="1" t="s">
        <v>654</v>
      </c>
    </row>
    <row r="220" spans="15:17" x14ac:dyDescent="0.25">
      <c r="O220" s="1">
        <v>15342</v>
      </c>
      <c r="P220" s="3" t="s">
        <v>653</v>
      </c>
      <c r="Q220" s="1" t="s">
        <v>654</v>
      </c>
    </row>
    <row r="221" spans="15:17" x14ac:dyDescent="0.25">
      <c r="O221" s="1">
        <v>15344</v>
      </c>
      <c r="P221" s="3" t="s">
        <v>653</v>
      </c>
      <c r="Q221" s="1" t="s">
        <v>654</v>
      </c>
    </row>
    <row r="222" spans="15:17" x14ac:dyDescent="0.25">
      <c r="O222" s="1">
        <v>15345</v>
      </c>
      <c r="P222" s="3" t="s">
        <v>653</v>
      </c>
      <c r="Q222" s="1" t="s">
        <v>654</v>
      </c>
    </row>
    <row r="223" spans="15:17" x14ac:dyDescent="0.25">
      <c r="O223" s="1">
        <v>15346</v>
      </c>
      <c r="P223" s="3" t="s">
        <v>653</v>
      </c>
      <c r="Q223" s="1" t="s">
        <v>654</v>
      </c>
    </row>
    <row r="224" spans="15:17" x14ac:dyDescent="0.25">
      <c r="O224" s="1">
        <v>15347</v>
      </c>
      <c r="P224" s="3" t="s">
        <v>653</v>
      </c>
      <c r="Q224" s="1" t="s">
        <v>654</v>
      </c>
    </row>
    <row r="225" spans="15:17" x14ac:dyDescent="0.25">
      <c r="O225" s="1">
        <v>15348</v>
      </c>
      <c r="P225" s="3" t="s">
        <v>653</v>
      </c>
      <c r="Q225" s="1" t="s">
        <v>654</v>
      </c>
    </row>
    <row r="226" spans="15:17" x14ac:dyDescent="0.25">
      <c r="O226" s="1">
        <v>15349</v>
      </c>
      <c r="P226" s="3" t="s">
        <v>653</v>
      </c>
      <c r="Q226" s="1" t="s">
        <v>654</v>
      </c>
    </row>
    <row r="227" spans="15:17" x14ac:dyDescent="0.25">
      <c r="O227" s="1">
        <v>15350</v>
      </c>
      <c r="P227" s="3" t="s">
        <v>653</v>
      </c>
      <c r="Q227" s="1" t="s">
        <v>654</v>
      </c>
    </row>
    <row r="228" spans="15:17" x14ac:dyDescent="0.25">
      <c r="O228" s="1">
        <v>15351</v>
      </c>
      <c r="P228" s="3" t="s">
        <v>653</v>
      </c>
      <c r="Q228" s="1" t="s">
        <v>654</v>
      </c>
    </row>
    <row r="229" spans="15:17" x14ac:dyDescent="0.25">
      <c r="O229" s="1">
        <v>15352</v>
      </c>
      <c r="P229" s="3" t="s">
        <v>653</v>
      </c>
      <c r="Q229" s="1" t="s">
        <v>654</v>
      </c>
    </row>
    <row r="230" spans="15:17" x14ac:dyDescent="0.25">
      <c r="O230" s="1">
        <v>15353</v>
      </c>
      <c r="P230" s="3" t="s">
        <v>653</v>
      </c>
      <c r="Q230" s="1" t="s">
        <v>654</v>
      </c>
    </row>
    <row r="231" spans="15:17" x14ac:dyDescent="0.25">
      <c r="O231" s="1">
        <v>15354</v>
      </c>
      <c r="P231" s="3" t="s">
        <v>653</v>
      </c>
      <c r="Q231" s="1" t="s">
        <v>654</v>
      </c>
    </row>
    <row r="232" spans="15:17" x14ac:dyDescent="0.25">
      <c r="O232" s="1">
        <v>15357</v>
      </c>
      <c r="P232" s="3" t="s">
        <v>653</v>
      </c>
      <c r="Q232" s="1" t="s">
        <v>654</v>
      </c>
    </row>
    <row r="233" spans="15:17" x14ac:dyDescent="0.25">
      <c r="O233" s="1">
        <v>15358</v>
      </c>
      <c r="P233" s="3" t="s">
        <v>653</v>
      </c>
      <c r="Q233" s="1" t="s">
        <v>654</v>
      </c>
    </row>
    <row r="234" spans="15:17" x14ac:dyDescent="0.25">
      <c r="O234" s="1">
        <v>15359</v>
      </c>
      <c r="P234" s="3" t="s">
        <v>653</v>
      </c>
      <c r="Q234" s="1" t="s">
        <v>654</v>
      </c>
    </row>
    <row r="235" spans="15:17" x14ac:dyDescent="0.25">
      <c r="O235" s="1">
        <v>15360</v>
      </c>
      <c r="P235" s="3" t="s">
        <v>653</v>
      </c>
      <c r="Q235" s="1" t="s">
        <v>654</v>
      </c>
    </row>
    <row r="236" spans="15:17" x14ac:dyDescent="0.25">
      <c r="O236" s="1">
        <v>15361</v>
      </c>
      <c r="P236" s="3" t="s">
        <v>653</v>
      </c>
      <c r="Q236" s="1" t="s">
        <v>654</v>
      </c>
    </row>
    <row r="237" spans="15:17" x14ac:dyDescent="0.25">
      <c r="O237" s="1">
        <v>15362</v>
      </c>
      <c r="P237" s="3" t="s">
        <v>653</v>
      </c>
      <c r="Q237" s="1" t="s">
        <v>654</v>
      </c>
    </row>
    <row r="238" spans="15:17" x14ac:dyDescent="0.25">
      <c r="O238" s="1">
        <v>15363</v>
      </c>
      <c r="P238" s="3" t="s">
        <v>653</v>
      </c>
      <c r="Q238" s="1" t="s">
        <v>654</v>
      </c>
    </row>
    <row r="239" spans="15:17" x14ac:dyDescent="0.25">
      <c r="O239" s="1">
        <v>15364</v>
      </c>
      <c r="P239" s="3" t="s">
        <v>653</v>
      </c>
      <c r="Q239" s="1" t="s">
        <v>654</v>
      </c>
    </row>
    <row r="240" spans="15:17" x14ac:dyDescent="0.25">
      <c r="O240" s="1">
        <v>15365</v>
      </c>
      <c r="P240" s="3" t="s">
        <v>653</v>
      </c>
      <c r="Q240" s="1" t="s">
        <v>654</v>
      </c>
    </row>
    <row r="241" spans="15:17" x14ac:dyDescent="0.25">
      <c r="O241" s="1">
        <v>15366</v>
      </c>
      <c r="P241" s="3" t="s">
        <v>653</v>
      </c>
      <c r="Q241" s="1" t="s">
        <v>654</v>
      </c>
    </row>
    <row r="242" spans="15:17" x14ac:dyDescent="0.25">
      <c r="O242" s="1">
        <v>15367</v>
      </c>
      <c r="P242" s="3" t="s">
        <v>653</v>
      </c>
      <c r="Q242" s="1" t="s">
        <v>654</v>
      </c>
    </row>
    <row r="243" spans="15:17" x14ac:dyDescent="0.25">
      <c r="O243" s="1">
        <v>15368</v>
      </c>
      <c r="P243" s="3" t="s">
        <v>653</v>
      </c>
      <c r="Q243" s="1" t="s">
        <v>654</v>
      </c>
    </row>
    <row r="244" spans="15:17" x14ac:dyDescent="0.25">
      <c r="O244" s="1">
        <v>15370</v>
      </c>
      <c r="P244" s="3" t="s">
        <v>653</v>
      </c>
      <c r="Q244" s="1" t="s">
        <v>654</v>
      </c>
    </row>
    <row r="245" spans="15:17" x14ac:dyDescent="0.25">
      <c r="O245" s="1">
        <v>15376</v>
      </c>
      <c r="P245" s="3" t="s">
        <v>653</v>
      </c>
      <c r="Q245" s="1" t="s">
        <v>654</v>
      </c>
    </row>
    <row r="246" spans="15:17" x14ac:dyDescent="0.25">
      <c r="O246" s="1">
        <v>15377</v>
      </c>
      <c r="P246" s="3" t="s">
        <v>653</v>
      </c>
      <c r="Q246" s="1" t="s">
        <v>654</v>
      </c>
    </row>
    <row r="247" spans="15:17" x14ac:dyDescent="0.25">
      <c r="O247" s="1">
        <v>15378</v>
      </c>
      <c r="P247" s="3" t="s">
        <v>653</v>
      </c>
      <c r="Q247" s="1" t="s">
        <v>654</v>
      </c>
    </row>
    <row r="248" spans="15:17" x14ac:dyDescent="0.25">
      <c r="O248" s="1">
        <v>15379</v>
      </c>
      <c r="P248" s="3" t="s">
        <v>653</v>
      </c>
      <c r="Q248" s="1" t="s">
        <v>654</v>
      </c>
    </row>
    <row r="249" spans="15:17" x14ac:dyDescent="0.25">
      <c r="O249" s="1">
        <v>15380</v>
      </c>
      <c r="P249" s="3" t="s">
        <v>653</v>
      </c>
      <c r="Q249" s="1" t="s">
        <v>654</v>
      </c>
    </row>
    <row r="250" spans="15:17" x14ac:dyDescent="0.25">
      <c r="O250" s="1">
        <v>15401</v>
      </c>
      <c r="P250" s="3" t="s">
        <v>653</v>
      </c>
      <c r="Q250" s="1" t="s">
        <v>654</v>
      </c>
    </row>
    <row r="251" spans="15:17" x14ac:dyDescent="0.25">
      <c r="O251" s="1">
        <v>15410</v>
      </c>
      <c r="P251" s="3" t="s">
        <v>653</v>
      </c>
      <c r="Q251" s="1" t="s">
        <v>654</v>
      </c>
    </row>
    <row r="252" spans="15:17" x14ac:dyDescent="0.25">
      <c r="O252" s="1">
        <v>15411</v>
      </c>
      <c r="P252" s="3" t="s">
        <v>653</v>
      </c>
      <c r="Q252" s="1" t="s">
        <v>654</v>
      </c>
    </row>
    <row r="253" spans="15:17" x14ac:dyDescent="0.25">
      <c r="O253" s="1">
        <v>15412</v>
      </c>
      <c r="P253" s="3" t="s">
        <v>653</v>
      </c>
      <c r="Q253" s="1" t="s">
        <v>654</v>
      </c>
    </row>
    <row r="254" spans="15:17" x14ac:dyDescent="0.25">
      <c r="O254" s="1">
        <v>15413</v>
      </c>
      <c r="P254" s="3" t="s">
        <v>653</v>
      </c>
      <c r="Q254" s="1" t="s">
        <v>654</v>
      </c>
    </row>
    <row r="255" spans="15:17" x14ac:dyDescent="0.25">
      <c r="O255" s="1">
        <v>15415</v>
      </c>
      <c r="P255" s="3" t="s">
        <v>653</v>
      </c>
      <c r="Q255" s="1" t="s">
        <v>654</v>
      </c>
    </row>
    <row r="256" spans="15:17" x14ac:dyDescent="0.25">
      <c r="O256" s="1">
        <v>15416</v>
      </c>
      <c r="P256" s="3" t="s">
        <v>653</v>
      </c>
      <c r="Q256" s="1" t="s">
        <v>654</v>
      </c>
    </row>
    <row r="257" spans="15:17" x14ac:dyDescent="0.25">
      <c r="O257" s="1">
        <v>15417</v>
      </c>
      <c r="P257" s="3" t="s">
        <v>653</v>
      </c>
      <c r="Q257" s="1" t="s">
        <v>654</v>
      </c>
    </row>
    <row r="258" spans="15:17" x14ac:dyDescent="0.25">
      <c r="O258" s="1">
        <v>15419</v>
      </c>
      <c r="P258" s="3" t="s">
        <v>653</v>
      </c>
      <c r="Q258" s="1" t="s">
        <v>654</v>
      </c>
    </row>
    <row r="259" spans="15:17" x14ac:dyDescent="0.25">
      <c r="O259" s="1">
        <v>15420</v>
      </c>
      <c r="P259" s="3" t="s">
        <v>653</v>
      </c>
      <c r="Q259" s="1" t="s">
        <v>654</v>
      </c>
    </row>
    <row r="260" spans="15:17" x14ac:dyDescent="0.25">
      <c r="O260" s="1">
        <v>15421</v>
      </c>
      <c r="P260" s="3" t="s">
        <v>653</v>
      </c>
      <c r="Q260" s="1" t="s">
        <v>654</v>
      </c>
    </row>
    <row r="261" spans="15:17" x14ac:dyDescent="0.25">
      <c r="O261" s="1">
        <v>15422</v>
      </c>
      <c r="P261" s="3" t="s">
        <v>653</v>
      </c>
      <c r="Q261" s="1" t="s">
        <v>654</v>
      </c>
    </row>
    <row r="262" spans="15:17" x14ac:dyDescent="0.25">
      <c r="O262" s="1">
        <v>15423</v>
      </c>
      <c r="P262" s="3" t="s">
        <v>653</v>
      </c>
      <c r="Q262" s="1" t="s">
        <v>654</v>
      </c>
    </row>
    <row r="263" spans="15:17" x14ac:dyDescent="0.25">
      <c r="O263" s="1">
        <v>15424</v>
      </c>
      <c r="P263" s="3" t="s">
        <v>653</v>
      </c>
      <c r="Q263" s="1" t="s">
        <v>654</v>
      </c>
    </row>
    <row r="264" spans="15:17" x14ac:dyDescent="0.25">
      <c r="O264" s="1">
        <v>15425</v>
      </c>
      <c r="P264" s="3" t="s">
        <v>653</v>
      </c>
      <c r="Q264" s="1" t="s">
        <v>654</v>
      </c>
    </row>
    <row r="265" spans="15:17" x14ac:dyDescent="0.25">
      <c r="O265" s="1">
        <v>15427</v>
      </c>
      <c r="P265" s="3" t="s">
        <v>653</v>
      </c>
      <c r="Q265" s="1" t="s">
        <v>654</v>
      </c>
    </row>
    <row r="266" spans="15:17" x14ac:dyDescent="0.25">
      <c r="O266" s="1">
        <v>15428</v>
      </c>
      <c r="P266" s="3" t="s">
        <v>653</v>
      </c>
      <c r="Q266" s="1" t="s">
        <v>654</v>
      </c>
    </row>
    <row r="267" spans="15:17" x14ac:dyDescent="0.25">
      <c r="O267" s="1">
        <v>15429</v>
      </c>
      <c r="P267" s="3" t="s">
        <v>653</v>
      </c>
      <c r="Q267" s="1" t="s">
        <v>654</v>
      </c>
    </row>
    <row r="268" spans="15:17" x14ac:dyDescent="0.25">
      <c r="O268" s="1">
        <v>15430</v>
      </c>
      <c r="P268" s="3" t="s">
        <v>653</v>
      </c>
      <c r="Q268" s="1" t="s">
        <v>654</v>
      </c>
    </row>
    <row r="269" spans="15:17" x14ac:dyDescent="0.25">
      <c r="O269" s="1">
        <v>15431</v>
      </c>
      <c r="P269" s="3" t="s">
        <v>653</v>
      </c>
      <c r="Q269" s="1" t="s">
        <v>654</v>
      </c>
    </row>
    <row r="270" spans="15:17" x14ac:dyDescent="0.25">
      <c r="O270" s="1">
        <v>15432</v>
      </c>
      <c r="P270" s="3" t="s">
        <v>653</v>
      </c>
      <c r="Q270" s="1" t="s">
        <v>654</v>
      </c>
    </row>
    <row r="271" spans="15:17" x14ac:dyDescent="0.25">
      <c r="O271" s="1">
        <v>15433</v>
      </c>
      <c r="P271" s="3" t="s">
        <v>653</v>
      </c>
      <c r="Q271" s="1" t="s">
        <v>654</v>
      </c>
    </row>
    <row r="272" spans="15:17" x14ac:dyDescent="0.25">
      <c r="O272" s="1">
        <v>15434</v>
      </c>
      <c r="P272" s="3" t="s">
        <v>653</v>
      </c>
      <c r="Q272" s="1" t="s">
        <v>654</v>
      </c>
    </row>
    <row r="273" spans="15:17" x14ac:dyDescent="0.25">
      <c r="O273" s="1">
        <v>15435</v>
      </c>
      <c r="P273" s="3" t="s">
        <v>653</v>
      </c>
      <c r="Q273" s="1" t="s">
        <v>654</v>
      </c>
    </row>
    <row r="274" spans="15:17" x14ac:dyDescent="0.25">
      <c r="O274" s="1">
        <v>15436</v>
      </c>
      <c r="P274" s="3" t="s">
        <v>653</v>
      </c>
      <c r="Q274" s="1" t="s">
        <v>654</v>
      </c>
    </row>
    <row r="275" spans="15:17" x14ac:dyDescent="0.25">
      <c r="O275" s="1">
        <v>15437</v>
      </c>
      <c r="P275" s="3" t="s">
        <v>653</v>
      </c>
      <c r="Q275" s="1" t="s">
        <v>654</v>
      </c>
    </row>
    <row r="276" spans="15:17" x14ac:dyDescent="0.25">
      <c r="O276" s="1">
        <v>15438</v>
      </c>
      <c r="P276" s="3" t="s">
        <v>653</v>
      </c>
      <c r="Q276" s="1" t="s">
        <v>654</v>
      </c>
    </row>
    <row r="277" spans="15:17" x14ac:dyDescent="0.25">
      <c r="O277" s="1">
        <v>15439</v>
      </c>
      <c r="P277" s="3" t="s">
        <v>653</v>
      </c>
      <c r="Q277" s="1" t="s">
        <v>654</v>
      </c>
    </row>
    <row r="278" spans="15:17" x14ac:dyDescent="0.25">
      <c r="O278" s="1">
        <v>15440</v>
      </c>
      <c r="P278" s="3" t="s">
        <v>653</v>
      </c>
      <c r="Q278" s="1" t="s">
        <v>654</v>
      </c>
    </row>
    <row r="279" spans="15:17" x14ac:dyDescent="0.25">
      <c r="O279" s="1">
        <v>15442</v>
      </c>
      <c r="P279" s="3" t="s">
        <v>653</v>
      </c>
      <c r="Q279" s="1" t="s">
        <v>654</v>
      </c>
    </row>
    <row r="280" spans="15:17" x14ac:dyDescent="0.25">
      <c r="O280" s="1">
        <v>15443</v>
      </c>
      <c r="P280" s="3" t="s">
        <v>653</v>
      </c>
      <c r="Q280" s="1" t="s">
        <v>654</v>
      </c>
    </row>
    <row r="281" spans="15:17" x14ac:dyDescent="0.25">
      <c r="O281" s="1">
        <v>15444</v>
      </c>
      <c r="P281" s="3" t="s">
        <v>653</v>
      </c>
      <c r="Q281" s="1" t="s">
        <v>654</v>
      </c>
    </row>
    <row r="282" spans="15:17" x14ac:dyDescent="0.25">
      <c r="O282" s="1">
        <v>15445</v>
      </c>
      <c r="P282" s="3" t="s">
        <v>653</v>
      </c>
      <c r="Q282" s="1" t="s">
        <v>654</v>
      </c>
    </row>
    <row r="283" spans="15:17" x14ac:dyDescent="0.25">
      <c r="O283" s="1">
        <v>15446</v>
      </c>
      <c r="P283" s="3" t="s">
        <v>653</v>
      </c>
      <c r="Q283" s="1" t="s">
        <v>654</v>
      </c>
    </row>
    <row r="284" spans="15:17" x14ac:dyDescent="0.25">
      <c r="O284" s="1">
        <v>15447</v>
      </c>
      <c r="P284" s="3" t="s">
        <v>653</v>
      </c>
      <c r="Q284" s="1" t="s">
        <v>654</v>
      </c>
    </row>
    <row r="285" spans="15:17" x14ac:dyDescent="0.25">
      <c r="O285" s="1">
        <v>15448</v>
      </c>
      <c r="P285" s="3" t="s">
        <v>653</v>
      </c>
      <c r="Q285" s="1" t="s">
        <v>654</v>
      </c>
    </row>
    <row r="286" spans="15:17" x14ac:dyDescent="0.25">
      <c r="O286" s="1">
        <v>15449</v>
      </c>
      <c r="P286" s="3" t="s">
        <v>653</v>
      </c>
      <c r="Q286" s="1" t="s">
        <v>654</v>
      </c>
    </row>
    <row r="287" spans="15:17" x14ac:dyDescent="0.25">
      <c r="O287" s="1">
        <v>15450</v>
      </c>
      <c r="P287" s="3" t="s">
        <v>653</v>
      </c>
      <c r="Q287" s="1" t="s">
        <v>654</v>
      </c>
    </row>
    <row r="288" spans="15:17" x14ac:dyDescent="0.25">
      <c r="O288" s="1">
        <v>15451</v>
      </c>
      <c r="P288" s="3" t="s">
        <v>653</v>
      </c>
      <c r="Q288" s="1" t="s">
        <v>654</v>
      </c>
    </row>
    <row r="289" spans="15:17" x14ac:dyDescent="0.25">
      <c r="O289" s="1">
        <v>15454</v>
      </c>
      <c r="P289" s="3" t="s">
        <v>653</v>
      </c>
      <c r="Q289" s="1" t="s">
        <v>654</v>
      </c>
    </row>
    <row r="290" spans="15:17" x14ac:dyDescent="0.25">
      <c r="O290" s="1">
        <v>15455</v>
      </c>
      <c r="P290" s="3" t="s">
        <v>653</v>
      </c>
      <c r="Q290" s="1" t="s">
        <v>654</v>
      </c>
    </row>
    <row r="291" spans="15:17" x14ac:dyDescent="0.25">
      <c r="O291" s="1">
        <v>15456</v>
      </c>
      <c r="P291" s="3" t="s">
        <v>653</v>
      </c>
      <c r="Q291" s="1" t="s">
        <v>654</v>
      </c>
    </row>
    <row r="292" spans="15:17" x14ac:dyDescent="0.25">
      <c r="O292" s="1">
        <v>15458</v>
      </c>
      <c r="P292" s="3" t="s">
        <v>653</v>
      </c>
      <c r="Q292" s="1" t="s">
        <v>654</v>
      </c>
    </row>
    <row r="293" spans="15:17" x14ac:dyDescent="0.25">
      <c r="O293" s="1">
        <v>15459</v>
      </c>
      <c r="P293" s="3" t="s">
        <v>653</v>
      </c>
      <c r="Q293" s="1" t="s">
        <v>654</v>
      </c>
    </row>
    <row r="294" spans="15:17" x14ac:dyDescent="0.25">
      <c r="O294" s="1">
        <v>15460</v>
      </c>
      <c r="P294" s="3" t="s">
        <v>653</v>
      </c>
      <c r="Q294" s="1" t="s">
        <v>654</v>
      </c>
    </row>
    <row r="295" spans="15:17" x14ac:dyDescent="0.25">
      <c r="O295" s="1">
        <v>15461</v>
      </c>
      <c r="P295" s="3" t="s">
        <v>653</v>
      </c>
      <c r="Q295" s="1" t="s">
        <v>654</v>
      </c>
    </row>
    <row r="296" spans="15:17" x14ac:dyDescent="0.25">
      <c r="O296" s="1">
        <v>15462</v>
      </c>
      <c r="P296" s="3" t="s">
        <v>653</v>
      </c>
      <c r="Q296" s="1" t="s">
        <v>654</v>
      </c>
    </row>
    <row r="297" spans="15:17" x14ac:dyDescent="0.25">
      <c r="O297" s="1">
        <v>15463</v>
      </c>
      <c r="P297" s="3" t="s">
        <v>653</v>
      </c>
      <c r="Q297" s="1" t="s">
        <v>654</v>
      </c>
    </row>
    <row r="298" spans="15:17" x14ac:dyDescent="0.25">
      <c r="O298" s="1">
        <v>15464</v>
      </c>
      <c r="P298" s="3" t="s">
        <v>653</v>
      </c>
      <c r="Q298" s="1" t="s">
        <v>654</v>
      </c>
    </row>
    <row r="299" spans="15:17" x14ac:dyDescent="0.25">
      <c r="O299" s="1">
        <v>15465</v>
      </c>
      <c r="P299" s="3" t="s">
        <v>653</v>
      </c>
      <c r="Q299" s="1" t="s">
        <v>654</v>
      </c>
    </row>
    <row r="300" spans="15:17" x14ac:dyDescent="0.25">
      <c r="O300" s="1">
        <v>15466</v>
      </c>
      <c r="P300" s="3" t="s">
        <v>653</v>
      </c>
      <c r="Q300" s="1" t="s">
        <v>654</v>
      </c>
    </row>
    <row r="301" spans="15:17" x14ac:dyDescent="0.25">
      <c r="O301" s="1">
        <v>15467</v>
      </c>
      <c r="P301" s="3" t="s">
        <v>653</v>
      </c>
      <c r="Q301" s="1" t="s">
        <v>654</v>
      </c>
    </row>
    <row r="302" spans="15:17" x14ac:dyDescent="0.25">
      <c r="O302" s="1">
        <v>15468</v>
      </c>
      <c r="P302" s="3" t="s">
        <v>653</v>
      </c>
      <c r="Q302" s="1" t="s">
        <v>654</v>
      </c>
    </row>
    <row r="303" spans="15:17" x14ac:dyDescent="0.25">
      <c r="O303" s="1">
        <v>15469</v>
      </c>
      <c r="P303" s="3" t="s">
        <v>653</v>
      </c>
      <c r="Q303" s="1" t="s">
        <v>654</v>
      </c>
    </row>
    <row r="304" spans="15:17" x14ac:dyDescent="0.25">
      <c r="O304" s="1">
        <v>15470</v>
      </c>
      <c r="P304" s="3" t="s">
        <v>653</v>
      </c>
      <c r="Q304" s="1" t="s">
        <v>654</v>
      </c>
    </row>
    <row r="305" spans="15:17" x14ac:dyDescent="0.25">
      <c r="O305" s="1">
        <v>15472</v>
      </c>
      <c r="P305" s="3" t="s">
        <v>653</v>
      </c>
      <c r="Q305" s="1" t="s">
        <v>654</v>
      </c>
    </row>
    <row r="306" spans="15:17" x14ac:dyDescent="0.25">
      <c r="O306" s="1">
        <v>15473</v>
      </c>
      <c r="P306" s="3" t="s">
        <v>653</v>
      </c>
      <c r="Q306" s="1" t="s">
        <v>654</v>
      </c>
    </row>
    <row r="307" spans="15:17" x14ac:dyDescent="0.25">
      <c r="O307" s="1">
        <v>15474</v>
      </c>
      <c r="P307" s="3" t="s">
        <v>653</v>
      </c>
      <c r="Q307" s="1" t="s">
        <v>654</v>
      </c>
    </row>
    <row r="308" spans="15:17" x14ac:dyDescent="0.25">
      <c r="O308" s="1">
        <v>15475</v>
      </c>
      <c r="P308" s="3" t="s">
        <v>653</v>
      </c>
      <c r="Q308" s="1" t="s">
        <v>654</v>
      </c>
    </row>
    <row r="309" spans="15:17" x14ac:dyDescent="0.25">
      <c r="O309" s="1">
        <v>15476</v>
      </c>
      <c r="P309" s="3" t="s">
        <v>653</v>
      </c>
      <c r="Q309" s="1" t="s">
        <v>654</v>
      </c>
    </row>
    <row r="310" spans="15:17" x14ac:dyDescent="0.25">
      <c r="O310" s="1">
        <v>15477</v>
      </c>
      <c r="P310" s="3" t="s">
        <v>653</v>
      </c>
      <c r="Q310" s="1" t="s">
        <v>654</v>
      </c>
    </row>
    <row r="311" spans="15:17" x14ac:dyDescent="0.25">
      <c r="O311" s="1">
        <v>15478</v>
      </c>
      <c r="P311" s="3" t="s">
        <v>653</v>
      </c>
      <c r="Q311" s="1" t="s">
        <v>654</v>
      </c>
    </row>
    <row r="312" spans="15:17" x14ac:dyDescent="0.25">
      <c r="O312" s="1">
        <v>15479</v>
      </c>
      <c r="P312" s="3" t="s">
        <v>653</v>
      </c>
      <c r="Q312" s="1" t="s">
        <v>654</v>
      </c>
    </row>
    <row r="313" spans="15:17" x14ac:dyDescent="0.25">
      <c r="O313" s="1">
        <v>15480</v>
      </c>
      <c r="P313" s="3" t="s">
        <v>653</v>
      </c>
      <c r="Q313" s="1" t="s">
        <v>654</v>
      </c>
    </row>
    <row r="314" spans="15:17" x14ac:dyDescent="0.25">
      <c r="O314" s="1">
        <v>15482</v>
      </c>
      <c r="P314" s="3" t="s">
        <v>653</v>
      </c>
      <c r="Q314" s="1" t="s">
        <v>654</v>
      </c>
    </row>
    <row r="315" spans="15:17" x14ac:dyDescent="0.25">
      <c r="O315" s="1">
        <v>15483</v>
      </c>
      <c r="P315" s="3" t="s">
        <v>653</v>
      </c>
      <c r="Q315" s="1" t="s">
        <v>654</v>
      </c>
    </row>
    <row r="316" spans="15:17" x14ac:dyDescent="0.25">
      <c r="O316" s="1">
        <v>15484</v>
      </c>
      <c r="P316" s="3" t="s">
        <v>653</v>
      </c>
      <c r="Q316" s="1" t="s">
        <v>654</v>
      </c>
    </row>
    <row r="317" spans="15:17" x14ac:dyDescent="0.25">
      <c r="O317" s="1">
        <v>15485</v>
      </c>
      <c r="P317" s="3" t="s">
        <v>653</v>
      </c>
      <c r="Q317" s="1" t="s">
        <v>654</v>
      </c>
    </row>
    <row r="318" spans="15:17" x14ac:dyDescent="0.25">
      <c r="O318" s="1">
        <v>15486</v>
      </c>
      <c r="P318" s="3" t="s">
        <v>653</v>
      </c>
      <c r="Q318" s="1" t="s">
        <v>654</v>
      </c>
    </row>
    <row r="319" spans="15:17" x14ac:dyDescent="0.25">
      <c r="O319" s="1">
        <v>15488</v>
      </c>
      <c r="P319" s="3" t="s">
        <v>653</v>
      </c>
      <c r="Q319" s="1" t="s">
        <v>654</v>
      </c>
    </row>
    <row r="320" spans="15:17" x14ac:dyDescent="0.25">
      <c r="O320" s="1">
        <v>15489</v>
      </c>
      <c r="P320" s="3" t="s">
        <v>653</v>
      </c>
      <c r="Q320" s="1" t="s">
        <v>654</v>
      </c>
    </row>
    <row r="321" spans="15:17" x14ac:dyDescent="0.25">
      <c r="O321" s="1">
        <v>15490</v>
      </c>
      <c r="P321" s="3" t="s">
        <v>653</v>
      </c>
      <c r="Q321" s="1" t="s">
        <v>654</v>
      </c>
    </row>
    <row r="322" spans="15:17" x14ac:dyDescent="0.25">
      <c r="O322" s="1">
        <v>15492</v>
      </c>
      <c r="P322" s="3" t="s">
        <v>653</v>
      </c>
      <c r="Q322" s="1" t="s">
        <v>654</v>
      </c>
    </row>
    <row r="323" spans="15:17" x14ac:dyDescent="0.25">
      <c r="O323" s="1">
        <v>15501</v>
      </c>
      <c r="P323" s="3" t="s">
        <v>653</v>
      </c>
      <c r="Q323" s="1" t="s">
        <v>654</v>
      </c>
    </row>
    <row r="324" spans="15:17" x14ac:dyDescent="0.25">
      <c r="O324" s="1">
        <v>15502</v>
      </c>
      <c r="P324" s="3" t="s">
        <v>653</v>
      </c>
      <c r="Q324" s="1" t="s">
        <v>654</v>
      </c>
    </row>
    <row r="325" spans="15:17" x14ac:dyDescent="0.25">
      <c r="O325" s="1">
        <v>15510</v>
      </c>
      <c r="P325" s="3" t="s">
        <v>653</v>
      </c>
      <c r="Q325" s="1" t="s">
        <v>654</v>
      </c>
    </row>
    <row r="326" spans="15:17" x14ac:dyDescent="0.25">
      <c r="O326" s="1">
        <v>15520</v>
      </c>
      <c r="P326" s="3" t="s">
        <v>653</v>
      </c>
      <c r="Q326" s="1" t="s">
        <v>654</v>
      </c>
    </row>
    <row r="327" spans="15:17" x14ac:dyDescent="0.25">
      <c r="O327" s="1">
        <v>15521</v>
      </c>
      <c r="P327" s="3" t="s">
        <v>653</v>
      </c>
      <c r="Q327" s="1" t="s">
        <v>654</v>
      </c>
    </row>
    <row r="328" spans="15:17" x14ac:dyDescent="0.25">
      <c r="O328" s="1">
        <v>15522</v>
      </c>
      <c r="P328" s="3" t="s">
        <v>653</v>
      </c>
      <c r="Q328" s="1" t="s">
        <v>654</v>
      </c>
    </row>
    <row r="329" spans="15:17" x14ac:dyDescent="0.25">
      <c r="O329" s="1">
        <v>15530</v>
      </c>
      <c r="P329" s="3" t="s">
        <v>653</v>
      </c>
      <c r="Q329" s="1" t="s">
        <v>654</v>
      </c>
    </row>
    <row r="330" spans="15:17" x14ac:dyDescent="0.25">
      <c r="O330" s="1">
        <v>15531</v>
      </c>
      <c r="P330" s="3" t="s">
        <v>653</v>
      </c>
      <c r="Q330" s="1" t="s">
        <v>654</v>
      </c>
    </row>
    <row r="331" spans="15:17" x14ac:dyDescent="0.25">
      <c r="O331" s="1">
        <v>15532</v>
      </c>
      <c r="P331" s="3" t="s">
        <v>653</v>
      </c>
      <c r="Q331" s="1" t="s">
        <v>654</v>
      </c>
    </row>
    <row r="332" spans="15:17" x14ac:dyDescent="0.25">
      <c r="O332" s="1">
        <v>15533</v>
      </c>
      <c r="P332" s="3" t="s">
        <v>653</v>
      </c>
      <c r="Q332" s="1" t="s">
        <v>654</v>
      </c>
    </row>
    <row r="333" spans="15:17" x14ac:dyDescent="0.25">
      <c r="O333" s="1">
        <v>15534</v>
      </c>
      <c r="P333" s="3" t="s">
        <v>653</v>
      </c>
      <c r="Q333" s="1" t="s">
        <v>654</v>
      </c>
    </row>
    <row r="334" spans="15:17" x14ac:dyDescent="0.25">
      <c r="O334" s="1">
        <v>15535</v>
      </c>
      <c r="P334" s="3" t="s">
        <v>653</v>
      </c>
      <c r="Q334" s="1" t="s">
        <v>654</v>
      </c>
    </row>
    <row r="335" spans="15:17" x14ac:dyDescent="0.25">
      <c r="O335" s="1">
        <v>15536</v>
      </c>
      <c r="P335" s="3" t="s">
        <v>712</v>
      </c>
      <c r="Q335" s="1" t="s">
        <v>677</v>
      </c>
    </row>
    <row r="336" spans="15:17" x14ac:dyDescent="0.25">
      <c r="O336" s="1">
        <v>15537</v>
      </c>
      <c r="P336" s="3" t="s">
        <v>653</v>
      </c>
      <c r="Q336" s="1" t="s">
        <v>654</v>
      </c>
    </row>
    <row r="337" spans="15:17" x14ac:dyDescent="0.25">
      <c r="O337" s="1">
        <v>15538</v>
      </c>
      <c r="P337" s="3" t="s">
        <v>653</v>
      </c>
      <c r="Q337" s="1" t="s">
        <v>654</v>
      </c>
    </row>
    <row r="338" spans="15:17" x14ac:dyDescent="0.25">
      <c r="O338" s="1">
        <v>15539</v>
      </c>
      <c r="P338" s="3" t="s">
        <v>653</v>
      </c>
      <c r="Q338" s="1" t="s">
        <v>654</v>
      </c>
    </row>
    <row r="339" spans="15:17" x14ac:dyDescent="0.25">
      <c r="O339" s="1">
        <v>15540</v>
      </c>
      <c r="P339" s="3" t="s">
        <v>653</v>
      </c>
      <c r="Q339" s="1" t="s">
        <v>654</v>
      </c>
    </row>
    <row r="340" spans="15:17" x14ac:dyDescent="0.25">
      <c r="O340" s="1">
        <v>15541</v>
      </c>
      <c r="P340" s="3" t="s">
        <v>653</v>
      </c>
      <c r="Q340" s="1" t="s">
        <v>654</v>
      </c>
    </row>
    <row r="341" spans="15:17" x14ac:dyDescent="0.25">
      <c r="O341" s="1">
        <v>15542</v>
      </c>
      <c r="P341" s="3" t="s">
        <v>653</v>
      </c>
      <c r="Q341" s="1" t="s">
        <v>654</v>
      </c>
    </row>
    <row r="342" spans="15:17" x14ac:dyDescent="0.25">
      <c r="O342" s="1">
        <v>15544</v>
      </c>
      <c r="P342" s="3" t="s">
        <v>653</v>
      </c>
      <c r="Q342" s="1" t="s">
        <v>654</v>
      </c>
    </row>
    <row r="343" spans="15:17" x14ac:dyDescent="0.25">
      <c r="O343" s="1">
        <v>15545</v>
      </c>
      <c r="P343" s="3" t="s">
        <v>653</v>
      </c>
      <c r="Q343" s="1" t="s">
        <v>654</v>
      </c>
    </row>
    <row r="344" spans="15:17" x14ac:dyDescent="0.25">
      <c r="O344" s="1">
        <v>15546</v>
      </c>
      <c r="P344" s="3" t="s">
        <v>653</v>
      </c>
      <c r="Q344" s="1" t="s">
        <v>654</v>
      </c>
    </row>
    <row r="345" spans="15:17" x14ac:dyDescent="0.25">
      <c r="O345" s="1">
        <v>15547</v>
      </c>
      <c r="P345" s="3" t="s">
        <v>653</v>
      </c>
      <c r="Q345" s="1" t="s">
        <v>654</v>
      </c>
    </row>
    <row r="346" spans="15:17" x14ac:dyDescent="0.25">
      <c r="O346" s="1">
        <v>15548</v>
      </c>
      <c r="P346" s="3" t="s">
        <v>653</v>
      </c>
      <c r="Q346" s="1" t="s">
        <v>654</v>
      </c>
    </row>
    <row r="347" spans="15:17" x14ac:dyDescent="0.25">
      <c r="O347" s="1">
        <v>15549</v>
      </c>
      <c r="P347" s="3" t="s">
        <v>653</v>
      </c>
      <c r="Q347" s="1" t="s">
        <v>654</v>
      </c>
    </row>
    <row r="348" spans="15:17" x14ac:dyDescent="0.25">
      <c r="O348" s="1">
        <v>15550</v>
      </c>
      <c r="P348" s="3" t="s">
        <v>653</v>
      </c>
      <c r="Q348" s="1" t="s">
        <v>654</v>
      </c>
    </row>
    <row r="349" spans="15:17" x14ac:dyDescent="0.25">
      <c r="O349" s="1">
        <v>15551</v>
      </c>
      <c r="P349" s="3" t="s">
        <v>653</v>
      </c>
      <c r="Q349" s="1" t="s">
        <v>654</v>
      </c>
    </row>
    <row r="350" spans="15:17" x14ac:dyDescent="0.25">
      <c r="O350" s="1">
        <v>15552</v>
      </c>
      <c r="P350" s="3" t="s">
        <v>653</v>
      </c>
      <c r="Q350" s="1" t="s">
        <v>654</v>
      </c>
    </row>
    <row r="351" spans="15:17" x14ac:dyDescent="0.25">
      <c r="O351" s="1">
        <v>15553</v>
      </c>
      <c r="P351" s="3" t="s">
        <v>653</v>
      </c>
      <c r="Q351" s="1" t="s">
        <v>654</v>
      </c>
    </row>
    <row r="352" spans="15:17" x14ac:dyDescent="0.25">
      <c r="O352" s="1">
        <v>15554</v>
      </c>
      <c r="P352" s="3" t="s">
        <v>653</v>
      </c>
      <c r="Q352" s="1" t="s">
        <v>654</v>
      </c>
    </row>
    <row r="353" spans="15:17" x14ac:dyDescent="0.25">
      <c r="O353" s="1">
        <v>15555</v>
      </c>
      <c r="P353" s="3" t="s">
        <v>653</v>
      </c>
      <c r="Q353" s="1" t="s">
        <v>654</v>
      </c>
    </row>
    <row r="354" spans="15:17" x14ac:dyDescent="0.25">
      <c r="O354" s="1">
        <v>15557</v>
      </c>
      <c r="P354" s="3" t="s">
        <v>653</v>
      </c>
      <c r="Q354" s="1" t="s">
        <v>654</v>
      </c>
    </row>
    <row r="355" spans="15:17" x14ac:dyDescent="0.25">
      <c r="O355" s="1">
        <v>15558</v>
      </c>
      <c r="P355" s="3" t="s">
        <v>653</v>
      </c>
      <c r="Q355" s="1" t="s">
        <v>654</v>
      </c>
    </row>
    <row r="356" spans="15:17" x14ac:dyDescent="0.25">
      <c r="O356" s="1">
        <v>15559</v>
      </c>
      <c r="P356" s="3" t="s">
        <v>653</v>
      </c>
      <c r="Q356" s="1" t="s">
        <v>654</v>
      </c>
    </row>
    <row r="357" spans="15:17" x14ac:dyDescent="0.25">
      <c r="O357" s="1">
        <v>15560</v>
      </c>
      <c r="P357" s="3" t="s">
        <v>653</v>
      </c>
      <c r="Q357" s="1" t="s">
        <v>654</v>
      </c>
    </row>
    <row r="358" spans="15:17" x14ac:dyDescent="0.25">
      <c r="O358" s="1">
        <v>15561</v>
      </c>
      <c r="P358" s="3" t="s">
        <v>653</v>
      </c>
      <c r="Q358" s="1" t="s">
        <v>654</v>
      </c>
    </row>
    <row r="359" spans="15:17" x14ac:dyDescent="0.25">
      <c r="O359" s="1">
        <v>15562</v>
      </c>
      <c r="P359" s="3" t="s">
        <v>653</v>
      </c>
      <c r="Q359" s="1" t="s">
        <v>654</v>
      </c>
    </row>
    <row r="360" spans="15:17" x14ac:dyDescent="0.25">
      <c r="O360" s="1">
        <v>15563</v>
      </c>
      <c r="P360" s="3" t="s">
        <v>653</v>
      </c>
      <c r="Q360" s="1" t="s">
        <v>654</v>
      </c>
    </row>
    <row r="361" spans="15:17" x14ac:dyDescent="0.25">
      <c r="O361" s="1">
        <v>15564</v>
      </c>
      <c r="P361" s="3" t="s">
        <v>653</v>
      </c>
      <c r="Q361" s="1" t="s">
        <v>654</v>
      </c>
    </row>
    <row r="362" spans="15:17" x14ac:dyDescent="0.25">
      <c r="O362" s="1">
        <v>15565</v>
      </c>
      <c r="P362" s="3" t="s">
        <v>653</v>
      </c>
      <c r="Q362" s="1" t="s">
        <v>654</v>
      </c>
    </row>
    <row r="363" spans="15:17" x14ac:dyDescent="0.25">
      <c r="O363" s="1">
        <v>15601</v>
      </c>
      <c r="P363" s="3" t="s">
        <v>653</v>
      </c>
      <c r="Q363" s="1" t="s">
        <v>654</v>
      </c>
    </row>
    <row r="364" spans="15:17" x14ac:dyDescent="0.25">
      <c r="O364" s="1">
        <v>15605</v>
      </c>
      <c r="P364" s="3" t="s">
        <v>653</v>
      </c>
      <c r="Q364" s="1" t="s">
        <v>654</v>
      </c>
    </row>
    <row r="365" spans="15:17" x14ac:dyDescent="0.25">
      <c r="O365" s="1">
        <v>15606</v>
      </c>
      <c r="P365" s="3" t="s">
        <v>653</v>
      </c>
      <c r="Q365" s="1" t="s">
        <v>654</v>
      </c>
    </row>
    <row r="366" spans="15:17" x14ac:dyDescent="0.25">
      <c r="O366" s="1">
        <v>15610</v>
      </c>
      <c r="P366" s="3" t="s">
        <v>653</v>
      </c>
      <c r="Q366" s="1" t="s">
        <v>654</v>
      </c>
    </row>
    <row r="367" spans="15:17" x14ac:dyDescent="0.25">
      <c r="O367" s="1">
        <v>15611</v>
      </c>
      <c r="P367" s="3" t="s">
        <v>653</v>
      </c>
      <c r="Q367" s="1" t="s">
        <v>654</v>
      </c>
    </row>
    <row r="368" spans="15:17" x14ac:dyDescent="0.25">
      <c r="O368" s="1">
        <v>15612</v>
      </c>
      <c r="P368" s="3" t="s">
        <v>653</v>
      </c>
      <c r="Q368" s="1" t="s">
        <v>654</v>
      </c>
    </row>
    <row r="369" spans="15:17" x14ac:dyDescent="0.25">
      <c r="O369" s="1">
        <v>15613</v>
      </c>
      <c r="P369" s="3" t="s">
        <v>653</v>
      </c>
      <c r="Q369" s="1" t="s">
        <v>654</v>
      </c>
    </row>
    <row r="370" spans="15:17" x14ac:dyDescent="0.25">
      <c r="O370" s="1">
        <v>15615</v>
      </c>
      <c r="P370" s="3" t="s">
        <v>653</v>
      </c>
      <c r="Q370" s="1" t="s">
        <v>654</v>
      </c>
    </row>
    <row r="371" spans="15:17" x14ac:dyDescent="0.25">
      <c r="O371" s="1">
        <v>15616</v>
      </c>
      <c r="P371" s="3" t="s">
        <v>653</v>
      </c>
      <c r="Q371" s="1" t="s">
        <v>654</v>
      </c>
    </row>
    <row r="372" spans="15:17" x14ac:dyDescent="0.25">
      <c r="O372" s="1">
        <v>15617</v>
      </c>
      <c r="P372" s="3" t="s">
        <v>653</v>
      </c>
      <c r="Q372" s="1" t="s">
        <v>654</v>
      </c>
    </row>
    <row r="373" spans="15:17" x14ac:dyDescent="0.25">
      <c r="O373" s="1">
        <v>15618</v>
      </c>
      <c r="P373" s="3" t="s">
        <v>653</v>
      </c>
      <c r="Q373" s="1" t="s">
        <v>654</v>
      </c>
    </row>
    <row r="374" spans="15:17" x14ac:dyDescent="0.25">
      <c r="O374" s="1">
        <v>15619</v>
      </c>
      <c r="P374" s="3" t="s">
        <v>653</v>
      </c>
      <c r="Q374" s="1" t="s">
        <v>654</v>
      </c>
    </row>
    <row r="375" spans="15:17" x14ac:dyDescent="0.25">
      <c r="O375" s="1">
        <v>15620</v>
      </c>
      <c r="P375" s="3" t="s">
        <v>653</v>
      </c>
      <c r="Q375" s="1" t="s">
        <v>654</v>
      </c>
    </row>
    <row r="376" spans="15:17" x14ac:dyDescent="0.25">
      <c r="O376" s="1">
        <v>15621</v>
      </c>
      <c r="P376" s="3" t="s">
        <v>653</v>
      </c>
      <c r="Q376" s="1" t="s">
        <v>654</v>
      </c>
    </row>
    <row r="377" spans="15:17" x14ac:dyDescent="0.25">
      <c r="O377" s="1">
        <v>15622</v>
      </c>
      <c r="P377" s="3" t="s">
        <v>653</v>
      </c>
      <c r="Q377" s="1" t="s">
        <v>654</v>
      </c>
    </row>
    <row r="378" spans="15:17" x14ac:dyDescent="0.25">
      <c r="O378" s="1">
        <v>15623</v>
      </c>
      <c r="P378" s="3" t="s">
        <v>653</v>
      </c>
      <c r="Q378" s="1" t="s">
        <v>654</v>
      </c>
    </row>
    <row r="379" spans="15:17" x14ac:dyDescent="0.25">
      <c r="O379" s="1">
        <v>15624</v>
      </c>
      <c r="P379" s="3" t="s">
        <v>653</v>
      </c>
      <c r="Q379" s="1" t="s">
        <v>654</v>
      </c>
    </row>
    <row r="380" spans="15:17" x14ac:dyDescent="0.25">
      <c r="O380" s="1">
        <v>15625</v>
      </c>
      <c r="P380" s="3" t="s">
        <v>653</v>
      </c>
      <c r="Q380" s="1" t="s">
        <v>654</v>
      </c>
    </row>
    <row r="381" spans="15:17" x14ac:dyDescent="0.25">
      <c r="O381" s="1">
        <v>15626</v>
      </c>
      <c r="P381" s="3" t="s">
        <v>653</v>
      </c>
      <c r="Q381" s="1" t="s">
        <v>654</v>
      </c>
    </row>
    <row r="382" spans="15:17" x14ac:dyDescent="0.25">
      <c r="O382" s="1">
        <v>15627</v>
      </c>
      <c r="P382" s="3" t="s">
        <v>653</v>
      </c>
      <c r="Q382" s="1" t="s">
        <v>654</v>
      </c>
    </row>
    <row r="383" spans="15:17" x14ac:dyDescent="0.25">
      <c r="O383" s="1">
        <v>15628</v>
      </c>
      <c r="P383" s="3" t="s">
        <v>653</v>
      </c>
      <c r="Q383" s="1" t="s">
        <v>654</v>
      </c>
    </row>
    <row r="384" spans="15:17" x14ac:dyDescent="0.25">
      <c r="O384" s="1">
        <v>15629</v>
      </c>
      <c r="P384" s="3" t="s">
        <v>653</v>
      </c>
      <c r="Q384" s="1" t="s">
        <v>654</v>
      </c>
    </row>
    <row r="385" spans="15:17" x14ac:dyDescent="0.25">
      <c r="O385" s="1">
        <v>15631</v>
      </c>
      <c r="P385" s="3" t="s">
        <v>653</v>
      </c>
      <c r="Q385" s="1" t="s">
        <v>654</v>
      </c>
    </row>
    <row r="386" spans="15:17" x14ac:dyDescent="0.25">
      <c r="O386" s="1">
        <v>15632</v>
      </c>
      <c r="P386" s="3" t="s">
        <v>653</v>
      </c>
      <c r="Q386" s="1" t="s">
        <v>654</v>
      </c>
    </row>
    <row r="387" spans="15:17" x14ac:dyDescent="0.25">
      <c r="O387" s="1">
        <v>15633</v>
      </c>
      <c r="P387" s="3" t="s">
        <v>653</v>
      </c>
      <c r="Q387" s="1" t="s">
        <v>654</v>
      </c>
    </row>
    <row r="388" spans="15:17" x14ac:dyDescent="0.25">
      <c r="O388" s="1">
        <v>15634</v>
      </c>
      <c r="P388" s="3" t="s">
        <v>653</v>
      </c>
      <c r="Q388" s="1" t="s">
        <v>654</v>
      </c>
    </row>
    <row r="389" spans="15:17" x14ac:dyDescent="0.25">
      <c r="O389" s="1">
        <v>15635</v>
      </c>
      <c r="P389" s="3" t="s">
        <v>653</v>
      </c>
      <c r="Q389" s="1" t="s">
        <v>654</v>
      </c>
    </row>
    <row r="390" spans="15:17" x14ac:dyDescent="0.25">
      <c r="O390" s="1">
        <v>15636</v>
      </c>
      <c r="P390" s="3" t="s">
        <v>653</v>
      </c>
      <c r="Q390" s="1" t="s">
        <v>654</v>
      </c>
    </row>
    <row r="391" spans="15:17" x14ac:dyDescent="0.25">
      <c r="O391" s="1">
        <v>15637</v>
      </c>
      <c r="P391" s="3" t="s">
        <v>653</v>
      </c>
      <c r="Q391" s="1" t="s">
        <v>654</v>
      </c>
    </row>
    <row r="392" spans="15:17" x14ac:dyDescent="0.25">
      <c r="O392" s="1">
        <v>15638</v>
      </c>
      <c r="P392" s="3" t="s">
        <v>653</v>
      </c>
      <c r="Q392" s="1" t="s">
        <v>654</v>
      </c>
    </row>
    <row r="393" spans="15:17" x14ac:dyDescent="0.25">
      <c r="O393" s="1">
        <v>15639</v>
      </c>
      <c r="P393" s="3" t="s">
        <v>653</v>
      </c>
      <c r="Q393" s="1" t="s">
        <v>654</v>
      </c>
    </row>
    <row r="394" spans="15:17" x14ac:dyDescent="0.25">
      <c r="O394" s="1">
        <v>15640</v>
      </c>
      <c r="P394" s="3" t="s">
        <v>653</v>
      </c>
      <c r="Q394" s="1" t="s">
        <v>654</v>
      </c>
    </row>
    <row r="395" spans="15:17" x14ac:dyDescent="0.25">
      <c r="O395" s="1">
        <v>15641</v>
      </c>
      <c r="P395" s="3" t="s">
        <v>653</v>
      </c>
      <c r="Q395" s="1" t="s">
        <v>654</v>
      </c>
    </row>
    <row r="396" spans="15:17" x14ac:dyDescent="0.25">
      <c r="O396" s="1">
        <v>15642</v>
      </c>
      <c r="P396" s="3" t="s">
        <v>653</v>
      </c>
      <c r="Q396" s="1" t="s">
        <v>654</v>
      </c>
    </row>
    <row r="397" spans="15:17" x14ac:dyDescent="0.25">
      <c r="O397" s="1">
        <v>15644</v>
      </c>
      <c r="P397" s="3" t="s">
        <v>653</v>
      </c>
      <c r="Q397" s="1" t="s">
        <v>654</v>
      </c>
    </row>
    <row r="398" spans="15:17" x14ac:dyDescent="0.25">
      <c r="O398" s="1">
        <v>15646</v>
      </c>
      <c r="P398" s="3" t="s">
        <v>653</v>
      </c>
      <c r="Q398" s="1" t="s">
        <v>654</v>
      </c>
    </row>
    <row r="399" spans="15:17" x14ac:dyDescent="0.25">
      <c r="O399" s="1">
        <v>15647</v>
      </c>
      <c r="P399" s="3" t="s">
        <v>653</v>
      </c>
      <c r="Q399" s="1" t="s">
        <v>654</v>
      </c>
    </row>
    <row r="400" spans="15:17" x14ac:dyDescent="0.25">
      <c r="O400" s="1">
        <v>15650</v>
      </c>
      <c r="P400" s="3" t="s">
        <v>653</v>
      </c>
      <c r="Q400" s="1" t="s">
        <v>654</v>
      </c>
    </row>
    <row r="401" spans="15:17" x14ac:dyDescent="0.25">
      <c r="O401" s="1">
        <v>15655</v>
      </c>
      <c r="P401" s="3" t="s">
        <v>653</v>
      </c>
      <c r="Q401" s="1" t="s">
        <v>654</v>
      </c>
    </row>
    <row r="402" spans="15:17" x14ac:dyDescent="0.25">
      <c r="O402" s="1">
        <v>15656</v>
      </c>
      <c r="P402" s="3" t="s">
        <v>653</v>
      </c>
      <c r="Q402" s="1" t="s">
        <v>654</v>
      </c>
    </row>
    <row r="403" spans="15:17" x14ac:dyDescent="0.25">
      <c r="O403" s="1">
        <v>15658</v>
      </c>
      <c r="P403" s="3" t="s">
        <v>653</v>
      </c>
      <c r="Q403" s="1" t="s">
        <v>654</v>
      </c>
    </row>
    <row r="404" spans="15:17" x14ac:dyDescent="0.25">
      <c r="O404" s="1">
        <v>15660</v>
      </c>
      <c r="P404" s="3" t="s">
        <v>653</v>
      </c>
      <c r="Q404" s="1" t="s">
        <v>654</v>
      </c>
    </row>
    <row r="405" spans="15:17" x14ac:dyDescent="0.25">
      <c r="O405" s="1">
        <v>15661</v>
      </c>
      <c r="P405" s="3" t="s">
        <v>653</v>
      </c>
      <c r="Q405" s="1" t="s">
        <v>654</v>
      </c>
    </row>
    <row r="406" spans="15:17" x14ac:dyDescent="0.25">
      <c r="O406" s="1">
        <v>15662</v>
      </c>
      <c r="P406" s="3" t="s">
        <v>653</v>
      </c>
      <c r="Q406" s="1" t="s">
        <v>654</v>
      </c>
    </row>
    <row r="407" spans="15:17" x14ac:dyDescent="0.25">
      <c r="O407" s="1">
        <v>15663</v>
      </c>
      <c r="P407" s="3" t="s">
        <v>653</v>
      </c>
      <c r="Q407" s="1" t="s">
        <v>654</v>
      </c>
    </row>
    <row r="408" spans="15:17" x14ac:dyDescent="0.25">
      <c r="O408" s="1">
        <v>15664</v>
      </c>
      <c r="P408" s="3" t="s">
        <v>653</v>
      </c>
      <c r="Q408" s="1" t="s">
        <v>654</v>
      </c>
    </row>
    <row r="409" spans="15:17" x14ac:dyDescent="0.25">
      <c r="O409" s="1">
        <v>15665</v>
      </c>
      <c r="P409" s="3" t="s">
        <v>653</v>
      </c>
      <c r="Q409" s="1" t="s">
        <v>654</v>
      </c>
    </row>
    <row r="410" spans="15:17" x14ac:dyDescent="0.25">
      <c r="O410" s="1">
        <v>15666</v>
      </c>
      <c r="P410" s="3" t="s">
        <v>653</v>
      </c>
      <c r="Q410" s="1" t="s">
        <v>654</v>
      </c>
    </row>
    <row r="411" spans="15:17" x14ac:dyDescent="0.25">
      <c r="O411" s="1">
        <v>15668</v>
      </c>
      <c r="P411" s="3" t="s">
        <v>653</v>
      </c>
      <c r="Q411" s="1" t="s">
        <v>654</v>
      </c>
    </row>
    <row r="412" spans="15:17" x14ac:dyDescent="0.25">
      <c r="O412" s="1">
        <v>15670</v>
      </c>
      <c r="P412" s="3" t="s">
        <v>653</v>
      </c>
      <c r="Q412" s="1" t="s">
        <v>654</v>
      </c>
    </row>
    <row r="413" spans="15:17" x14ac:dyDescent="0.25">
      <c r="O413" s="1">
        <v>15671</v>
      </c>
      <c r="P413" s="3" t="s">
        <v>653</v>
      </c>
      <c r="Q413" s="1" t="s">
        <v>654</v>
      </c>
    </row>
    <row r="414" spans="15:17" x14ac:dyDescent="0.25">
      <c r="O414" s="1">
        <v>15672</v>
      </c>
      <c r="P414" s="3" t="s">
        <v>653</v>
      </c>
      <c r="Q414" s="1" t="s">
        <v>654</v>
      </c>
    </row>
    <row r="415" spans="15:17" x14ac:dyDescent="0.25">
      <c r="O415" s="1">
        <v>15673</v>
      </c>
      <c r="P415" s="3" t="s">
        <v>653</v>
      </c>
      <c r="Q415" s="1" t="s">
        <v>654</v>
      </c>
    </row>
    <row r="416" spans="15:17" x14ac:dyDescent="0.25">
      <c r="O416" s="1">
        <v>15674</v>
      </c>
      <c r="P416" s="3" t="s">
        <v>653</v>
      </c>
      <c r="Q416" s="1" t="s">
        <v>654</v>
      </c>
    </row>
    <row r="417" spans="15:17" x14ac:dyDescent="0.25">
      <c r="O417" s="1">
        <v>15675</v>
      </c>
      <c r="P417" s="3" t="s">
        <v>653</v>
      </c>
      <c r="Q417" s="1" t="s">
        <v>654</v>
      </c>
    </row>
    <row r="418" spans="15:17" x14ac:dyDescent="0.25">
      <c r="O418" s="1">
        <v>15676</v>
      </c>
      <c r="P418" s="3" t="s">
        <v>653</v>
      </c>
      <c r="Q418" s="1" t="s">
        <v>654</v>
      </c>
    </row>
    <row r="419" spans="15:17" x14ac:dyDescent="0.25">
      <c r="O419" s="1">
        <v>15677</v>
      </c>
      <c r="P419" s="3" t="s">
        <v>653</v>
      </c>
      <c r="Q419" s="1" t="s">
        <v>654</v>
      </c>
    </row>
    <row r="420" spans="15:17" x14ac:dyDescent="0.25">
      <c r="O420" s="1">
        <v>15678</v>
      </c>
      <c r="P420" s="3" t="s">
        <v>653</v>
      </c>
      <c r="Q420" s="1" t="s">
        <v>654</v>
      </c>
    </row>
    <row r="421" spans="15:17" x14ac:dyDescent="0.25">
      <c r="O421" s="1">
        <v>15679</v>
      </c>
      <c r="P421" s="3" t="s">
        <v>653</v>
      </c>
      <c r="Q421" s="1" t="s">
        <v>654</v>
      </c>
    </row>
    <row r="422" spans="15:17" x14ac:dyDescent="0.25">
      <c r="O422" s="1">
        <v>15680</v>
      </c>
      <c r="P422" s="3" t="s">
        <v>653</v>
      </c>
      <c r="Q422" s="1" t="s">
        <v>654</v>
      </c>
    </row>
    <row r="423" spans="15:17" x14ac:dyDescent="0.25">
      <c r="O423" s="1">
        <v>15681</v>
      </c>
      <c r="P423" s="3" t="s">
        <v>653</v>
      </c>
      <c r="Q423" s="1" t="s">
        <v>654</v>
      </c>
    </row>
    <row r="424" spans="15:17" x14ac:dyDescent="0.25">
      <c r="O424" s="1">
        <v>15682</v>
      </c>
      <c r="P424" s="3" t="s">
        <v>653</v>
      </c>
      <c r="Q424" s="1" t="s">
        <v>654</v>
      </c>
    </row>
    <row r="425" spans="15:17" x14ac:dyDescent="0.25">
      <c r="O425" s="1">
        <v>15683</v>
      </c>
      <c r="P425" s="3" t="s">
        <v>653</v>
      </c>
      <c r="Q425" s="1" t="s">
        <v>654</v>
      </c>
    </row>
    <row r="426" spans="15:17" x14ac:dyDescent="0.25">
      <c r="O426" s="1">
        <v>15684</v>
      </c>
      <c r="P426" s="3" t="s">
        <v>653</v>
      </c>
      <c r="Q426" s="1" t="s">
        <v>654</v>
      </c>
    </row>
    <row r="427" spans="15:17" x14ac:dyDescent="0.25">
      <c r="O427" s="1">
        <v>15685</v>
      </c>
      <c r="P427" s="3" t="s">
        <v>653</v>
      </c>
      <c r="Q427" s="1" t="s">
        <v>654</v>
      </c>
    </row>
    <row r="428" spans="15:17" x14ac:dyDescent="0.25">
      <c r="O428" s="1">
        <v>15686</v>
      </c>
      <c r="P428" s="3" t="s">
        <v>653</v>
      </c>
      <c r="Q428" s="1" t="s">
        <v>654</v>
      </c>
    </row>
    <row r="429" spans="15:17" x14ac:dyDescent="0.25">
      <c r="O429" s="1">
        <v>15687</v>
      </c>
      <c r="P429" s="3" t="s">
        <v>653</v>
      </c>
      <c r="Q429" s="1" t="s">
        <v>654</v>
      </c>
    </row>
    <row r="430" spans="15:17" x14ac:dyDescent="0.25">
      <c r="O430" s="1">
        <v>15688</v>
      </c>
      <c r="P430" s="3" t="s">
        <v>653</v>
      </c>
      <c r="Q430" s="1" t="s">
        <v>654</v>
      </c>
    </row>
    <row r="431" spans="15:17" x14ac:dyDescent="0.25">
      <c r="O431" s="1">
        <v>15689</v>
      </c>
      <c r="P431" s="3" t="s">
        <v>653</v>
      </c>
      <c r="Q431" s="1" t="s">
        <v>654</v>
      </c>
    </row>
    <row r="432" spans="15:17" x14ac:dyDescent="0.25">
      <c r="O432" s="1">
        <v>15690</v>
      </c>
      <c r="P432" s="3" t="s">
        <v>653</v>
      </c>
      <c r="Q432" s="1" t="s">
        <v>654</v>
      </c>
    </row>
    <row r="433" spans="15:17" x14ac:dyDescent="0.25">
      <c r="O433" s="1">
        <v>15691</v>
      </c>
      <c r="P433" s="3" t="s">
        <v>653</v>
      </c>
      <c r="Q433" s="1" t="s">
        <v>654</v>
      </c>
    </row>
    <row r="434" spans="15:17" x14ac:dyDescent="0.25">
      <c r="O434" s="1">
        <v>15692</v>
      </c>
      <c r="P434" s="3" t="s">
        <v>653</v>
      </c>
      <c r="Q434" s="1" t="s">
        <v>654</v>
      </c>
    </row>
    <row r="435" spans="15:17" x14ac:dyDescent="0.25">
      <c r="O435" s="1">
        <v>15693</v>
      </c>
      <c r="P435" s="3" t="s">
        <v>653</v>
      </c>
      <c r="Q435" s="1" t="s">
        <v>654</v>
      </c>
    </row>
    <row r="436" spans="15:17" x14ac:dyDescent="0.25">
      <c r="O436" s="1">
        <v>15695</v>
      </c>
      <c r="P436" s="3" t="s">
        <v>653</v>
      </c>
      <c r="Q436" s="1" t="s">
        <v>654</v>
      </c>
    </row>
    <row r="437" spans="15:17" x14ac:dyDescent="0.25">
      <c r="O437" s="1">
        <v>15696</v>
      </c>
      <c r="P437" s="3" t="s">
        <v>653</v>
      </c>
      <c r="Q437" s="1" t="s">
        <v>654</v>
      </c>
    </row>
    <row r="438" spans="15:17" x14ac:dyDescent="0.25">
      <c r="O438" s="1">
        <v>15697</v>
      </c>
      <c r="P438" s="3" t="s">
        <v>653</v>
      </c>
      <c r="Q438" s="1" t="s">
        <v>654</v>
      </c>
    </row>
    <row r="439" spans="15:17" x14ac:dyDescent="0.25">
      <c r="O439" s="1">
        <v>15698</v>
      </c>
      <c r="P439" s="3" t="s">
        <v>653</v>
      </c>
      <c r="Q439" s="1" t="s">
        <v>654</v>
      </c>
    </row>
    <row r="440" spans="15:17" x14ac:dyDescent="0.25">
      <c r="O440" s="1">
        <v>15701</v>
      </c>
      <c r="P440" s="3" t="s">
        <v>653</v>
      </c>
      <c r="Q440" s="1" t="s">
        <v>654</v>
      </c>
    </row>
    <row r="441" spans="15:17" x14ac:dyDescent="0.25">
      <c r="O441" s="1">
        <v>15705</v>
      </c>
      <c r="P441" s="3" t="s">
        <v>653</v>
      </c>
      <c r="Q441" s="1" t="s">
        <v>654</v>
      </c>
    </row>
    <row r="442" spans="15:17" x14ac:dyDescent="0.25">
      <c r="O442" s="1">
        <v>15710</v>
      </c>
      <c r="P442" s="3" t="s">
        <v>653</v>
      </c>
      <c r="Q442" s="1" t="s">
        <v>654</v>
      </c>
    </row>
    <row r="443" spans="15:17" x14ac:dyDescent="0.25">
      <c r="O443" s="1">
        <v>15711</v>
      </c>
      <c r="P443" s="3" t="s">
        <v>713</v>
      </c>
      <c r="Q443" s="1" t="s">
        <v>673</v>
      </c>
    </row>
    <row r="444" spans="15:17" x14ac:dyDescent="0.25">
      <c r="O444" s="1">
        <v>15712</v>
      </c>
      <c r="P444" s="3" t="s">
        <v>653</v>
      </c>
      <c r="Q444" s="1" t="s">
        <v>654</v>
      </c>
    </row>
    <row r="445" spans="15:17" x14ac:dyDescent="0.25">
      <c r="O445" s="1">
        <v>15713</v>
      </c>
      <c r="P445" s="3" t="s">
        <v>653</v>
      </c>
      <c r="Q445" s="1" t="s">
        <v>654</v>
      </c>
    </row>
    <row r="446" spans="15:17" x14ac:dyDescent="0.25">
      <c r="O446" s="1">
        <v>15714</v>
      </c>
      <c r="P446" s="3" t="s">
        <v>653</v>
      </c>
      <c r="Q446" s="1" t="s">
        <v>654</v>
      </c>
    </row>
    <row r="447" spans="15:17" x14ac:dyDescent="0.25">
      <c r="O447" s="1">
        <v>15715</v>
      </c>
      <c r="P447" s="3" t="s">
        <v>713</v>
      </c>
      <c r="Q447" s="1" t="s">
        <v>673</v>
      </c>
    </row>
    <row r="448" spans="15:17" x14ac:dyDescent="0.25">
      <c r="O448" s="1">
        <v>15716</v>
      </c>
      <c r="P448" s="3" t="s">
        <v>653</v>
      </c>
      <c r="Q448" s="1" t="s">
        <v>654</v>
      </c>
    </row>
    <row r="449" spans="15:17" x14ac:dyDescent="0.25">
      <c r="O449" s="1">
        <v>15717</v>
      </c>
      <c r="P449" s="3" t="s">
        <v>653</v>
      </c>
      <c r="Q449" s="1" t="s">
        <v>654</v>
      </c>
    </row>
    <row r="450" spans="15:17" x14ac:dyDescent="0.25">
      <c r="O450" s="1">
        <v>15720</v>
      </c>
      <c r="P450" s="3" t="s">
        <v>653</v>
      </c>
      <c r="Q450" s="1" t="s">
        <v>654</v>
      </c>
    </row>
    <row r="451" spans="15:17" x14ac:dyDescent="0.25">
      <c r="O451" s="1">
        <v>15721</v>
      </c>
      <c r="P451" s="3" t="s">
        <v>714</v>
      </c>
      <c r="Q451" s="1" t="s">
        <v>667</v>
      </c>
    </row>
    <row r="452" spans="15:17" x14ac:dyDescent="0.25">
      <c r="O452" s="1">
        <v>15722</v>
      </c>
      <c r="P452" s="3" t="s">
        <v>653</v>
      </c>
      <c r="Q452" s="1" t="s">
        <v>654</v>
      </c>
    </row>
    <row r="453" spans="15:17" x14ac:dyDescent="0.25">
      <c r="O453" s="1">
        <v>15723</v>
      </c>
      <c r="P453" s="3" t="s">
        <v>653</v>
      </c>
      <c r="Q453" s="1" t="s">
        <v>654</v>
      </c>
    </row>
    <row r="454" spans="15:17" x14ac:dyDescent="0.25">
      <c r="O454" s="1">
        <v>15724</v>
      </c>
      <c r="P454" s="3" t="s">
        <v>653</v>
      </c>
      <c r="Q454" s="1" t="s">
        <v>654</v>
      </c>
    </row>
    <row r="455" spans="15:17" x14ac:dyDescent="0.25">
      <c r="O455" s="1">
        <v>15725</v>
      </c>
      <c r="P455" s="3" t="s">
        <v>653</v>
      </c>
      <c r="Q455" s="1" t="s">
        <v>654</v>
      </c>
    </row>
    <row r="456" spans="15:17" x14ac:dyDescent="0.25">
      <c r="O456" s="1">
        <v>15727</v>
      </c>
      <c r="P456" s="3" t="s">
        <v>653</v>
      </c>
      <c r="Q456" s="1" t="s">
        <v>654</v>
      </c>
    </row>
    <row r="457" spans="15:17" x14ac:dyDescent="0.25">
      <c r="O457" s="1">
        <v>15728</v>
      </c>
      <c r="P457" s="3" t="s">
        <v>653</v>
      </c>
      <c r="Q457" s="1" t="s">
        <v>654</v>
      </c>
    </row>
    <row r="458" spans="15:17" x14ac:dyDescent="0.25">
      <c r="O458" s="1">
        <v>15729</v>
      </c>
      <c r="P458" s="3" t="s">
        <v>653</v>
      </c>
      <c r="Q458" s="1" t="s">
        <v>654</v>
      </c>
    </row>
    <row r="459" spans="15:17" x14ac:dyDescent="0.25">
      <c r="O459" s="1">
        <v>15730</v>
      </c>
      <c r="P459" s="3" t="s">
        <v>713</v>
      </c>
      <c r="Q459" s="1" t="s">
        <v>673</v>
      </c>
    </row>
    <row r="460" spans="15:17" x14ac:dyDescent="0.25">
      <c r="O460" s="1">
        <v>15731</v>
      </c>
      <c r="P460" s="3" t="s">
        <v>653</v>
      </c>
      <c r="Q460" s="1" t="s">
        <v>654</v>
      </c>
    </row>
    <row r="461" spans="15:17" x14ac:dyDescent="0.25">
      <c r="O461" s="1">
        <v>15732</v>
      </c>
      <c r="P461" s="3" t="s">
        <v>653</v>
      </c>
      <c r="Q461" s="1" t="s">
        <v>654</v>
      </c>
    </row>
    <row r="462" spans="15:17" x14ac:dyDescent="0.25">
      <c r="O462" s="1">
        <v>15733</v>
      </c>
      <c r="P462" s="3" t="s">
        <v>713</v>
      </c>
      <c r="Q462" s="1" t="s">
        <v>673</v>
      </c>
    </row>
    <row r="463" spans="15:17" x14ac:dyDescent="0.25">
      <c r="O463" s="1">
        <v>15734</v>
      </c>
      <c r="P463" s="3" t="s">
        <v>653</v>
      </c>
      <c r="Q463" s="1" t="s">
        <v>654</v>
      </c>
    </row>
    <row r="464" spans="15:17" x14ac:dyDescent="0.25">
      <c r="O464" s="1">
        <v>15736</v>
      </c>
      <c r="P464" s="3" t="s">
        <v>653</v>
      </c>
      <c r="Q464" s="1" t="s">
        <v>654</v>
      </c>
    </row>
    <row r="465" spans="15:17" x14ac:dyDescent="0.25">
      <c r="O465" s="1">
        <v>15737</v>
      </c>
      <c r="P465" s="3" t="s">
        <v>653</v>
      </c>
      <c r="Q465" s="1" t="s">
        <v>654</v>
      </c>
    </row>
    <row r="466" spans="15:17" x14ac:dyDescent="0.25">
      <c r="O466" s="1">
        <v>15738</v>
      </c>
      <c r="P466" s="3" t="s">
        <v>653</v>
      </c>
      <c r="Q466" s="1" t="s">
        <v>654</v>
      </c>
    </row>
    <row r="467" spans="15:17" x14ac:dyDescent="0.25">
      <c r="O467" s="1">
        <v>15739</v>
      </c>
      <c r="P467" s="3" t="s">
        <v>653</v>
      </c>
      <c r="Q467" s="1" t="s">
        <v>654</v>
      </c>
    </row>
    <row r="468" spans="15:17" x14ac:dyDescent="0.25">
      <c r="O468" s="1">
        <v>15740</v>
      </c>
      <c r="P468" s="3" t="s">
        <v>713</v>
      </c>
      <c r="Q468" s="1" t="s">
        <v>673</v>
      </c>
    </row>
    <row r="469" spans="15:17" x14ac:dyDescent="0.25">
      <c r="O469" s="1">
        <v>15741</v>
      </c>
      <c r="P469" s="3" t="s">
        <v>653</v>
      </c>
      <c r="Q469" s="1" t="s">
        <v>654</v>
      </c>
    </row>
    <row r="470" spans="15:17" x14ac:dyDescent="0.25">
      <c r="O470" s="1">
        <v>15742</v>
      </c>
      <c r="P470" s="3" t="s">
        <v>653</v>
      </c>
      <c r="Q470" s="1" t="s">
        <v>654</v>
      </c>
    </row>
    <row r="471" spans="15:17" x14ac:dyDescent="0.25">
      <c r="O471" s="1">
        <v>15744</v>
      </c>
      <c r="P471" s="3" t="s">
        <v>713</v>
      </c>
      <c r="Q471" s="1" t="s">
        <v>673</v>
      </c>
    </row>
    <row r="472" spans="15:17" x14ac:dyDescent="0.25">
      <c r="O472" s="1">
        <v>15745</v>
      </c>
      <c r="P472" s="3" t="s">
        <v>653</v>
      </c>
      <c r="Q472" s="1" t="s">
        <v>654</v>
      </c>
    </row>
    <row r="473" spans="15:17" x14ac:dyDescent="0.25">
      <c r="O473" s="1">
        <v>15746</v>
      </c>
      <c r="P473" s="3" t="s">
        <v>653</v>
      </c>
      <c r="Q473" s="1" t="s">
        <v>654</v>
      </c>
    </row>
    <row r="474" spans="15:17" x14ac:dyDescent="0.25">
      <c r="O474" s="1">
        <v>15747</v>
      </c>
      <c r="P474" s="3" t="s">
        <v>653</v>
      </c>
      <c r="Q474" s="1" t="s">
        <v>654</v>
      </c>
    </row>
    <row r="475" spans="15:17" x14ac:dyDescent="0.25">
      <c r="O475" s="1">
        <v>15748</v>
      </c>
      <c r="P475" s="3" t="s">
        <v>653</v>
      </c>
      <c r="Q475" s="1" t="s">
        <v>654</v>
      </c>
    </row>
    <row r="476" spans="15:17" x14ac:dyDescent="0.25">
      <c r="O476" s="1">
        <v>15750</v>
      </c>
      <c r="P476" s="3" t="s">
        <v>653</v>
      </c>
      <c r="Q476" s="1" t="s">
        <v>654</v>
      </c>
    </row>
    <row r="477" spans="15:17" x14ac:dyDescent="0.25">
      <c r="O477" s="1">
        <v>15752</v>
      </c>
      <c r="P477" s="3" t="s">
        <v>653</v>
      </c>
      <c r="Q477" s="1" t="s">
        <v>654</v>
      </c>
    </row>
    <row r="478" spans="15:17" x14ac:dyDescent="0.25">
      <c r="O478" s="1">
        <v>15753</v>
      </c>
      <c r="P478" s="3" t="s">
        <v>714</v>
      </c>
      <c r="Q478" s="1" t="s">
        <v>667</v>
      </c>
    </row>
    <row r="479" spans="15:17" x14ac:dyDescent="0.25">
      <c r="O479" s="1">
        <v>15754</v>
      </c>
      <c r="P479" s="3" t="s">
        <v>653</v>
      </c>
      <c r="Q479" s="1" t="s">
        <v>654</v>
      </c>
    </row>
    <row r="480" spans="15:17" x14ac:dyDescent="0.25">
      <c r="O480" s="1">
        <v>15756</v>
      </c>
      <c r="P480" s="3" t="s">
        <v>653</v>
      </c>
      <c r="Q480" s="1" t="s">
        <v>654</v>
      </c>
    </row>
    <row r="481" spans="15:17" x14ac:dyDescent="0.25">
      <c r="O481" s="1">
        <v>15757</v>
      </c>
      <c r="P481" s="3" t="s">
        <v>714</v>
      </c>
      <c r="Q481" s="1" t="s">
        <v>667</v>
      </c>
    </row>
    <row r="482" spans="15:17" x14ac:dyDescent="0.25">
      <c r="O482" s="1">
        <v>15758</v>
      </c>
      <c r="P482" s="3" t="s">
        <v>653</v>
      </c>
      <c r="Q482" s="1" t="s">
        <v>654</v>
      </c>
    </row>
    <row r="483" spans="15:17" x14ac:dyDescent="0.25">
      <c r="O483" s="1">
        <v>15759</v>
      </c>
      <c r="P483" s="3" t="s">
        <v>653</v>
      </c>
      <c r="Q483" s="1" t="s">
        <v>654</v>
      </c>
    </row>
    <row r="484" spans="15:17" x14ac:dyDescent="0.25">
      <c r="O484" s="1">
        <v>15760</v>
      </c>
      <c r="P484" s="3" t="s">
        <v>653</v>
      </c>
      <c r="Q484" s="1" t="s">
        <v>654</v>
      </c>
    </row>
    <row r="485" spans="15:17" x14ac:dyDescent="0.25">
      <c r="O485" s="1">
        <v>15761</v>
      </c>
      <c r="P485" s="3" t="s">
        <v>653</v>
      </c>
      <c r="Q485" s="1" t="s">
        <v>654</v>
      </c>
    </row>
    <row r="486" spans="15:17" x14ac:dyDescent="0.25">
      <c r="O486" s="1">
        <v>15762</v>
      </c>
      <c r="P486" s="3" t="s">
        <v>653</v>
      </c>
      <c r="Q486" s="1" t="s">
        <v>654</v>
      </c>
    </row>
    <row r="487" spans="15:17" x14ac:dyDescent="0.25">
      <c r="O487" s="1">
        <v>15763</v>
      </c>
      <c r="P487" s="3" t="s">
        <v>653</v>
      </c>
      <c r="Q487" s="1" t="s">
        <v>654</v>
      </c>
    </row>
    <row r="488" spans="15:17" x14ac:dyDescent="0.25">
      <c r="O488" s="1">
        <v>15764</v>
      </c>
      <c r="P488" s="3" t="s">
        <v>713</v>
      </c>
      <c r="Q488" s="1" t="s">
        <v>673</v>
      </c>
    </row>
    <row r="489" spans="15:17" x14ac:dyDescent="0.25">
      <c r="O489" s="1">
        <v>15765</v>
      </c>
      <c r="P489" s="3" t="s">
        <v>653</v>
      </c>
      <c r="Q489" s="1" t="s">
        <v>654</v>
      </c>
    </row>
    <row r="490" spans="15:17" x14ac:dyDescent="0.25">
      <c r="O490" s="1">
        <v>15767</v>
      </c>
      <c r="P490" s="3" t="s">
        <v>713</v>
      </c>
      <c r="Q490" s="1" t="s">
        <v>673</v>
      </c>
    </row>
    <row r="491" spans="15:17" x14ac:dyDescent="0.25">
      <c r="O491" s="1">
        <v>15770</v>
      </c>
      <c r="P491" s="3" t="s">
        <v>713</v>
      </c>
      <c r="Q491" s="1" t="s">
        <v>673</v>
      </c>
    </row>
    <row r="492" spans="15:17" x14ac:dyDescent="0.25">
      <c r="O492" s="1">
        <v>15771</v>
      </c>
      <c r="P492" s="3" t="s">
        <v>653</v>
      </c>
      <c r="Q492" s="1" t="s">
        <v>654</v>
      </c>
    </row>
    <row r="493" spans="15:17" x14ac:dyDescent="0.25">
      <c r="O493" s="1">
        <v>15772</v>
      </c>
      <c r="P493" s="3" t="s">
        <v>653</v>
      </c>
      <c r="Q493" s="1" t="s">
        <v>654</v>
      </c>
    </row>
    <row r="494" spans="15:17" x14ac:dyDescent="0.25">
      <c r="O494" s="1">
        <v>15773</v>
      </c>
      <c r="P494" s="3" t="s">
        <v>653</v>
      </c>
      <c r="Q494" s="1" t="s">
        <v>654</v>
      </c>
    </row>
    <row r="495" spans="15:17" x14ac:dyDescent="0.25">
      <c r="O495" s="1">
        <v>15774</v>
      </c>
      <c r="P495" s="3" t="s">
        <v>653</v>
      </c>
      <c r="Q495" s="1" t="s">
        <v>654</v>
      </c>
    </row>
    <row r="496" spans="15:17" x14ac:dyDescent="0.25">
      <c r="O496" s="1">
        <v>15775</v>
      </c>
      <c r="P496" s="3" t="s">
        <v>653</v>
      </c>
      <c r="Q496" s="1" t="s">
        <v>654</v>
      </c>
    </row>
    <row r="497" spans="15:17" x14ac:dyDescent="0.25">
      <c r="O497" s="1">
        <v>15776</v>
      </c>
      <c r="P497" s="3" t="s">
        <v>713</v>
      </c>
      <c r="Q497" s="1" t="s">
        <v>673</v>
      </c>
    </row>
    <row r="498" spans="15:17" x14ac:dyDescent="0.25">
      <c r="O498" s="1">
        <v>15777</v>
      </c>
      <c r="P498" s="3" t="s">
        <v>653</v>
      </c>
      <c r="Q498" s="1" t="s">
        <v>654</v>
      </c>
    </row>
    <row r="499" spans="15:17" x14ac:dyDescent="0.25">
      <c r="O499" s="1">
        <v>15778</v>
      </c>
      <c r="P499" s="3" t="s">
        <v>713</v>
      </c>
      <c r="Q499" s="1" t="s">
        <v>673</v>
      </c>
    </row>
    <row r="500" spans="15:17" x14ac:dyDescent="0.25">
      <c r="O500" s="1">
        <v>15779</v>
      </c>
      <c r="P500" s="3" t="s">
        <v>653</v>
      </c>
      <c r="Q500" s="1" t="s">
        <v>654</v>
      </c>
    </row>
    <row r="501" spans="15:17" x14ac:dyDescent="0.25">
      <c r="O501" s="1">
        <v>15780</v>
      </c>
      <c r="P501" s="3" t="s">
        <v>713</v>
      </c>
      <c r="Q501" s="1" t="s">
        <v>673</v>
      </c>
    </row>
    <row r="502" spans="15:17" x14ac:dyDescent="0.25">
      <c r="O502" s="1">
        <v>15781</v>
      </c>
      <c r="P502" s="3" t="s">
        <v>713</v>
      </c>
      <c r="Q502" s="1" t="s">
        <v>673</v>
      </c>
    </row>
    <row r="503" spans="15:17" x14ac:dyDescent="0.25">
      <c r="O503" s="1">
        <v>15783</v>
      </c>
      <c r="P503" s="3" t="s">
        <v>653</v>
      </c>
      <c r="Q503" s="1" t="s">
        <v>654</v>
      </c>
    </row>
    <row r="504" spans="15:17" x14ac:dyDescent="0.25">
      <c r="O504" s="1">
        <v>15784</v>
      </c>
      <c r="P504" s="3" t="s">
        <v>713</v>
      </c>
      <c r="Q504" s="1" t="s">
        <v>673</v>
      </c>
    </row>
    <row r="505" spans="15:17" x14ac:dyDescent="0.25">
      <c r="O505" s="1">
        <v>15801</v>
      </c>
      <c r="P505" s="3" t="s">
        <v>714</v>
      </c>
      <c r="Q505" s="1" t="s">
        <v>667</v>
      </c>
    </row>
    <row r="506" spans="15:17" x14ac:dyDescent="0.25">
      <c r="O506" s="1">
        <v>15821</v>
      </c>
      <c r="P506" s="3" t="s">
        <v>714</v>
      </c>
      <c r="Q506" s="1" t="s">
        <v>667</v>
      </c>
    </row>
    <row r="507" spans="15:17" x14ac:dyDescent="0.25">
      <c r="O507" s="1">
        <v>15822</v>
      </c>
      <c r="P507" s="3" t="s">
        <v>714</v>
      </c>
      <c r="Q507" s="1" t="s">
        <v>667</v>
      </c>
    </row>
    <row r="508" spans="15:17" x14ac:dyDescent="0.25">
      <c r="O508" s="1">
        <v>15823</v>
      </c>
      <c r="P508" s="3" t="s">
        <v>714</v>
      </c>
      <c r="Q508" s="1" t="s">
        <v>667</v>
      </c>
    </row>
    <row r="509" spans="15:17" x14ac:dyDescent="0.25">
      <c r="O509" s="1">
        <v>15824</v>
      </c>
      <c r="P509" s="3" t="s">
        <v>713</v>
      </c>
      <c r="Q509" s="1" t="s">
        <v>673</v>
      </c>
    </row>
    <row r="510" spans="15:17" x14ac:dyDescent="0.25">
      <c r="O510" s="1">
        <v>15825</v>
      </c>
      <c r="P510" s="3" t="s">
        <v>713</v>
      </c>
      <c r="Q510" s="1" t="s">
        <v>673</v>
      </c>
    </row>
    <row r="511" spans="15:17" x14ac:dyDescent="0.25">
      <c r="O511" s="1">
        <v>15827</v>
      </c>
      <c r="P511" s="3" t="s">
        <v>714</v>
      </c>
      <c r="Q511" s="1" t="s">
        <v>667</v>
      </c>
    </row>
    <row r="512" spans="15:17" x14ac:dyDescent="0.25">
      <c r="O512" s="1">
        <v>15828</v>
      </c>
      <c r="P512" s="3" t="s">
        <v>713</v>
      </c>
      <c r="Q512" s="1" t="s">
        <v>673</v>
      </c>
    </row>
    <row r="513" spans="15:17" x14ac:dyDescent="0.25">
      <c r="O513" s="1">
        <v>15829</v>
      </c>
      <c r="P513" s="3" t="s">
        <v>713</v>
      </c>
      <c r="Q513" s="1" t="s">
        <v>673</v>
      </c>
    </row>
    <row r="514" spans="15:17" x14ac:dyDescent="0.25">
      <c r="O514" s="1">
        <v>15831</v>
      </c>
      <c r="P514" s="3" t="s">
        <v>714</v>
      </c>
      <c r="Q514" s="1" t="s">
        <v>667</v>
      </c>
    </row>
    <row r="515" spans="15:17" x14ac:dyDescent="0.25">
      <c r="O515" s="1">
        <v>15832</v>
      </c>
      <c r="P515" s="3" t="s">
        <v>714</v>
      </c>
      <c r="Q515" s="1" t="s">
        <v>667</v>
      </c>
    </row>
    <row r="516" spans="15:17" x14ac:dyDescent="0.25">
      <c r="O516" s="1">
        <v>15834</v>
      </c>
      <c r="P516" s="3" t="s">
        <v>714</v>
      </c>
      <c r="Q516" s="1" t="s">
        <v>667</v>
      </c>
    </row>
    <row r="517" spans="15:17" x14ac:dyDescent="0.25">
      <c r="O517" s="1">
        <v>15840</v>
      </c>
      <c r="P517" s="3" t="s">
        <v>713</v>
      </c>
      <c r="Q517" s="1" t="s">
        <v>673</v>
      </c>
    </row>
    <row r="518" spans="15:17" x14ac:dyDescent="0.25">
      <c r="O518" s="1">
        <v>15841</v>
      </c>
      <c r="P518" s="3" t="s">
        <v>714</v>
      </c>
      <c r="Q518" s="1" t="s">
        <v>667</v>
      </c>
    </row>
    <row r="519" spans="15:17" x14ac:dyDescent="0.25">
      <c r="O519" s="1">
        <v>15845</v>
      </c>
      <c r="P519" s="3" t="s">
        <v>714</v>
      </c>
      <c r="Q519" s="1" t="s">
        <v>667</v>
      </c>
    </row>
    <row r="520" spans="15:17" x14ac:dyDescent="0.25">
      <c r="O520" s="1">
        <v>15846</v>
      </c>
      <c r="P520" s="3" t="s">
        <v>714</v>
      </c>
      <c r="Q520" s="1" t="s">
        <v>667</v>
      </c>
    </row>
    <row r="521" spans="15:17" x14ac:dyDescent="0.25">
      <c r="O521" s="1">
        <v>15847</v>
      </c>
      <c r="P521" s="3" t="s">
        <v>713</v>
      </c>
      <c r="Q521" s="1" t="s">
        <v>673</v>
      </c>
    </row>
    <row r="522" spans="15:17" x14ac:dyDescent="0.25">
      <c r="O522" s="1">
        <v>15848</v>
      </c>
      <c r="P522" s="3" t="s">
        <v>714</v>
      </c>
      <c r="Q522" s="1" t="s">
        <v>667</v>
      </c>
    </row>
    <row r="523" spans="15:17" x14ac:dyDescent="0.25">
      <c r="O523" s="1">
        <v>15849</v>
      </c>
      <c r="P523" s="3" t="s">
        <v>714</v>
      </c>
      <c r="Q523" s="1" t="s">
        <v>667</v>
      </c>
    </row>
    <row r="524" spans="15:17" x14ac:dyDescent="0.25">
      <c r="O524" s="1">
        <v>15851</v>
      </c>
      <c r="P524" s="3" t="s">
        <v>713</v>
      </c>
      <c r="Q524" s="1" t="s">
        <v>673</v>
      </c>
    </row>
    <row r="525" spans="15:17" x14ac:dyDescent="0.25">
      <c r="O525" s="1">
        <v>15853</v>
      </c>
      <c r="P525" s="3" t="s">
        <v>714</v>
      </c>
      <c r="Q525" s="1" t="s">
        <v>667</v>
      </c>
    </row>
    <row r="526" spans="15:17" x14ac:dyDescent="0.25">
      <c r="O526" s="1">
        <v>15856</v>
      </c>
      <c r="P526" s="3" t="s">
        <v>714</v>
      </c>
      <c r="Q526" s="1" t="s">
        <v>667</v>
      </c>
    </row>
    <row r="527" spans="15:17" x14ac:dyDescent="0.25">
      <c r="O527" s="1">
        <v>15857</v>
      </c>
      <c r="P527" s="3" t="s">
        <v>714</v>
      </c>
      <c r="Q527" s="1" t="s">
        <v>667</v>
      </c>
    </row>
    <row r="528" spans="15:17" x14ac:dyDescent="0.25">
      <c r="O528" s="1">
        <v>15860</v>
      </c>
      <c r="P528" s="3" t="s">
        <v>713</v>
      </c>
      <c r="Q528" s="1" t="s">
        <v>673</v>
      </c>
    </row>
    <row r="529" spans="15:17" x14ac:dyDescent="0.25">
      <c r="O529" s="1">
        <v>15861</v>
      </c>
      <c r="P529" s="3" t="s">
        <v>714</v>
      </c>
      <c r="Q529" s="1" t="s">
        <v>667</v>
      </c>
    </row>
    <row r="530" spans="15:17" x14ac:dyDescent="0.25">
      <c r="O530" s="1">
        <v>15863</v>
      </c>
      <c r="P530" s="3" t="s">
        <v>713</v>
      </c>
      <c r="Q530" s="1" t="s">
        <v>673</v>
      </c>
    </row>
    <row r="531" spans="15:17" x14ac:dyDescent="0.25">
      <c r="O531" s="1">
        <v>15864</v>
      </c>
      <c r="P531" s="3" t="s">
        <v>713</v>
      </c>
      <c r="Q531" s="1" t="s">
        <v>673</v>
      </c>
    </row>
    <row r="532" spans="15:17" x14ac:dyDescent="0.25">
      <c r="O532" s="1">
        <v>15865</v>
      </c>
      <c r="P532" s="3" t="s">
        <v>713</v>
      </c>
      <c r="Q532" s="1" t="s">
        <v>673</v>
      </c>
    </row>
    <row r="533" spans="15:17" x14ac:dyDescent="0.25">
      <c r="O533" s="1">
        <v>15866</v>
      </c>
      <c r="P533" s="3" t="s">
        <v>714</v>
      </c>
      <c r="Q533" s="1" t="s">
        <v>667</v>
      </c>
    </row>
    <row r="534" spans="15:17" x14ac:dyDescent="0.25">
      <c r="O534" s="1">
        <v>15868</v>
      </c>
      <c r="P534" s="3" t="s">
        <v>714</v>
      </c>
      <c r="Q534" s="1" t="s">
        <v>667</v>
      </c>
    </row>
    <row r="535" spans="15:17" x14ac:dyDescent="0.25">
      <c r="O535" s="1">
        <v>15870</v>
      </c>
      <c r="P535" s="3" t="s">
        <v>714</v>
      </c>
      <c r="Q535" s="1" t="s">
        <v>667</v>
      </c>
    </row>
    <row r="536" spans="15:17" x14ac:dyDescent="0.25">
      <c r="O536" s="1">
        <v>15901</v>
      </c>
      <c r="P536" s="3" t="s">
        <v>653</v>
      </c>
      <c r="Q536" s="1" t="s">
        <v>654</v>
      </c>
    </row>
    <row r="537" spans="15:17" x14ac:dyDescent="0.25">
      <c r="O537" s="1">
        <v>15902</v>
      </c>
      <c r="P537" s="3" t="s">
        <v>653</v>
      </c>
      <c r="Q537" s="1" t="s">
        <v>654</v>
      </c>
    </row>
    <row r="538" spans="15:17" x14ac:dyDescent="0.25">
      <c r="O538" s="1">
        <v>15904</v>
      </c>
      <c r="P538" s="3" t="s">
        <v>653</v>
      </c>
      <c r="Q538" s="1" t="s">
        <v>654</v>
      </c>
    </row>
    <row r="539" spans="15:17" x14ac:dyDescent="0.25">
      <c r="O539" s="1">
        <v>15905</v>
      </c>
      <c r="P539" s="3" t="s">
        <v>653</v>
      </c>
      <c r="Q539" s="1" t="s">
        <v>654</v>
      </c>
    </row>
    <row r="540" spans="15:17" x14ac:dyDescent="0.25">
      <c r="O540" s="1">
        <v>15906</v>
      </c>
      <c r="P540" s="3" t="s">
        <v>653</v>
      </c>
      <c r="Q540" s="1" t="s">
        <v>654</v>
      </c>
    </row>
    <row r="541" spans="15:17" x14ac:dyDescent="0.25">
      <c r="O541" s="1">
        <v>15907</v>
      </c>
      <c r="P541" s="3" t="s">
        <v>653</v>
      </c>
      <c r="Q541" s="1" t="s">
        <v>654</v>
      </c>
    </row>
    <row r="542" spans="15:17" x14ac:dyDescent="0.25">
      <c r="O542" s="1">
        <v>15909</v>
      </c>
      <c r="P542" s="3" t="s">
        <v>653</v>
      </c>
      <c r="Q542" s="1" t="s">
        <v>654</v>
      </c>
    </row>
    <row r="543" spans="15:17" x14ac:dyDescent="0.25">
      <c r="O543" s="1">
        <v>15915</v>
      </c>
      <c r="P543" s="3" t="s">
        <v>653</v>
      </c>
      <c r="Q543" s="1" t="s">
        <v>654</v>
      </c>
    </row>
    <row r="544" spans="15:17" x14ac:dyDescent="0.25">
      <c r="O544" s="1">
        <v>15920</v>
      </c>
      <c r="P544" s="3" t="s">
        <v>653</v>
      </c>
      <c r="Q544" s="1" t="s">
        <v>654</v>
      </c>
    </row>
    <row r="545" spans="15:17" x14ac:dyDescent="0.25">
      <c r="O545" s="1">
        <v>15921</v>
      </c>
      <c r="P545" s="3" t="s">
        <v>653</v>
      </c>
      <c r="Q545" s="1" t="s">
        <v>654</v>
      </c>
    </row>
    <row r="546" spans="15:17" x14ac:dyDescent="0.25">
      <c r="O546" s="1">
        <v>15922</v>
      </c>
      <c r="P546" s="3" t="s">
        <v>653</v>
      </c>
      <c r="Q546" s="1" t="s">
        <v>654</v>
      </c>
    </row>
    <row r="547" spans="15:17" x14ac:dyDescent="0.25">
      <c r="O547" s="1">
        <v>15923</v>
      </c>
      <c r="P547" s="3" t="s">
        <v>653</v>
      </c>
      <c r="Q547" s="1" t="s">
        <v>654</v>
      </c>
    </row>
    <row r="548" spans="15:17" x14ac:dyDescent="0.25">
      <c r="O548" s="1">
        <v>15924</v>
      </c>
      <c r="P548" s="3" t="s">
        <v>653</v>
      </c>
      <c r="Q548" s="1" t="s">
        <v>654</v>
      </c>
    </row>
    <row r="549" spans="15:17" x14ac:dyDescent="0.25">
      <c r="O549" s="1">
        <v>15925</v>
      </c>
      <c r="P549" s="3" t="s">
        <v>653</v>
      </c>
      <c r="Q549" s="1" t="s">
        <v>654</v>
      </c>
    </row>
    <row r="550" spans="15:17" x14ac:dyDescent="0.25">
      <c r="O550" s="1">
        <v>15926</v>
      </c>
      <c r="P550" s="3" t="s">
        <v>653</v>
      </c>
      <c r="Q550" s="1" t="s">
        <v>654</v>
      </c>
    </row>
    <row r="551" spans="15:17" x14ac:dyDescent="0.25">
      <c r="O551" s="1">
        <v>15927</v>
      </c>
      <c r="P551" s="3" t="s">
        <v>653</v>
      </c>
      <c r="Q551" s="1" t="s">
        <v>654</v>
      </c>
    </row>
    <row r="552" spans="15:17" x14ac:dyDescent="0.25">
      <c r="O552" s="1">
        <v>15928</v>
      </c>
      <c r="P552" s="3" t="s">
        <v>653</v>
      </c>
      <c r="Q552" s="1" t="s">
        <v>654</v>
      </c>
    </row>
    <row r="553" spans="15:17" x14ac:dyDescent="0.25">
      <c r="O553" s="1">
        <v>15929</v>
      </c>
      <c r="P553" s="3" t="s">
        <v>653</v>
      </c>
      <c r="Q553" s="1" t="s">
        <v>654</v>
      </c>
    </row>
    <row r="554" spans="15:17" x14ac:dyDescent="0.25">
      <c r="O554" s="1">
        <v>15930</v>
      </c>
      <c r="P554" s="3" t="s">
        <v>653</v>
      </c>
      <c r="Q554" s="1" t="s">
        <v>654</v>
      </c>
    </row>
    <row r="555" spans="15:17" x14ac:dyDescent="0.25">
      <c r="O555" s="1">
        <v>15931</v>
      </c>
      <c r="P555" s="3" t="s">
        <v>653</v>
      </c>
      <c r="Q555" s="1" t="s">
        <v>654</v>
      </c>
    </row>
    <row r="556" spans="15:17" x14ac:dyDescent="0.25">
      <c r="O556" s="1">
        <v>15934</v>
      </c>
      <c r="P556" s="3" t="s">
        <v>653</v>
      </c>
      <c r="Q556" s="1" t="s">
        <v>654</v>
      </c>
    </row>
    <row r="557" spans="15:17" x14ac:dyDescent="0.25">
      <c r="O557" s="1">
        <v>15935</v>
      </c>
      <c r="P557" s="3" t="s">
        <v>653</v>
      </c>
      <c r="Q557" s="1" t="s">
        <v>654</v>
      </c>
    </row>
    <row r="558" spans="15:17" x14ac:dyDescent="0.25">
      <c r="O558" s="1">
        <v>15936</v>
      </c>
      <c r="P558" s="3" t="s">
        <v>653</v>
      </c>
      <c r="Q558" s="1" t="s">
        <v>654</v>
      </c>
    </row>
    <row r="559" spans="15:17" x14ac:dyDescent="0.25">
      <c r="O559" s="1">
        <v>15937</v>
      </c>
      <c r="P559" s="3" t="s">
        <v>653</v>
      </c>
      <c r="Q559" s="1" t="s">
        <v>654</v>
      </c>
    </row>
    <row r="560" spans="15:17" x14ac:dyDescent="0.25">
      <c r="O560" s="1">
        <v>15938</v>
      </c>
      <c r="P560" s="3" t="s">
        <v>653</v>
      </c>
      <c r="Q560" s="1" t="s">
        <v>654</v>
      </c>
    </row>
    <row r="561" spans="15:17" x14ac:dyDescent="0.25">
      <c r="O561" s="1">
        <v>15940</v>
      </c>
      <c r="P561" s="3" t="s">
        <v>653</v>
      </c>
      <c r="Q561" s="1" t="s">
        <v>654</v>
      </c>
    </row>
    <row r="562" spans="15:17" x14ac:dyDescent="0.25">
      <c r="O562" s="1">
        <v>15942</v>
      </c>
      <c r="P562" s="3" t="s">
        <v>653</v>
      </c>
      <c r="Q562" s="1" t="s">
        <v>654</v>
      </c>
    </row>
    <row r="563" spans="15:17" x14ac:dyDescent="0.25">
      <c r="O563" s="1">
        <v>15943</v>
      </c>
      <c r="P563" s="3" t="s">
        <v>653</v>
      </c>
      <c r="Q563" s="1" t="s">
        <v>654</v>
      </c>
    </row>
    <row r="564" spans="15:17" x14ac:dyDescent="0.25">
      <c r="O564" s="1">
        <v>15944</v>
      </c>
      <c r="P564" s="3" t="s">
        <v>653</v>
      </c>
      <c r="Q564" s="1" t="s">
        <v>654</v>
      </c>
    </row>
    <row r="565" spans="15:17" x14ac:dyDescent="0.25">
      <c r="O565" s="1">
        <v>15945</v>
      </c>
      <c r="P565" s="3" t="s">
        <v>653</v>
      </c>
      <c r="Q565" s="1" t="s">
        <v>654</v>
      </c>
    </row>
    <row r="566" spans="15:17" x14ac:dyDescent="0.25">
      <c r="O566" s="1">
        <v>15946</v>
      </c>
      <c r="P566" s="3" t="s">
        <v>653</v>
      </c>
      <c r="Q566" s="1" t="s">
        <v>654</v>
      </c>
    </row>
    <row r="567" spans="15:17" x14ac:dyDescent="0.25">
      <c r="O567" s="1">
        <v>15948</v>
      </c>
      <c r="P567" s="3" t="s">
        <v>653</v>
      </c>
      <c r="Q567" s="1" t="s">
        <v>654</v>
      </c>
    </row>
    <row r="568" spans="15:17" x14ac:dyDescent="0.25">
      <c r="O568" s="1">
        <v>15949</v>
      </c>
      <c r="P568" s="3" t="s">
        <v>653</v>
      </c>
      <c r="Q568" s="1" t="s">
        <v>654</v>
      </c>
    </row>
    <row r="569" spans="15:17" x14ac:dyDescent="0.25">
      <c r="O569" s="1">
        <v>15951</v>
      </c>
      <c r="P569" s="3" t="s">
        <v>653</v>
      </c>
      <c r="Q569" s="1" t="s">
        <v>654</v>
      </c>
    </row>
    <row r="570" spans="15:17" x14ac:dyDescent="0.25">
      <c r="O570" s="1">
        <v>15952</v>
      </c>
      <c r="P570" s="3" t="s">
        <v>653</v>
      </c>
      <c r="Q570" s="1" t="s">
        <v>654</v>
      </c>
    </row>
    <row r="571" spans="15:17" x14ac:dyDescent="0.25">
      <c r="O571" s="1">
        <v>15953</v>
      </c>
      <c r="P571" s="3" t="s">
        <v>653</v>
      </c>
      <c r="Q571" s="1" t="s">
        <v>654</v>
      </c>
    </row>
    <row r="572" spans="15:17" x14ac:dyDescent="0.25">
      <c r="O572" s="1">
        <v>15954</v>
      </c>
      <c r="P572" s="3" t="s">
        <v>653</v>
      </c>
      <c r="Q572" s="1" t="s">
        <v>654</v>
      </c>
    </row>
    <row r="573" spans="15:17" x14ac:dyDescent="0.25">
      <c r="O573" s="1">
        <v>15955</v>
      </c>
      <c r="P573" s="3" t="s">
        <v>653</v>
      </c>
      <c r="Q573" s="1" t="s">
        <v>654</v>
      </c>
    </row>
    <row r="574" spans="15:17" x14ac:dyDescent="0.25">
      <c r="O574" s="1">
        <v>15956</v>
      </c>
      <c r="P574" s="3" t="s">
        <v>653</v>
      </c>
      <c r="Q574" s="1" t="s">
        <v>654</v>
      </c>
    </row>
    <row r="575" spans="15:17" x14ac:dyDescent="0.25">
      <c r="O575" s="1">
        <v>15957</v>
      </c>
      <c r="P575" s="3" t="s">
        <v>653</v>
      </c>
      <c r="Q575" s="1" t="s">
        <v>654</v>
      </c>
    </row>
    <row r="576" spans="15:17" x14ac:dyDescent="0.25">
      <c r="O576" s="1">
        <v>15958</v>
      </c>
      <c r="P576" s="3" t="s">
        <v>653</v>
      </c>
      <c r="Q576" s="1" t="s">
        <v>654</v>
      </c>
    </row>
    <row r="577" spans="15:17" x14ac:dyDescent="0.25">
      <c r="O577" s="1">
        <v>15959</v>
      </c>
      <c r="P577" s="3" t="s">
        <v>653</v>
      </c>
      <c r="Q577" s="1" t="s">
        <v>654</v>
      </c>
    </row>
    <row r="578" spans="15:17" x14ac:dyDescent="0.25">
      <c r="O578" s="1">
        <v>15960</v>
      </c>
      <c r="P578" s="3" t="s">
        <v>653</v>
      </c>
      <c r="Q578" s="1" t="s">
        <v>654</v>
      </c>
    </row>
    <row r="579" spans="15:17" x14ac:dyDescent="0.25">
      <c r="O579" s="1">
        <v>15961</v>
      </c>
      <c r="P579" s="3" t="s">
        <v>653</v>
      </c>
      <c r="Q579" s="1" t="s">
        <v>654</v>
      </c>
    </row>
    <row r="580" spans="15:17" x14ac:dyDescent="0.25">
      <c r="O580" s="1">
        <v>15962</v>
      </c>
      <c r="P580" s="3" t="s">
        <v>653</v>
      </c>
      <c r="Q580" s="1" t="s">
        <v>654</v>
      </c>
    </row>
    <row r="581" spans="15:17" x14ac:dyDescent="0.25">
      <c r="O581" s="1">
        <v>15963</v>
      </c>
      <c r="P581" s="3" t="s">
        <v>653</v>
      </c>
      <c r="Q581" s="1" t="s">
        <v>654</v>
      </c>
    </row>
    <row r="582" spans="15:17" x14ac:dyDescent="0.25">
      <c r="O582" s="1">
        <v>16001</v>
      </c>
      <c r="P582" s="3" t="s">
        <v>653</v>
      </c>
      <c r="Q582" s="1" t="s">
        <v>654</v>
      </c>
    </row>
    <row r="583" spans="15:17" x14ac:dyDescent="0.25">
      <c r="O583" s="1">
        <v>16002</v>
      </c>
      <c r="P583" s="3" t="s">
        <v>653</v>
      </c>
      <c r="Q583" s="1" t="s">
        <v>654</v>
      </c>
    </row>
    <row r="584" spans="15:17" x14ac:dyDescent="0.25">
      <c r="O584" s="1">
        <v>16003</v>
      </c>
      <c r="P584" s="3" t="s">
        <v>653</v>
      </c>
      <c r="Q584" s="1" t="s">
        <v>654</v>
      </c>
    </row>
    <row r="585" spans="15:17" x14ac:dyDescent="0.25">
      <c r="O585" s="1">
        <v>16016</v>
      </c>
      <c r="P585" s="3" t="s">
        <v>653</v>
      </c>
      <c r="Q585" s="1" t="s">
        <v>654</v>
      </c>
    </row>
    <row r="586" spans="15:17" x14ac:dyDescent="0.25">
      <c r="O586" s="1">
        <v>16017</v>
      </c>
      <c r="P586" s="3" t="s">
        <v>653</v>
      </c>
      <c r="Q586" s="1" t="s">
        <v>654</v>
      </c>
    </row>
    <row r="587" spans="15:17" x14ac:dyDescent="0.25">
      <c r="O587" s="1">
        <v>16018</v>
      </c>
      <c r="P587" s="3" t="s">
        <v>653</v>
      </c>
      <c r="Q587" s="1" t="s">
        <v>654</v>
      </c>
    </row>
    <row r="588" spans="15:17" x14ac:dyDescent="0.25">
      <c r="O588" s="1">
        <v>16020</v>
      </c>
      <c r="P588" s="3" t="s">
        <v>653</v>
      </c>
      <c r="Q588" s="1" t="s">
        <v>654</v>
      </c>
    </row>
    <row r="589" spans="15:17" x14ac:dyDescent="0.25">
      <c r="O589" s="1">
        <v>16021</v>
      </c>
      <c r="P589" s="3" t="s">
        <v>653</v>
      </c>
      <c r="Q589" s="1" t="s">
        <v>654</v>
      </c>
    </row>
    <row r="590" spans="15:17" x14ac:dyDescent="0.25">
      <c r="O590" s="1">
        <v>16022</v>
      </c>
      <c r="P590" s="3" t="s">
        <v>653</v>
      </c>
      <c r="Q590" s="1" t="s">
        <v>654</v>
      </c>
    </row>
    <row r="591" spans="15:17" x14ac:dyDescent="0.25">
      <c r="O591" s="1">
        <v>16023</v>
      </c>
      <c r="P591" s="3" t="s">
        <v>653</v>
      </c>
      <c r="Q591" s="1" t="s">
        <v>654</v>
      </c>
    </row>
    <row r="592" spans="15:17" x14ac:dyDescent="0.25">
      <c r="O592" s="1">
        <v>16024</v>
      </c>
      <c r="P592" s="3" t="s">
        <v>653</v>
      </c>
      <c r="Q592" s="1" t="s">
        <v>654</v>
      </c>
    </row>
    <row r="593" spans="15:17" x14ac:dyDescent="0.25">
      <c r="O593" s="1">
        <v>16025</v>
      </c>
      <c r="P593" s="3" t="s">
        <v>653</v>
      </c>
      <c r="Q593" s="1" t="s">
        <v>654</v>
      </c>
    </row>
    <row r="594" spans="15:17" x14ac:dyDescent="0.25">
      <c r="O594" s="1">
        <v>16027</v>
      </c>
      <c r="P594" s="3" t="s">
        <v>653</v>
      </c>
      <c r="Q594" s="1" t="s">
        <v>654</v>
      </c>
    </row>
    <row r="595" spans="15:17" x14ac:dyDescent="0.25">
      <c r="O595" s="1">
        <v>16028</v>
      </c>
      <c r="P595" s="3" t="s">
        <v>653</v>
      </c>
      <c r="Q595" s="1" t="s">
        <v>654</v>
      </c>
    </row>
    <row r="596" spans="15:17" x14ac:dyDescent="0.25">
      <c r="O596" s="1">
        <v>16029</v>
      </c>
      <c r="P596" s="3" t="s">
        <v>653</v>
      </c>
      <c r="Q596" s="1" t="s">
        <v>654</v>
      </c>
    </row>
    <row r="597" spans="15:17" x14ac:dyDescent="0.25">
      <c r="O597" s="1">
        <v>16030</v>
      </c>
      <c r="P597" s="3" t="s">
        <v>653</v>
      </c>
      <c r="Q597" s="1" t="s">
        <v>654</v>
      </c>
    </row>
    <row r="598" spans="15:17" x14ac:dyDescent="0.25">
      <c r="O598" s="1">
        <v>16033</v>
      </c>
      <c r="P598" s="3" t="s">
        <v>653</v>
      </c>
      <c r="Q598" s="1" t="s">
        <v>654</v>
      </c>
    </row>
    <row r="599" spans="15:17" x14ac:dyDescent="0.25">
      <c r="O599" s="1">
        <v>16034</v>
      </c>
      <c r="P599" s="3" t="s">
        <v>653</v>
      </c>
      <c r="Q599" s="1" t="s">
        <v>654</v>
      </c>
    </row>
    <row r="600" spans="15:17" x14ac:dyDescent="0.25">
      <c r="O600" s="1">
        <v>16035</v>
      </c>
      <c r="P600" s="3" t="s">
        <v>653</v>
      </c>
      <c r="Q600" s="1" t="s">
        <v>654</v>
      </c>
    </row>
    <row r="601" spans="15:17" x14ac:dyDescent="0.25">
      <c r="O601" s="1">
        <v>16036</v>
      </c>
      <c r="P601" s="3" t="s">
        <v>713</v>
      </c>
      <c r="Q601" s="1" t="s">
        <v>673</v>
      </c>
    </row>
    <row r="602" spans="15:17" x14ac:dyDescent="0.25">
      <c r="O602" s="1">
        <v>16037</v>
      </c>
      <c r="P602" s="3" t="s">
        <v>653</v>
      </c>
      <c r="Q602" s="1" t="s">
        <v>654</v>
      </c>
    </row>
    <row r="603" spans="15:17" x14ac:dyDescent="0.25">
      <c r="O603" s="1">
        <v>16038</v>
      </c>
      <c r="P603" s="3" t="s">
        <v>653</v>
      </c>
      <c r="Q603" s="1" t="s">
        <v>654</v>
      </c>
    </row>
    <row r="604" spans="15:17" x14ac:dyDescent="0.25">
      <c r="O604" s="1">
        <v>16039</v>
      </c>
      <c r="P604" s="3" t="s">
        <v>653</v>
      </c>
      <c r="Q604" s="1" t="s">
        <v>654</v>
      </c>
    </row>
    <row r="605" spans="15:17" x14ac:dyDescent="0.25">
      <c r="O605" s="1">
        <v>16040</v>
      </c>
      <c r="P605" s="3" t="s">
        <v>653</v>
      </c>
      <c r="Q605" s="1" t="s">
        <v>654</v>
      </c>
    </row>
    <row r="606" spans="15:17" x14ac:dyDescent="0.25">
      <c r="O606" s="1">
        <v>16041</v>
      </c>
      <c r="P606" s="3" t="s">
        <v>653</v>
      </c>
      <c r="Q606" s="1" t="s">
        <v>654</v>
      </c>
    </row>
    <row r="607" spans="15:17" x14ac:dyDescent="0.25">
      <c r="O607" s="1">
        <v>16045</v>
      </c>
      <c r="P607" s="3" t="s">
        <v>653</v>
      </c>
      <c r="Q607" s="1" t="s">
        <v>654</v>
      </c>
    </row>
    <row r="608" spans="15:17" x14ac:dyDescent="0.25">
      <c r="O608" s="1">
        <v>16046</v>
      </c>
      <c r="P608" s="3" t="s">
        <v>653</v>
      </c>
      <c r="Q608" s="1" t="s">
        <v>654</v>
      </c>
    </row>
    <row r="609" spans="15:17" x14ac:dyDescent="0.25">
      <c r="O609" s="1">
        <v>16048</v>
      </c>
      <c r="P609" s="3" t="s">
        <v>653</v>
      </c>
      <c r="Q609" s="1" t="s">
        <v>654</v>
      </c>
    </row>
    <row r="610" spans="15:17" x14ac:dyDescent="0.25">
      <c r="O610" s="1">
        <v>16049</v>
      </c>
      <c r="P610" s="3" t="s">
        <v>653</v>
      </c>
      <c r="Q610" s="1" t="s">
        <v>654</v>
      </c>
    </row>
    <row r="611" spans="15:17" x14ac:dyDescent="0.25">
      <c r="O611" s="1">
        <v>16050</v>
      </c>
      <c r="P611" s="3" t="s">
        <v>653</v>
      </c>
      <c r="Q611" s="1" t="s">
        <v>654</v>
      </c>
    </row>
    <row r="612" spans="15:17" x14ac:dyDescent="0.25">
      <c r="O612" s="1">
        <v>16051</v>
      </c>
      <c r="P612" s="3" t="s">
        <v>653</v>
      </c>
      <c r="Q612" s="1" t="s">
        <v>654</v>
      </c>
    </row>
    <row r="613" spans="15:17" x14ac:dyDescent="0.25">
      <c r="O613" s="1">
        <v>16052</v>
      </c>
      <c r="P613" s="3" t="s">
        <v>653</v>
      </c>
      <c r="Q613" s="1" t="s">
        <v>654</v>
      </c>
    </row>
    <row r="614" spans="15:17" x14ac:dyDescent="0.25">
      <c r="O614" s="1">
        <v>16053</v>
      </c>
      <c r="P614" s="3" t="s">
        <v>653</v>
      </c>
      <c r="Q614" s="1" t="s">
        <v>654</v>
      </c>
    </row>
    <row r="615" spans="15:17" x14ac:dyDescent="0.25">
      <c r="O615" s="1">
        <v>16054</v>
      </c>
      <c r="P615" s="3" t="s">
        <v>713</v>
      </c>
      <c r="Q615" s="1" t="s">
        <v>673</v>
      </c>
    </row>
    <row r="616" spans="15:17" x14ac:dyDescent="0.25">
      <c r="O616" s="1">
        <v>16055</v>
      </c>
      <c r="P616" s="3" t="s">
        <v>653</v>
      </c>
      <c r="Q616" s="1" t="s">
        <v>654</v>
      </c>
    </row>
    <row r="617" spans="15:17" x14ac:dyDescent="0.25">
      <c r="O617" s="1">
        <v>16056</v>
      </c>
      <c r="P617" s="3" t="s">
        <v>653</v>
      </c>
      <c r="Q617" s="1" t="s">
        <v>654</v>
      </c>
    </row>
    <row r="618" spans="15:17" x14ac:dyDescent="0.25">
      <c r="O618" s="1">
        <v>16057</v>
      </c>
      <c r="P618" s="3" t="s">
        <v>653</v>
      </c>
      <c r="Q618" s="1" t="s">
        <v>654</v>
      </c>
    </row>
    <row r="619" spans="15:17" x14ac:dyDescent="0.25">
      <c r="O619" s="1">
        <v>16058</v>
      </c>
      <c r="P619" s="3" t="s">
        <v>653</v>
      </c>
      <c r="Q619" s="1" t="s">
        <v>654</v>
      </c>
    </row>
    <row r="620" spans="15:17" x14ac:dyDescent="0.25">
      <c r="O620" s="1">
        <v>16059</v>
      </c>
      <c r="P620" s="3" t="s">
        <v>653</v>
      </c>
      <c r="Q620" s="1" t="s">
        <v>654</v>
      </c>
    </row>
    <row r="621" spans="15:17" x14ac:dyDescent="0.25">
      <c r="O621" s="1">
        <v>16061</v>
      </c>
      <c r="P621" s="3" t="s">
        <v>653</v>
      </c>
      <c r="Q621" s="1" t="s">
        <v>654</v>
      </c>
    </row>
    <row r="622" spans="15:17" x14ac:dyDescent="0.25">
      <c r="O622" s="1">
        <v>16063</v>
      </c>
      <c r="P622" s="3" t="s">
        <v>653</v>
      </c>
      <c r="Q622" s="1" t="s">
        <v>654</v>
      </c>
    </row>
    <row r="623" spans="15:17" x14ac:dyDescent="0.25">
      <c r="O623" s="1">
        <v>16066</v>
      </c>
      <c r="P623" s="3" t="s">
        <v>653</v>
      </c>
      <c r="Q623" s="1" t="s">
        <v>654</v>
      </c>
    </row>
    <row r="624" spans="15:17" x14ac:dyDescent="0.25">
      <c r="O624" s="1">
        <v>16101</v>
      </c>
      <c r="P624" s="3" t="s">
        <v>653</v>
      </c>
      <c r="Q624" s="1" t="s">
        <v>654</v>
      </c>
    </row>
    <row r="625" spans="15:17" x14ac:dyDescent="0.25">
      <c r="O625" s="1">
        <v>16102</v>
      </c>
      <c r="P625" s="3" t="s">
        <v>653</v>
      </c>
      <c r="Q625" s="1" t="s">
        <v>654</v>
      </c>
    </row>
    <row r="626" spans="15:17" x14ac:dyDescent="0.25">
      <c r="O626" s="1">
        <v>16103</v>
      </c>
      <c r="P626" s="3" t="s">
        <v>653</v>
      </c>
      <c r="Q626" s="1" t="s">
        <v>654</v>
      </c>
    </row>
    <row r="627" spans="15:17" x14ac:dyDescent="0.25">
      <c r="O627" s="1">
        <v>16105</v>
      </c>
      <c r="P627" s="3" t="s">
        <v>653</v>
      </c>
      <c r="Q627" s="1" t="s">
        <v>654</v>
      </c>
    </row>
    <row r="628" spans="15:17" x14ac:dyDescent="0.25">
      <c r="O628" s="1">
        <v>16107</v>
      </c>
      <c r="P628" s="3" t="s">
        <v>653</v>
      </c>
      <c r="Q628" s="1" t="s">
        <v>654</v>
      </c>
    </row>
    <row r="629" spans="15:17" x14ac:dyDescent="0.25">
      <c r="O629" s="1">
        <v>16108</v>
      </c>
      <c r="P629" s="3" t="s">
        <v>653</v>
      </c>
      <c r="Q629" s="1" t="s">
        <v>654</v>
      </c>
    </row>
    <row r="630" spans="15:17" x14ac:dyDescent="0.25">
      <c r="O630" s="1">
        <v>16110</v>
      </c>
      <c r="P630" s="3" t="s">
        <v>713</v>
      </c>
      <c r="Q630" s="1" t="s">
        <v>673</v>
      </c>
    </row>
    <row r="631" spans="15:17" x14ac:dyDescent="0.25">
      <c r="O631" s="1">
        <v>16111</v>
      </c>
      <c r="P631" s="3" t="s">
        <v>713</v>
      </c>
      <c r="Q631" s="1" t="s">
        <v>673</v>
      </c>
    </row>
    <row r="632" spans="15:17" x14ac:dyDescent="0.25">
      <c r="O632" s="1">
        <v>16112</v>
      </c>
      <c r="P632" s="3" t="s">
        <v>653</v>
      </c>
      <c r="Q632" s="1" t="s">
        <v>654</v>
      </c>
    </row>
    <row r="633" spans="15:17" x14ac:dyDescent="0.25">
      <c r="O633" s="1">
        <v>16113</v>
      </c>
      <c r="P633" s="3" t="s">
        <v>713</v>
      </c>
      <c r="Q633" s="1" t="s">
        <v>673</v>
      </c>
    </row>
    <row r="634" spans="15:17" x14ac:dyDescent="0.25">
      <c r="O634" s="1">
        <v>16114</v>
      </c>
      <c r="P634" s="3" t="s">
        <v>713</v>
      </c>
      <c r="Q634" s="1" t="s">
        <v>673</v>
      </c>
    </row>
    <row r="635" spans="15:17" x14ac:dyDescent="0.25">
      <c r="O635" s="1">
        <v>16115</v>
      </c>
      <c r="P635" s="3" t="s">
        <v>653</v>
      </c>
      <c r="Q635" s="1" t="s">
        <v>654</v>
      </c>
    </row>
    <row r="636" spans="15:17" x14ac:dyDescent="0.25">
      <c r="O636" s="1">
        <v>16116</v>
      </c>
      <c r="P636" s="3" t="s">
        <v>653</v>
      </c>
      <c r="Q636" s="1" t="s">
        <v>654</v>
      </c>
    </row>
    <row r="637" spans="15:17" x14ac:dyDescent="0.25">
      <c r="O637" s="1">
        <v>16117</v>
      </c>
      <c r="P637" s="3" t="s">
        <v>653</v>
      </c>
      <c r="Q637" s="1" t="s">
        <v>654</v>
      </c>
    </row>
    <row r="638" spans="15:17" x14ac:dyDescent="0.25">
      <c r="O638" s="1">
        <v>16120</v>
      </c>
      <c r="P638" s="3" t="s">
        <v>653</v>
      </c>
      <c r="Q638" s="1" t="s">
        <v>654</v>
      </c>
    </row>
    <row r="639" spans="15:17" x14ac:dyDescent="0.25">
      <c r="O639" s="1">
        <v>16121</v>
      </c>
      <c r="P639" s="3" t="s">
        <v>713</v>
      </c>
      <c r="Q639" s="1" t="s">
        <v>673</v>
      </c>
    </row>
    <row r="640" spans="15:17" x14ac:dyDescent="0.25">
      <c r="O640" s="1">
        <v>16123</v>
      </c>
      <c r="P640" s="3" t="s">
        <v>653</v>
      </c>
      <c r="Q640" s="1" t="s">
        <v>654</v>
      </c>
    </row>
    <row r="641" spans="15:17" x14ac:dyDescent="0.25">
      <c r="O641" s="1">
        <v>16124</v>
      </c>
      <c r="P641" s="3" t="s">
        <v>713</v>
      </c>
      <c r="Q641" s="1" t="s">
        <v>673</v>
      </c>
    </row>
    <row r="642" spans="15:17" x14ac:dyDescent="0.25">
      <c r="O642" s="1">
        <v>16125</v>
      </c>
      <c r="P642" s="3" t="s">
        <v>713</v>
      </c>
      <c r="Q642" s="1" t="s">
        <v>673</v>
      </c>
    </row>
    <row r="643" spans="15:17" x14ac:dyDescent="0.25">
      <c r="O643" s="1">
        <v>16127</v>
      </c>
      <c r="P643" s="3" t="s">
        <v>713</v>
      </c>
      <c r="Q643" s="1" t="s">
        <v>673</v>
      </c>
    </row>
    <row r="644" spans="15:17" x14ac:dyDescent="0.25">
      <c r="O644" s="1">
        <v>16130</v>
      </c>
      <c r="P644" s="3" t="s">
        <v>713</v>
      </c>
      <c r="Q644" s="1" t="s">
        <v>673</v>
      </c>
    </row>
    <row r="645" spans="15:17" x14ac:dyDescent="0.25">
      <c r="O645" s="1">
        <v>16131</v>
      </c>
      <c r="P645" s="3" t="s">
        <v>713</v>
      </c>
      <c r="Q645" s="1" t="s">
        <v>673</v>
      </c>
    </row>
    <row r="646" spans="15:17" x14ac:dyDescent="0.25">
      <c r="O646" s="1">
        <v>16132</v>
      </c>
      <c r="P646" s="3" t="s">
        <v>653</v>
      </c>
      <c r="Q646" s="1" t="s">
        <v>654</v>
      </c>
    </row>
    <row r="647" spans="15:17" x14ac:dyDescent="0.25">
      <c r="O647" s="1">
        <v>16133</v>
      </c>
      <c r="P647" s="3" t="s">
        <v>713</v>
      </c>
      <c r="Q647" s="1" t="s">
        <v>673</v>
      </c>
    </row>
    <row r="648" spans="15:17" x14ac:dyDescent="0.25">
      <c r="O648" s="1">
        <v>16134</v>
      </c>
      <c r="P648" s="3" t="s">
        <v>713</v>
      </c>
      <c r="Q648" s="1" t="s">
        <v>673</v>
      </c>
    </row>
    <row r="649" spans="15:17" x14ac:dyDescent="0.25">
      <c r="O649" s="1">
        <v>16136</v>
      </c>
      <c r="P649" s="3" t="s">
        <v>653</v>
      </c>
      <c r="Q649" s="1" t="s">
        <v>654</v>
      </c>
    </row>
    <row r="650" spans="15:17" x14ac:dyDescent="0.25">
      <c r="O650" s="1">
        <v>16137</v>
      </c>
      <c r="P650" s="3" t="s">
        <v>713</v>
      </c>
      <c r="Q650" s="1" t="s">
        <v>673</v>
      </c>
    </row>
    <row r="651" spans="15:17" x14ac:dyDescent="0.25">
      <c r="O651" s="1">
        <v>16140</v>
      </c>
      <c r="P651" s="3" t="s">
        <v>653</v>
      </c>
      <c r="Q651" s="1" t="s">
        <v>654</v>
      </c>
    </row>
    <row r="652" spans="15:17" x14ac:dyDescent="0.25">
      <c r="O652" s="1">
        <v>16141</v>
      </c>
      <c r="P652" s="3" t="s">
        <v>653</v>
      </c>
      <c r="Q652" s="1" t="s">
        <v>654</v>
      </c>
    </row>
    <row r="653" spans="15:17" x14ac:dyDescent="0.25">
      <c r="O653" s="1">
        <v>16142</v>
      </c>
      <c r="P653" s="3" t="s">
        <v>653</v>
      </c>
      <c r="Q653" s="1" t="s">
        <v>654</v>
      </c>
    </row>
    <row r="654" spans="15:17" x14ac:dyDescent="0.25">
      <c r="O654" s="1">
        <v>16143</v>
      </c>
      <c r="P654" s="3" t="s">
        <v>653</v>
      </c>
      <c r="Q654" s="1" t="s">
        <v>654</v>
      </c>
    </row>
    <row r="655" spans="15:17" x14ac:dyDescent="0.25">
      <c r="O655" s="1">
        <v>16145</v>
      </c>
      <c r="P655" s="3" t="s">
        <v>713</v>
      </c>
      <c r="Q655" s="1" t="s">
        <v>673</v>
      </c>
    </row>
    <row r="656" spans="15:17" x14ac:dyDescent="0.25">
      <c r="O656" s="1">
        <v>16146</v>
      </c>
      <c r="P656" s="3" t="s">
        <v>713</v>
      </c>
      <c r="Q656" s="1" t="s">
        <v>673</v>
      </c>
    </row>
    <row r="657" spans="15:17" x14ac:dyDescent="0.25">
      <c r="O657" s="1">
        <v>16148</v>
      </c>
      <c r="P657" s="3" t="s">
        <v>713</v>
      </c>
      <c r="Q657" s="1" t="s">
        <v>673</v>
      </c>
    </row>
    <row r="658" spans="15:17" x14ac:dyDescent="0.25">
      <c r="O658" s="1">
        <v>16150</v>
      </c>
      <c r="P658" s="3" t="s">
        <v>713</v>
      </c>
      <c r="Q658" s="1" t="s">
        <v>673</v>
      </c>
    </row>
    <row r="659" spans="15:17" x14ac:dyDescent="0.25">
      <c r="O659" s="1">
        <v>16151</v>
      </c>
      <c r="P659" s="3" t="s">
        <v>713</v>
      </c>
      <c r="Q659" s="1" t="s">
        <v>673</v>
      </c>
    </row>
    <row r="660" spans="15:17" x14ac:dyDescent="0.25">
      <c r="O660" s="1">
        <v>16153</v>
      </c>
      <c r="P660" s="3" t="s">
        <v>713</v>
      </c>
      <c r="Q660" s="1" t="s">
        <v>673</v>
      </c>
    </row>
    <row r="661" spans="15:17" x14ac:dyDescent="0.25">
      <c r="O661" s="1">
        <v>16154</v>
      </c>
      <c r="P661" s="3" t="s">
        <v>713</v>
      </c>
      <c r="Q661" s="1" t="s">
        <v>673</v>
      </c>
    </row>
    <row r="662" spans="15:17" x14ac:dyDescent="0.25">
      <c r="O662" s="1">
        <v>16155</v>
      </c>
      <c r="P662" s="3" t="s">
        <v>653</v>
      </c>
      <c r="Q662" s="1" t="s">
        <v>654</v>
      </c>
    </row>
    <row r="663" spans="15:17" x14ac:dyDescent="0.25">
      <c r="O663" s="1">
        <v>16156</v>
      </c>
      <c r="P663" s="3" t="s">
        <v>653</v>
      </c>
      <c r="Q663" s="1" t="s">
        <v>654</v>
      </c>
    </row>
    <row r="664" spans="15:17" x14ac:dyDescent="0.25">
      <c r="O664" s="1">
        <v>16157</v>
      </c>
      <c r="P664" s="3" t="s">
        <v>653</v>
      </c>
      <c r="Q664" s="1" t="s">
        <v>654</v>
      </c>
    </row>
    <row r="665" spans="15:17" x14ac:dyDescent="0.25">
      <c r="O665" s="1">
        <v>16159</v>
      </c>
      <c r="P665" s="3" t="s">
        <v>713</v>
      </c>
      <c r="Q665" s="1" t="s">
        <v>673</v>
      </c>
    </row>
    <row r="666" spans="15:17" x14ac:dyDescent="0.25">
      <c r="O666" s="1">
        <v>16160</v>
      </c>
      <c r="P666" s="3" t="s">
        <v>653</v>
      </c>
      <c r="Q666" s="1" t="s">
        <v>654</v>
      </c>
    </row>
    <row r="667" spans="15:17" x14ac:dyDescent="0.25">
      <c r="O667" s="1">
        <v>16161</v>
      </c>
      <c r="P667" s="3" t="s">
        <v>713</v>
      </c>
      <c r="Q667" s="1" t="s">
        <v>673</v>
      </c>
    </row>
    <row r="668" spans="15:17" x14ac:dyDescent="0.25">
      <c r="O668" s="1">
        <v>16172</v>
      </c>
      <c r="P668" s="3" t="s">
        <v>653</v>
      </c>
      <c r="Q668" s="1" t="s">
        <v>654</v>
      </c>
    </row>
    <row r="669" spans="15:17" x14ac:dyDescent="0.25">
      <c r="O669" s="1">
        <v>16201</v>
      </c>
      <c r="P669" s="3" t="s">
        <v>653</v>
      </c>
      <c r="Q669" s="1" t="s">
        <v>654</v>
      </c>
    </row>
    <row r="670" spans="15:17" x14ac:dyDescent="0.25">
      <c r="O670" s="1">
        <v>16210</v>
      </c>
      <c r="P670" s="3" t="s">
        <v>653</v>
      </c>
      <c r="Q670" s="1" t="s">
        <v>654</v>
      </c>
    </row>
    <row r="671" spans="15:17" x14ac:dyDescent="0.25">
      <c r="O671" s="1">
        <v>16211</v>
      </c>
      <c r="P671" s="3" t="s">
        <v>653</v>
      </c>
      <c r="Q671" s="1" t="s">
        <v>654</v>
      </c>
    </row>
    <row r="672" spans="15:17" x14ac:dyDescent="0.25">
      <c r="O672" s="1">
        <v>16212</v>
      </c>
      <c r="P672" s="3" t="s">
        <v>653</v>
      </c>
      <c r="Q672" s="1" t="s">
        <v>654</v>
      </c>
    </row>
    <row r="673" spans="15:17" x14ac:dyDescent="0.25">
      <c r="O673" s="1">
        <v>16213</v>
      </c>
      <c r="P673" s="3" t="s">
        <v>713</v>
      </c>
      <c r="Q673" s="1" t="s">
        <v>673</v>
      </c>
    </row>
    <row r="674" spans="15:17" x14ac:dyDescent="0.25">
      <c r="O674" s="1">
        <v>16214</v>
      </c>
      <c r="P674" s="3" t="s">
        <v>713</v>
      </c>
      <c r="Q674" s="1" t="s">
        <v>673</v>
      </c>
    </row>
    <row r="675" spans="15:17" x14ac:dyDescent="0.25">
      <c r="O675" s="1">
        <v>16215</v>
      </c>
      <c r="P675" s="3" t="s">
        <v>653</v>
      </c>
      <c r="Q675" s="1" t="s">
        <v>654</v>
      </c>
    </row>
    <row r="676" spans="15:17" x14ac:dyDescent="0.25">
      <c r="O676" s="1">
        <v>16217</v>
      </c>
      <c r="P676" s="3" t="s">
        <v>713</v>
      </c>
      <c r="Q676" s="1" t="s">
        <v>673</v>
      </c>
    </row>
    <row r="677" spans="15:17" x14ac:dyDescent="0.25">
      <c r="O677" s="1">
        <v>16218</v>
      </c>
      <c r="P677" s="3" t="s">
        <v>653</v>
      </c>
      <c r="Q677" s="1" t="s">
        <v>654</v>
      </c>
    </row>
    <row r="678" spans="15:17" x14ac:dyDescent="0.25">
      <c r="O678" s="1">
        <v>16220</v>
      </c>
      <c r="P678" s="3" t="s">
        <v>713</v>
      </c>
      <c r="Q678" s="1" t="s">
        <v>673</v>
      </c>
    </row>
    <row r="679" spans="15:17" x14ac:dyDescent="0.25">
      <c r="O679" s="1">
        <v>16221</v>
      </c>
      <c r="P679" s="3" t="s">
        <v>713</v>
      </c>
      <c r="Q679" s="1" t="s">
        <v>673</v>
      </c>
    </row>
    <row r="680" spans="15:17" x14ac:dyDescent="0.25">
      <c r="O680" s="1">
        <v>16222</v>
      </c>
      <c r="P680" s="3" t="s">
        <v>653</v>
      </c>
      <c r="Q680" s="1" t="s">
        <v>654</v>
      </c>
    </row>
    <row r="681" spans="15:17" x14ac:dyDescent="0.25">
      <c r="O681" s="1">
        <v>16223</v>
      </c>
      <c r="P681" s="3" t="s">
        <v>653</v>
      </c>
      <c r="Q681" s="1" t="s">
        <v>654</v>
      </c>
    </row>
    <row r="682" spans="15:17" x14ac:dyDescent="0.25">
      <c r="O682" s="1">
        <v>16224</v>
      </c>
      <c r="P682" s="3" t="s">
        <v>713</v>
      </c>
      <c r="Q682" s="1" t="s">
        <v>673</v>
      </c>
    </row>
    <row r="683" spans="15:17" x14ac:dyDescent="0.25">
      <c r="O683" s="1">
        <v>16225</v>
      </c>
      <c r="P683" s="3" t="s">
        <v>713</v>
      </c>
      <c r="Q683" s="1" t="s">
        <v>673</v>
      </c>
    </row>
    <row r="684" spans="15:17" x14ac:dyDescent="0.25">
      <c r="O684" s="1">
        <v>16226</v>
      </c>
      <c r="P684" s="3" t="s">
        <v>653</v>
      </c>
      <c r="Q684" s="1" t="s">
        <v>654</v>
      </c>
    </row>
    <row r="685" spans="15:17" x14ac:dyDescent="0.25">
      <c r="O685" s="1">
        <v>16228</v>
      </c>
      <c r="P685" s="3" t="s">
        <v>653</v>
      </c>
      <c r="Q685" s="1" t="s">
        <v>654</v>
      </c>
    </row>
    <row r="686" spans="15:17" x14ac:dyDescent="0.25">
      <c r="O686" s="1">
        <v>16229</v>
      </c>
      <c r="P686" s="3" t="s">
        <v>653</v>
      </c>
      <c r="Q686" s="1" t="s">
        <v>654</v>
      </c>
    </row>
    <row r="687" spans="15:17" x14ac:dyDescent="0.25">
      <c r="O687" s="1">
        <v>16230</v>
      </c>
      <c r="P687" s="3" t="s">
        <v>713</v>
      </c>
      <c r="Q687" s="1" t="s">
        <v>673</v>
      </c>
    </row>
    <row r="688" spans="15:17" x14ac:dyDescent="0.25">
      <c r="O688" s="1">
        <v>16232</v>
      </c>
      <c r="P688" s="3" t="s">
        <v>713</v>
      </c>
      <c r="Q688" s="1" t="s">
        <v>673</v>
      </c>
    </row>
    <row r="689" spans="15:17" x14ac:dyDescent="0.25">
      <c r="O689" s="1">
        <v>16233</v>
      </c>
      <c r="P689" s="3" t="s">
        <v>713</v>
      </c>
      <c r="Q689" s="1" t="s">
        <v>673</v>
      </c>
    </row>
    <row r="690" spans="15:17" x14ac:dyDescent="0.25">
      <c r="O690" s="1">
        <v>16234</v>
      </c>
      <c r="P690" s="3" t="s">
        <v>713</v>
      </c>
      <c r="Q690" s="1" t="s">
        <v>673</v>
      </c>
    </row>
    <row r="691" spans="15:17" x14ac:dyDescent="0.25">
      <c r="O691" s="1">
        <v>16235</v>
      </c>
      <c r="P691" s="3" t="s">
        <v>713</v>
      </c>
      <c r="Q691" s="1" t="s">
        <v>673</v>
      </c>
    </row>
    <row r="692" spans="15:17" x14ac:dyDescent="0.25">
      <c r="O692" s="1">
        <v>16236</v>
      </c>
      <c r="P692" s="3" t="s">
        <v>653</v>
      </c>
      <c r="Q692" s="1" t="s">
        <v>654</v>
      </c>
    </row>
    <row r="693" spans="15:17" x14ac:dyDescent="0.25">
      <c r="O693" s="1">
        <v>16238</v>
      </c>
      <c r="P693" s="3" t="s">
        <v>653</v>
      </c>
      <c r="Q693" s="1" t="s">
        <v>654</v>
      </c>
    </row>
    <row r="694" spans="15:17" x14ac:dyDescent="0.25">
      <c r="O694" s="1">
        <v>16239</v>
      </c>
      <c r="P694" s="3" t="s">
        <v>713</v>
      </c>
      <c r="Q694" s="1" t="s">
        <v>673</v>
      </c>
    </row>
    <row r="695" spans="15:17" x14ac:dyDescent="0.25">
      <c r="O695" s="1">
        <v>16240</v>
      </c>
      <c r="P695" s="3" t="s">
        <v>713</v>
      </c>
      <c r="Q695" s="1" t="s">
        <v>673</v>
      </c>
    </row>
    <row r="696" spans="15:17" x14ac:dyDescent="0.25">
      <c r="O696" s="1">
        <v>16242</v>
      </c>
      <c r="P696" s="3" t="s">
        <v>713</v>
      </c>
      <c r="Q696" s="1" t="s">
        <v>673</v>
      </c>
    </row>
    <row r="697" spans="15:17" x14ac:dyDescent="0.25">
      <c r="O697" s="1">
        <v>16244</v>
      </c>
      <c r="P697" s="3" t="s">
        <v>653</v>
      </c>
      <c r="Q697" s="1" t="s">
        <v>654</v>
      </c>
    </row>
    <row r="698" spans="15:17" x14ac:dyDescent="0.25">
      <c r="O698" s="1">
        <v>16245</v>
      </c>
      <c r="P698" s="3" t="s">
        <v>653</v>
      </c>
      <c r="Q698" s="1" t="s">
        <v>654</v>
      </c>
    </row>
    <row r="699" spans="15:17" x14ac:dyDescent="0.25">
      <c r="O699" s="1">
        <v>16246</v>
      </c>
      <c r="P699" s="3" t="s">
        <v>653</v>
      </c>
      <c r="Q699" s="1" t="s">
        <v>654</v>
      </c>
    </row>
    <row r="700" spans="15:17" x14ac:dyDescent="0.25">
      <c r="O700" s="1">
        <v>16248</v>
      </c>
      <c r="P700" s="3" t="s">
        <v>713</v>
      </c>
      <c r="Q700" s="1" t="s">
        <v>673</v>
      </c>
    </row>
    <row r="701" spans="15:17" x14ac:dyDescent="0.25">
      <c r="O701" s="1">
        <v>16249</v>
      </c>
      <c r="P701" s="3" t="s">
        <v>653</v>
      </c>
      <c r="Q701" s="1" t="s">
        <v>654</v>
      </c>
    </row>
    <row r="702" spans="15:17" x14ac:dyDescent="0.25">
      <c r="O702" s="1">
        <v>16250</v>
      </c>
      <c r="P702" s="3" t="s">
        <v>653</v>
      </c>
      <c r="Q702" s="1" t="s">
        <v>654</v>
      </c>
    </row>
    <row r="703" spans="15:17" x14ac:dyDescent="0.25">
      <c r="O703" s="1">
        <v>16253</v>
      </c>
      <c r="P703" s="3" t="s">
        <v>653</v>
      </c>
      <c r="Q703" s="1" t="s">
        <v>654</v>
      </c>
    </row>
    <row r="704" spans="15:17" x14ac:dyDescent="0.25">
      <c r="O704" s="1">
        <v>16254</v>
      </c>
      <c r="P704" s="3" t="s">
        <v>713</v>
      </c>
      <c r="Q704" s="1" t="s">
        <v>673</v>
      </c>
    </row>
    <row r="705" spans="15:17" x14ac:dyDescent="0.25">
      <c r="O705" s="1">
        <v>16255</v>
      </c>
      <c r="P705" s="3" t="s">
        <v>713</v>
      </c>
      <c r="Q705" s="1" t="s">
        <v>673</v>
      </c>
    </row>
    <row r="706" spans="15:17" x14ac:dyDescent="0.25">
      <c r="O706" s="1">
        <v>16256</v>
      </c>
      <c r="P706" s="3" t="s">
        <v>653</v>
      </c>
      <c r="Q706" s="1" t="s">
        <v>654</v>
      </c>
    </row>
    <row r="707" spans="15:17" x14ac:dyDescent="0.25">
      <c r="O707" s="1">
        <v>16257</v>
      </c>
      <c r="P707" s="3" t="s">
        <v>713</v>
      </c>
      <c r="Q707" s="1" t="s">
        <v>673</v>
      </c>
    </row>
    <row r="708" spans="15:17" x14ac:dyDescent="0.25">
      <c r="O708" s="1">
        <v>16258</v>
      </c>
      <c r="P708" s="3" t="s">
        <v>713</v>
      </c>
      <c r="Q708" s="1" t="s">
        <v>673</v>
      </c>
    </row>
    <row r="709" spans="15:17" x14ac:dyDescent="0.25">
      <c r="O709" s="1">
        <v>16259</v>
      </c>
      <c r="P709" s="3" t="s">
        <v>653</v>
      </c>
      <c r="Q709" s="1" t="s">
        <v>654</v>
      </c>
    </row>
    <row r="710" spans="15:17" x14ac:dyDescent="0.25">
      <c r="O710" s="1">
        <v>16260</v>
      </c>
      <c r="P710" s="3" t="s">
        <v>713</v>
      </c>
      <c r="Q710" s="1" t="s">
        <v>673</v>
      </c>
    </row>
    <row r="711" spans="15:17" x14ac:dyDescent="0.25">
      <c r="O711" s="1">
        <v>16261</v>
      </c>
      <c r="P711" s="3" t="s">
        <v>653</v>
      </c>
      <c r="Q711" s="1" t="s">
        <v>654</v>
      </c>
    </row>
    <row r="712" spans="15:17" x14ac:dyDescent="0.25">
      <c r="O712" s="1">
        <v>16262</v>
      </c>
      <c r="P712" s="3" t="s">
        <v>653</v>
      </c>
      <c r="Q712" s="1" t="s">
        <v>654</v>
      </c>
    </row>
    <row r="713" spans="15:17" x14ac:dyDescent="0.25">
      <c r="O713" s="1">
        <v>16263</v>
      </c>
      <c r="P713" s="3" t="s">
        <v>653</v>
      </c>
      <c r="Q713" s="1" t="s">
        <v>654</v>
      </c>
    </row>
    <row r="714" spans="15:17" x14ac:dyDescent="0.25">
      <c r="O714" s="1">
        <v>16301</v>
      </c>
      <c r="P714" s="3" t="s">
        <v>713</v>
      </c>
      <c r="Q714" s="1" t="s">
        <v>673</v>
      </c>
    </row>
    <row r="715" spans="15:17" x14ac:dyDescent="0.25">
      <c r="O715" s="1">
        <v>16311</v>
      </c>
      <c r="P715" s="3" t="s">
        <v>713</v>
      </c>
      <c r="Q715" s="1" t="s">
        <v>673</v>
      </c>
    </row>
    <row r="716" spans="15:17" x14ac:dyDescent="0.25">
      <c r="O716" s="1">
        <v>16312</v>
      </c>
      <c r="P716" s="3" t="s">
        <v>713</v>
      </c>
      <c r="Q716" s="1" t="s">
        <v>673</v>
      </c>
    </row>
    <row r="717" spans="15:17" x14ac:dyDescent="0.25">
      <c r="O717" s="1">
        <v>16313</v>
      </c>
      <c r="P717" s="3" t="s">
        <v>713</v>
      </c>
      <c r="Q717" s="1" t="s">
        <v>673</v>
      </c>
    </row>
    <row r="718" spans="15:17" x14ac:dyDescent="0.25">
      <c r="O718" s="1">
        <v>16314</v>
      </c>
      <c r="P718" s="3" t="s">
        <v>713</v>
      </c>
      <c r="Q718" s="1" t="s">
        <v>673</v>
      </c>
    </row>
    <row r="719" spans="15:17" x14ac:dyDescent="0.25">
      <c r="O719" s="1">
        <v>16316</v>
      </c>
      <c r="P719" s="3" t="s">
        <v>713</v>
      </c>
      <c r="Q719" s="1" t="s">
        <v>673</v>
      </c>
    </row>
    <row r="720" spans="15:17" x14ac:dyDescent="0.25">
      <c r="O720" s="1">
        <v>16317</v>
      </c>
      <c r="P720" s="3" t="s">
        <v>713</v>
      </c>
      <c r="Q720" s="1" t="s">
        <v>673</v>
      </c>
    </row>
    <row r="721" spans="15:17" x14ac:dyDescent="0.25">
      <c r="O721" s="1">
        <v>16319</v>
      </c>
      <c r="P721" s="3" t="s">
        <v>713</v>
      </c>
      <c r="Q721" s="1" t="s">
        <v>673</v>
      </c>
    </row>
    <row r="722" spans="15:17" x14ac:dyDescent="0.25">
      <c r="O722" s="1">
        <v>16321</v>
      </c>
      <c r="P722" s="3" t="s">
        <v>713</v>
      </c>
      <c r="Q722" s="1" t="s">
        <v>673</v>
      </c>
    </row>
    <row r="723" spans="15:17" x14ac:dyDescent="0.25">
      <c r="O723" s="1">
        <v>16322</v>
      </c>
      <c r="P723" s="3" t="s">
        <v>713</v>
      </c>
      <c r="Q723" s="1" t="s">
        <v>673</v>
      </c>
    </row>
    <row r="724" spans="15:17" x14ac:dyDescent="0.25">
      <c r="O724" s="1">
        <v>16323</v>
      </c>
      <c r="P724" s="3" t="s">
        <v>713</v>
      </c>
      <c r="Q724" s="1" t="s">
        <v>673</v>
      </c>
    </row>
    <row r="725" spans="15:17" x14ac:dyDescent="0.25">
      <c r="O725" s="1">
        <v>16326</v>
      </c>
      <c r="P725" s="3" t="s">
        <v>713</v>
      </c>
      <c r="Q725" s="1" t="s">
        <v>673</v>
      </c>
    </row>
    <row r="726" spans="15:17" x14ac:dyDescent="0.25">
      <c r="O726" s="1">
        <v>16327</v>
      </c>
      <c r="P726" s="3" t="s">
        <v>713</v>
      </c>
      <c r="Q726" s="1" t="s">
        <v>673</v>
      </c>
    </row>
    <row r="727" spans="15:17" x14ac:dyDescent="0.25">
      <c r="O727" s="1">
        <v>16328</v>
      </c>
      <c r="P727" s="3" t="s">
        <v>713</v>
      </c>
      <c r="Q727" s="1" t="s">
        <v>673</v>
      </c>
    </row>
    <row r="728" spans="15:17" x14ac:dyDescent="0.25">
      <c r="O728" s="1">
        <v>16329</v>
      </c>
      <c r="P728" s="3" t="s">
        <v>713</v>
      </c>
      <c r="Q728" s="1" t="s">
        <v>673</v>
      </c>
    </row>
    <row r="729" spans="15:17" x14ac:dyDescent="0.25">
      <c r="O729" s="1">
        <v>16331</v>
      </c>
      <c r="P729" s="3" t="s">
        <v>713</v>
      </c>
      <c r="Q729" s="1" t="s">
        <v>673</v>
      </c>
    </row>
    <row r="730" spans="15:17" x14ac:dyDescent="0.25">
      <c r="O730" s="1">
        <v>16332</v>
      </c>
      <c r="P730" s="3" t="s">
        <v>713</v>
      </c>
      <c r="Q730" s="1" t="s">
        <v>673</v>
      </c>
    </row>
    <row r="731" spans="15:17" x14ac:dyDescent="0.25">
      <c r="O731" s="1">
        <v>16333</v>
      </c>
      <c r="P731" s="3" t="s">
        <v>714</v>
      </c>
      <c r="Q731" s="1" t="s">
        <v>667</v>
      </c>
    </row>
    <row r="732" spans="15:17" x14ac:dyDescent="0.25">
      <c r="O732" s="1">
        <v>16334</v>
      </c>
      <c r="P732" s="3" t="s">
        <v>713</v>
      </c>
      <c r="Q732" s="1" t="s">
        <v>673</v>
      </c>
    </row>
    <row r="733" spans="15:17" x14ac:dyDescent="0.25">
      <c r="O733" s="1">
        <v>16335</v>
      </c>
      <c r="P733" s="3" t="s">
        <v>713</v>
      </c>
      <c r="Q733" s="1" t="s">
        <v>673</v>
      </c>
    </row>
    <row r="734" spans="15:17" x14ac:dyDescent="0.25">
      <c r="O734" s="1">
        <v>16340</v>
      </c>
      <c r="P734" s="3" t="s">
        <v>713</v>
      </c>
      <c r="Q734" s="1" t="s">
        <v>673</v>
      </c>
    </row>
    <row r="735" spans="15:17" x14ac:dyDescent="0.25">
      <c r="O735" s="1">
        <v>16341</v>
      </c>
      <c r="P735" s="3" t="s">
        <v>713</v>
      </c>
      <c r="Q735" s="1" t="s">
        <v>673</v>
      </c>
    </row>
    <row r="736" spans="15:17" x14ac:dyDescent="0.25">
      <c r="O736" s="1">
        <v>16342</v>
      </c>
      <c r="P736" s="3" t="s">
        <v>713</v>
      </c>
      <c r="Q736" s="1" t="s">
        <v>673</v>
      </c>
    </row>
    <row r="737" spans="15:17" x14ac:dyDescent="0.25">
      <c r="O737" s="1">
        <v>16343</v>
      </c>
      <c r="P737" s="3" t="s">
        <v>713</v>
      </c>
      <c r="Q737" s="1" t="s">
        <v>673</v>
      </c>
    </row>
    <row r="738" spans="15:17" x14ac:dyDescent="0.25">
      <c r="O738" s="1">
        <v>16344</v>
      </c>
      <c r="P738" s="3" t="s">
        <v>713</v>
      </c>
      <c r="Q738" s="1" t="s">
        <v>673</v>
      </c>
    </row>
    <row r="739" spans="15:17" x14ac:dyDescent="0.25">
      <c r="O739" s="1">
        <v>16345</v>
      </c>
      <c r="P739" s="3" t="s">
        <v>713</v>
      </c>
      <c r="Q739" s="1" t="s">
        <v>673</v>
      </c>
    </row>
    <row r="740" spans="15:17" x14ac:dyDescent="0.25">
      <c r="O740" s="1">
        <v>16346</v>
      </c>
      <c r="P740" s="3" t="s">
        <v>713</v>
      </c>
      <c r="Q740" s="1" t="s">
        <v>673</v>
      </c>
    </row>
    <row r="741" spans="15:17" x14ac:dyDescent="0.25">
      <c r="O741" s="1">
        <v>16347</v>
      </c>
      <c r="P741" s="3" t="s">
        <v>713</v>
      </c>
      <c r="Q741" s="1" t="s">
        <v>673</v>
      </c>
    </row>
    <row r="742" spans="15:17" x14ac:dyDescent="0.25">
      <c r="O742" s="1">
        <v>16350</v>
      </c>
      <c r="P742" s="3" t="s">
        <v>713</v>
      </c>
      <c r="Q742" s="1" t="s">
        <v>673</v>
      </c>
    </row>
    <row r="743" spans="15:17" x14ac:dyDescent="0.25">
      <c r="O743" s="1">
        <v>16351</v>
      </c>
      <c r="P743" s="3" t="s">
        <v>713</v>
      </c>
      <c r="Q743" s="1" t="s">
        <v>673</v>
      </c>
    </row>
    <row r="744" spans="15:17" x14ac:dyDescent="0.25">
      <c r="O744" s="1">
        <v>16352</v>
      </c>
      <c r="P744" s="3" t="s">
        <v>713</v>
      </c>
      <c r="Q744" s="1" t="s">
        <v>673</v>
      </c>
    </row>
    <row r="745" spans="15:17" x14ac:dyDescent="0.25">
      <c r="O745" s="1">
        <v>16353</v>
      </c>
      <c r="P745" s="3" t="s">
        <v>713</v>
      </c>
      <c r="Q745" s="1" t="s">
        <v>673</v>
      </c>
    </row>
    <row r="746" spans="15:17" x14ac:dyDescent="0.25">
      <c r="O746" s="1">
        <v>16354</v>
      </c>
      <c r="P746" s="3" t="s">
        <v>713</v>
      </c>
      <c r="Q746" s="1" t="s">
        <v>673</v>
      </c>
    </row>
    <row r="747" spans="15:17" x14ac:dyDescent="0.25">
      <c r="O747" s="1">
        <v>16360</v>
      </c>
      <c r="P747" s="3" t="s">
        <v>713</v>
      </c>
      <c r="Q747" s="1" t="s">
        <v>673</v>
      </c>
    </row>
    <row r="748" spans="15:17" x14ac:dyDescent="0.25">
      <c r="O748" s="1">
        <v>16361</v>
      </c>
      <c r="P748" s="3" t="s">
        <v>713</v>
      </c>
      <c r="Q748" s="1" t="s">
        <v>673</v>
      </c>
    </row>
    <row r="749" spans="15:17" x14ac:dyDescent="0.25">
      <c r="O749" s="1">
        <v>16362</v>
      </c>
      <c r="P749" s="3" t="s">
        <v>713</v>
      </c>
      <c r="Q749" s="1" t="s">
        <v>673</v>
      </c>
    </row>
    <row r="750" spans="15:17" x14ac:dyDescent="0.25">
      <c r="O750" s="1">
        <v>16364</v>
      </c>
      <c r="P750" s="3" t="s">
        <v>713</v>
      </c>
      <c r="Q750" s="1" t="s">
        <v>673</v>
      </c>
    </row>
    <row r="751" spans="15:17" x14ac:dyDescent="0.25">
      <c r="O751" s="1">
        <v>16365</v>
      </c>
      <c r="P751" s="3" t="s">
        <v>713</v>
      </c>
      <c r="Q751" s="1" t="s">
        <v>673</v>
      </c>
    </row>
    <row r="752" spans="15:17" x14ac:dyDescent="0.25">
      <c r="O752" s="1">
        <v>16366</v>
      </c>
      <c r="P752" s="3" t="s">
        <v>713</v>
      </c>
      <c r="Q752" s="1" t="s">
        <v>673</v>
      </c>
    </row>
    <row r="753" spans="15:17" x14ac:dyDescent="0.25">
      <c r="O753" s="1">
        <v>16367</v>
      </c>
      <c r="P753" s="3" t="s">
        <v>713</v>
      </c>
      <c r="Q753" s="1" t="s">
        <v>673</v>
      </c>
    </row>
    <row r="754" spans="15:17" x14ac:dyDescent="0.25">
      <c r="O754" s="1">
        <v>16368</v>
      </c>
      <c r="P754" s="3" t="s">
        <v>713</v>
      </c>
      <c r="Q754" s="1" t="s">
        <v>673</v>
      </c>
    </row>
    <row r="755" spans="15:17" x14ac:dyDescent="0.25">
      <c r="O755" s="1">
        <v>16369</v>
      </c>
      <c r="P755" s="3" t="s">
        <v>713</v>
      </c>
      <c r="Q755" s="1" t="s">
        <v>673</v>
      </c>
    </row>
    <row r="756" spans="15:17" x14ac:dyDescent="0.25">
      <c r="O756" s="1">
        <v>16370</v>
      </c>
      <c r="P756" s="3" t="s">
        <v>713</v>
      </c>
      <c r="Q756" s="1" t="s">
        <v>673</v>
      </c>
    </row>
    <row r="757" spans="15:17" x14ac:dyDescent="0.25">
      <c r="O757" s="1">
        <v>16371</v>
      </c>
      <c r="P757" s="3" t="s">
        <v>713</v>
      </c>
      <c r="Q757" s="1" t="s">
        <v>673</v>
      </c>
    </row>
    <row r="758" spans="15:17" x14ac:dyDescent="0.25">
      <c r="O758" s="1">
        <v>16372</v>
      </c>
      <c r="P758" s="3" t="s">
        <v>713</v>
      </c>
      <c r="Q758" s="1" t="s">
        <v>673</v>
      </c>
    </row>
    <row r="759" spans="15:17" x14ac:dyDescent="0.25">
      <c r="O759" s="1">
        <v>16373</v>
      </c>
      <c r="P759" s="3" t="s">
        <v>713</v>
      </c>
      <c r="Q759" s="1" t="s">
        <v>673</v>
      </c>
    </row>
    <row r="760" spans="15:17" x14ac:dyDescent="0.25">
      <c r="O760" s="1">
        <v>16374</v>
      </c>
      <c r="P760" s="3" t="s">
        <v>713</v>
      </c>
      <c r="Q760" s="1" t="s">
        <v>673</v>
      </c>
    </row>
    <row r="761" spans="15:17" x14ac:dyDescent="0.25">
      <c r="O761" s="1">
        <v>16375</v>
      </c>
      <c r="P761" s="3" t="s">
        <v>713</v>
      </c>
      <c r="Q761" s="1" t="s">
        <v>673</v>
      </c>
    </row>
    <row r="762" spans="15:17" x14ac:dyDescent="0.25">
      <c r="O762" s="1">
        <v>16388</v>
      </c>
      <c r="P762" s="3" t="s">
        <v>713</v>
      </c>
      <c r="Q762" s="1" t="s">
        <v>673</v>
      </c>
    </row>
    <row r="763" spans="15:17" x14ac:dyDescent="0.25">
      <c r="O763" s="1">
        <v>16401</v>
      </c>
      <c r="P763" s="3" t="s">
        <v>713</v>
      </c>
      <c r="Q763" s="1" t="s">
        <v>673</v>
      </c>
    </row>
    <row r="764" spans="15:17" x14ac:dyDescent="0.25">
      <c r="O764" s="1">
        <v>16402</v>
      </c>
      <c r="P764" s="3" t="s">
        <v>713</v>
      </c>
      <c r="Q764" s="1" t="s">
        <v>673</v>
      </c>
    </row>
    <row r="765" spans="15:17" x14ac:dyDescent="0.25">
      <c r="O765" s="1">
        <v>16403</v>
      </c>
      <c r="P765" s="3" t="s">
        <v>713</v>
      </c>
      <c r="Q765" s="1" t="s">
        <v>673</v>
      </c>
    </row>
    <row r="766" spans="15:17" x14ac:dyDescent="0.25">
      <c r="O766" s="1">
        <v>16404</v>
      </c>
      <c r="P766" s="3" t="s">
        <v>713</v>
      </c>
      <c r="Q766" s="1" t="s">
        <v>673</v>
      </c>
    </row>
    <row r="767" spans="15:17" x14ac:dyDescent="0.25">
      <c r="O767" s="1">
        <v>16405</v>
      </c>
      <c r="P767" s="3" t="s">
        <v>713</v>
      </c>
      <c r="Q767" s="1" t="s">
        <v>673</v>
      </c>
    </row>
    <row r="768" spans="15:17" x14ac:dyDescent="0.25">
      <c r="O768" s="1">
        <v>16406</v>
      </c>
      <c r="P768" s="3" t="s">
        <v>713</v>
      </c>
      <c r="Q768" s="1" t="s">
        <v>673</v>
      </c>
    </row>
    <row r="769" spans="15:17" x14ac:dyDescent="0.25">
      <c r="O769" s="1">
        <v>16407</v>
      </c>
      <c r="P769" s="3" t="s">
        <v>713</v>
      </c>
      <c r="Q769" s="1" t="s">
        <v>673</v>
      </c>
    </row>
    <row r="770" spans="15:17" x14ac:dyDescent="0.25">
      <c r="O770" s="1">
        <v>16410</v>
      </c>
      <c r="P770" s="3" t="s">
        <v>713</v>
      </c>
      <c r="Q770" s="1" t="s">
        <v>673</v>
      </c>
    </row>
    <row r="771" spans="15:17" x14ac:dyDescent="0.25">
      <c r="O771" s="1">
        <v>16411</v>
      </c>
      <c r="P771" s="3" t="s">
        <v>713</v>
      </c>
      <c r="Q771" s="1" t="s">
        <v>673</v>
      </c>
    </row>
    <row r="772" spans="15:17" x14ac:dyDescent="0.25">
      <c r="O772" s="1">
        <v>16412</v>
      </c>
      <c r="P772" s="3" t="s">
        <v>713</v>
      </c>
      <c r="Q772" s="1" t="s">
        <v>673</v>
      </c>
    </row>
    <row r="773" spans="15:17" x14ac:dyDescent="0.25">
      <c r="O773" s="1">
        <v>16413</v>
      </c>
      <c r="P773" s="3" t="s">
        <v>713</v>
      </c>
      <c r="Q773" s="1" t="s">
        <v>673</v>
      </c>
    </row>
    <row r="774" spans="15:17" x14ac:dyDescent="0.25">
      <c r="O774" s="1">
        <v>16415</v>
      </c>
      <c r="P774" s="3" t="s">
        <v>713</v>
      </c>
      <c r="Q774" s="1" t="s">
        <v>673</v>
      </c>
    </row>
    <row r="775" spans="15:17" x14ac:dyDescent="0.25">
      <c r="O775" s="1">
        <v>16416</v>
      </c>
      <c r="P775" s="3" t="s">
        <v>713</v>
      </c>
      <c r="Q775" s="1" t="s">
        <v>673</v>
      </c>
    </row>
    <row r="776" spans="15:17" x14ac:dyDescent="0.25">
      <c r="O776" s="1">
        <v>16417</v>
      </c>
      <c r="P776" s="3" t="s">
        <v>713</v>
      </c>
      <c r="Q776" s="1" t="s">
        <v>673</v>
      </c>
    </row>
    <row r="777" spans="15:17" x14ac:dyDescent="0.25">
      <c r="O777" s="1">
        <v>16420</v>
      </c>
      <c r="P777" s="3" t="s">
        <v>713</v>
      </c>
      <c r="Q777" s="1" t="s">
        <v>673</v>
      </c>
    </row>
    <row r="778" spans="15:17" x14ac:dyDescent="0.25">
      <c r="O778" s="1">
        <v>16421</v>
      </c>
      <c r="P778" s="3" t="s">
        <v>713</v>
      </c>
      <c r="Q778" s="1" t="s">
        <v>673</v>
      </c>
    </row>
    <row r="779" spans="15:17" x14ac:dyDescent="0.25">
      <c r="O779" s="1">
        <v>16422</v>
      </c>
      <c r="P779" s="3" t="s">
        <v>713</v>
      </c>
      <c r="Q779" s="1" t="s">
        <v>673</v>
      </c>
    </row>
    <row r="780" spans="15:17" x14ac:dyDescent="0.25">
      <c r="O780" s="1">
        <v>16423</v>
      </c>
      <c r="P780" s="3" t="s">
        <v>713</v>
      </c>
      <c r="Q780" s="1" t="s">
        <v>673</v>
      </c>
    </row>
    <row r="781" spans="15:17" x14ac:dyDescent="0.25">
      <c r="O781" s="1">
        <v>16424</v>
      </c>
      <c r="P781" s="3" t="s">
        <v>713</v>
      </c>
      <c r="Q781" s="1" t="s">
        <v>673</v>
      </c>
    </row>
    <row r="782" spans="15:17" x14ac:dyDescent="0.25">
      <c r="O782" s="1">
        <v>16426</v>
      </c>
      <c r="P782" s="3" t="s">
        <v>713</v>
      </c>
      <c r="Q782" s="1" t="s">
        <v>673</v>
      </c>
    </row>
    <row r="783" spans="15:17" x14ac:dyDescent="0.25">
      <c r="O783" s="1">
        <v>16427</v>
      </c>
      <c r="P783" s="3" t="s">
        <v>713</v>
      </c>
      <c r="Q783" s="1" t="s">
        <v>673</v>
      </c>
    </row>
    <row r="784" spans="15:17" x14ac:dyDescent="0.25">
      <c r="O784" s="1">
        <v>16428</v>
      </c>
      <c r="P784" s="3" t="s">
        <v>713</v>
      </c>
      <c r="Q784" s="1" t="s">
        <v>673</v>
      </c>
    </row>
    <row r="785" spans="15:17" x14ac:dyDescent="0.25">
      <c r="O785" s="1">
        <v>16430</v>
      </c>
      <c r="P785" s="3" t="s">
        <v>713</v>
      </c>
      <c r="Q785" s="1" t="s">
        <v>673</v>
      </c>
    </row>
    <row r="786" spans="15:17" x14ac:dyDescent="0.25">
      <c r="O786" s="1">
        <v>16432</v>
      </c>
      <c r="P786" s="3" t="s">
        <v>713</v>
      </c>
      <c r="Q786" s="1" t="s">
        <v>673</v>
      </c>
    </row>
    <row r="787" spans="15:17" x14ac:dyDescent="0.25">
      <c r="O787" s="1">
        <v>16433</v>
      </c>
      <c r="P787" s="3" t="s">
        <v>713</v>
      </c>
      <c r="Q787" s="1" t="s">
        <v>673</v>
      </c>
    </row>
    <row r="788" spans="15:17" x14ac:dyDescent="0.25">
      <c r="O788" s="1">
        <v>16434</v>
      </c>
      <c r="P788" s="3" t="s">
        <v>713</v>
      </c>
      <c r="Q788" s="1" t="s">
        <v>673</v>
      </c>
    </row>
    <row r="789" spans="15:17" x14ac:dyDescent="0.25">
      <c r="O789" s="1">
        <v>16435</v>
      </c>
      <c r="P789" s="3" t="s">
        <v>713</v>
      </c>
      <c r="Q789" s="1" t="s">
        <v>673</v>
      </c>
    </row>
    <row r="790" spans="15:17" x14ac:dyDescent="0.25">
      <c r="O790" s="1">
        <v>16436</v>
      </c>
      <c r="P790" s="3" t="s">
        <v>713</v>
      </c>
      <c r="Q790" s="1" t="s">
        <v>673</v>
      </c>
    </row>
    <row r="791" spans="15:17" x14ac:dyDescent="0.25">
      <c r="O791" s="1">
        <v>16438</v>
      </c>
      <c r="P791" s="3" t="s">
        <v>713</v>
      </c>
      <c r="Q791" s="1" t="s">
        <v>673</v>
      </c>
    </row>
    <row r="792" spans="15:17" x14ac:dyDescent="0.25">
      <c r="O792" s="1">
        <v>16440</v>
      </c>
      <c r="P792" s="3" t="s">
        <v>713</v>
      </c>
      <c r="Q792" s="1" t="s">
        <v>673</v>
      </c>
    </row>
    <row r="793" spans="15:17" x14ac:dyDescent="0.25">
      <c r="O793" s="1">
        <v>16441</v>
      </c>
      <c r="P793" s="3" t="s">
        <v>713</v>
      </c>
      <c r="Q793" s="1" t="s">
        <v>673</v>
      </c>
    </row>
    <row r="794" spans="15:17" x14ac:dyDescent="0.25">
      <c r="O794" s="1">
        <v>16442</v>
      </c>
      <c r="P794" s="3" t="s">
        <v>713</v>
      </c>
      <c r="Q794" s="1" t="s">
        <v>673</v>
      </c>
    </row>
    <row r="795" spans="15:17" x14ac:dyDescent="0.25">
      <c r="O795" s="1">
        <v>16443</v>
      </c>
      <c r="P795" s="3" t="s">
        <v>713</v>
      </c>
      <c r="Q795" s="1" t="s">
        <v>673</v>
      </c>
    </row>
    <row r="796" spans="15:17" x14ac:dyDescent="0.25">
      <c r="O796" s="1">
        <v>16444</v>
      </c>
      <c r="P796" s="3" t="s">
        <v>713</v>
      </c>
      <c r="Q796" s="1" t="s">
        <v>673</v>
      </c>
    </row>
    <row r="797" spans="15:17" x14ac:dyDescent="0.25">
      <c r="O797" s="1">
        <v>16475</v>
      </c>
      <c r="P797" s="3" t="s">
        <v>713</v>
      </c>
      <c r="Q797" s="1" t="s">
        <v>673</v>
      </c>
    </row>
    <row r="798" spans="15:17" x14ac:dyDescent="0.25">
      <c r="O798" s="1">
        <v>16501</v>
      </c>
      <c r="P798" s="3" t="s">
        <v>713</v>
      </c>
      <c r="Q798" s="1" t="s">
        <v>673</v>
      </c>
    </row>
    <row r="799" spans="15:17" x14ac:dyDescent="0.25">
      <c r="O799" s="1">
        <v>16502</v>
      </c>
      <c r="P799" s="3" t="s">
        <v>713</v>
      </c>
      <c r="Q799" s="1" t="s">
        <v>673</v>
      </c>
    </row>
    <row r="800" spans="15:17" x14ac:dyDescent="0.25">
      <c r="O800" s="1">
        <v>16503</v>
      </c>
      <c r="P800" s="3" t="s">
        <v>713</v>
      </c>
      <c r="Q800" s="1" t="s">
        <v>673</v>
      </c>
    </row>
    <row r="801" spans="15:17" x14ac:dyDescent="0.25">
      <c r="O801" s="1">
        <v>16504</v>
      </c>
      <c r="P801" s="3" t="s">
        <v>713</v>
      </c>
      <c r="Q801" s="1" t="s">
        <v>673</v>
      </c>
    </row>
    <row r="802" spans="15:17" x14ac:dyDescent="0.25">
      <c r="O802" s="1">
        <v>16505</v>
      </c>
      <c r="P802" s="3" t="s">
        <v>713</v>
      </c>
      <c r="Q802" s="1" t="s">
        <v>673</v>
      </c>
    </row>
    <row r="803" spans="15:17" x14ac:dyDescent="0.25">
      <c r="O803" s="1">
        <v>16506</v>
      </c>
      <c r="P803" s="3" t="s">
        <v>713</v>
      </c>
      <c r="Q803" s="1" t="s">
        <v>673</v>
      </c>
    </row>
    <row r="804" spans="15:17" x14ac:dyDescent="0.25">
      <c r="O804" s="1">
        <v>16507</v>
      </c>
      <c r="P804" s="3" t="s">
        <v>713</v>
      </c>
      <c r="Q804" s="1" t="s">
        <v>673</v>
      </c>
    </row>
    <row r="805" spans="15:17" x14ac:dyDescent="0.25">
      <c r="O805" s="1">
        <v>16508</v>
      </c>
      <c r="P805" s="3" t="s">
        <v>713</v>
      </c>
      <c r="Q805" s="1" t="s">
        <v>673</v>
      </c>
    </row>
    <row r="806" spans="15:17" x14ac:dyDescent="0.25">
      <c r="O806" s="1">
        <v>16509</v>
      </c>
      <c r="P806" s="3" t="s">
        <v>713</v>
      </c>
      <c r="Q806" s="1" t="s">
        <v>673</v>
      </c>
    </row>
    <row r="807" spans="15:17" x14ac:dyDescent="0.25">
      <c r="O807" s="1">
        <v>16510</v>
      </c>
      <c r="P807" s="3" t="s">
        <v>713</v>
      </c>
      <c r="Q807" s="1" t="s">
        <v>673</v>
      </c>
    </row>
    <row r="808" spans="15:17" x14ac:dyDescent="0.25">
      <c r="O808" s="1">
        <v>16511</v>
      </c>
      <c r="P808" s="3" t="s">
        <v>713</v>
      </c>
      <c r="Q808" s="1" t="s">
        <v>673</v>
      </c>
    </row>
    <row r="809" spans="15:17" x14ac:dyDescent="0.25">
      <c r="O809" s="1">
        <v>16512</v>
      </c>
      <c r="P809" s="3" t="s">
        <v>713</v>
      </c>
      <c r="Q809" s="1" t="s">
        <v>673</v>
      </c>
    </row>
    <row r="810" spans="15:17" x14ac:dyDescent="0.25">
      <c r="O810" s="1">
        <v>16514</v>
      </c>
      <c r="P810" s="3" t="s">
        <v>713</v>
      </c>
      <c r="Q810" s="1" t="s">
        <v>673</v>
      </c>
    </row>
    <row r="811" spans="15:17" x14ac:dyDescent="0.25">
      <c r="O811" s="1">
        <v>16515</v>
      </c>
      <c r="P811" s="3" t="s">
        <v>713</v>
      </c>
      <c r="Q811" s="1" t="s">
        <v>673</v>
      </c>
    </row>
    <row r="812" spans="15:17" x14ac:dyDescent="0.25">
      <c r="O812" s="1">
        <v>16522</v>
      </c>
      <c r="P812" s="3" t="s">
        <v>713</v>
      </c>
      <c r="Q812" s="1" t="s">
        <v>673</v>
      </c>
    </row>
    <row r="813" spans="15:17" x14ac:dyDescent="0.25">
      <c r="O813" s="1">
        <v>16530</v>
      </c>
      <c r="P813" s="3" t="s">
        <v>713</v>
      </c>
      <c r="Q813" s="1" t="s">
        <v>673</v>
      </c>
    </row>
    <row r="814" spans="15:17" x14ac:dyDescent="0.25">
      <c r="O814" s="1">
        <v>16531</v>
      </c>
      <c r="P814" s="3" t="s">
        <v>713</v>
      </c>
      <c r="Q814" s="1" t="s">
        <v>673</v>
      </c>
    </row>
    <row r="815" spans="15:17" x14ac:dyDescent="0.25">
      <c r="O815" s="1">
        <v>16532</v>
      </c>
      <c r="P815" s="3" t="s">
        <v>713</v>
      </c>
      <c r="Q815" s="1" t="s">
        <v>673</v>
      </c>
    </row>
    <row r="816" spans="15:17" x14ac:dyDescent="0.25">
      <c r="O816" s="1">
        <v>16533</v>
      </c>
      <c r="P816" s="3" t="s">
        <v>713</v>
      </c>
      <c r="Q816" s="1" t="s">
        <v>673</v>
      </c>
    </row>
    <row r="817" spans="15:17" x14ac:dyDescent="0.25">
      <c r="O817" s="1">
        <v>16534</v>
      </c>
      <c r="P817" s="3" t="s">
        <v>713</v>
      </c>
      <c r="Q817" s="1" t="s">
        <v>673</v>
      </c>
    </row>
    <row r="818" spans="15:17" x14ac:dyDescent="0.25">
      <c r="O818" s="1">
        <v>16538</v>
      </c>
      <c r="P818" s="3" t="s">
        <v>713</v>
      </c>
      <c r="Q818" s="1" t="s">
        <v>673</v>
      </c>
    </row>
    <row r="819" spans="15:17" x14ac:dyDescent="0.25">
      <c r="O819" s="1">
        <v>16541</v>
      </c>
      <c r="P819" s="3" t="s">
        <v>713</v>
      </c>
      <c r="Q819" s="1" t="s">
        <v>673</v>
      </c>
    </row>
    <row r="820" spans="15:17" x14ac:dyDescent="0.25">
      <c r="O820" s="1">
        <v>16544</v>
      </c>
      <c r="P820" s="3" t="s">
        <v>713</v>
      </c>
      <c r="Q820" s="1" t="s">
        <v>673</v>
      </c>
    </row>
    <row r="821" spans="15:17" x14ac:dyDescent="0.25">
      <c r="O821" s="1">
        <v>16546</v>
      </c>
      <c r="P821" s="3" t="s">
        <v>713</v>
      </c>
      <c r="Q821" s="1" t="s">
        <v>673</v>
      </c>
    </row>
    <row r="822" spans="15:17" x14ac:dyDescent="0.25">
      <c r="O822" s="1">
        <v>16550</v>
      </c>
      <c r="P822" s="3" t="s">
        <v>713</v>
      </c>
      <c r="Q822" s="1" t="s">
        <v>673</v>
      </c>
    </row>
    <row r="823" spans="15:17" x14ac:dyDescent="0.25">
      <c r="O823" s="1">
        <v>16553</v>
      </c>
      <c r="P823" s="3" t="s">
        <v>713</v>
      </c>
      <c r="Q823" s="1" t="s">
        <v>673</v>
      </c>
    </row>
    <row r="824" spans="15:17" x14ac:dyDescent="0.25">
      <c r="O824" s="1">
        <v>16554</v>
      </c>
      <c r="P824" s="3" t="s">
        <v>713</v>
      </c>
      <c r="Q824" s="1" t="s">
        <v>673</v>
      </c>
    </row>
    <row r="825" spans="15:17" x14ac:dyDescent="0.25">
      <c r="O825" s="1">
        <v>16563</v>
      </c>
      <c r="P825" s="3" t="s">
        <v>713</v>
      </c>
      <c r="Q825" s="1" t="s">
        <v>673</v>
      </c>
    </row>
    <row r="826" spans="15:17" x14ac:dyDescent="0.25">
      <c r="O826" s="1">
        <v>16565</v>
      </c>
      <c r="P826" s="3" t="s">
        <v>713</v>
      </c>
      <c r="Q826" s="1" t="s">
        <v>673</v>
      </c>
    </row>
    <row r="827" spans="15:17" x14ac:dyDescent="0.25">
      <c r="O827" s="1">
        <v>16601</v>
      </c>
      <c r="P827" s="3" t="s">
        <v>653</v>
      </c>
      <c r="Q827" s="1" t="s">
        <v>654</v>
      </c>
    </row>
    <row r="828" spans="15:17" x14ac:dyDescent="0.25">
      <c r="O828" s="1">
        <v>16602</v>
      </c>
      <c r="P828" s="3" t="s">
        <v>653</v>
      </c>
      <c r="Q828" s="1" t="s">
        <v>654</v>
      </c>
    </row>
    <row r="829" spans="15:17" x14ac:dyDescent="0.25">
      <c r="O829" s="1">
        <v>16603</v>
      </c>
      <c r="P829" s="3" t="s">
        <v>653</v>
      </c>
      <c r="Q829" s="1" t="s">
        <v>654</v>
      </c>
    </row>
    <row r="830" spans="15:17" x14ac:dyDescent="0.25">
      <c r="O830" s="1">
        <v>16611</v>
      </c>
      <c r="P830" s="3" t="s">
        <v>715</v>
      </c>
      <c r="Q830" s="1" t="s">
        <v>692</v>
      </c>
    </row>
    <row r="831" spans="15:17" x14ac:dyDescent="0.25">
      <c r="O831" s="1">
        <v>16613</v>
      </c>
      <c r="P831" s="3" t="s">
        <v>653</v>
      </c>
      <c r="Q831" s="1" t="s">
        <v>654</v>
      </c>
    </row>
    <row r="832" spans="15:17" x14ac:dyDescent="0.25">
      <c r="O832" s="1">
        <v>16616</v>
      </c>
      <c r="P832" s="3" t="s">
        <v>714</v>
      </c>
      <c r="Q832" s="1" t="s">
        <v>667</v>
      </c>
    </row>
    <row r="833" spans="15:17" x14ac:dyDescent="0.25">
      <c r="O833" s="1">
        <v>16617</v>
      </c>
      <c r="P833" s="3" t="s">
        <v>653</v>
      </c>
      <c r="Q833" s="1" t="s">
        <v>654</v>
      </c>
    </row>
    <row r="834" spans="15:17" x14ac:dyDescent="0.25">
      <c r="O834" s="1">
        <v>16619</v>
      </c>
      <c r="P834" s="3" t="s">
        <v>653</v>
      </c>
      <c r="Q834" s="1" t="s">
        <v>654</v>
      </c>
    </row>
    <row r="835" spans="15:17" x14ac:dyDescent="0.25">
      <c r="O835" s="1">
        <v>16620</v>
      </c>
      <c r="P835" s="3" t="s">
        <v>714</v>
      </c>
      <c r="Q835" s="1" t="s">
        <v>667</v>
      </c>
    </row>
    <row r="836" spans="15:17" x14ac:dyDescent="0.25">
      <c r="O836" s="1">
        <v>16621</v>
      </c>
      <c r="P836" s="3" t="s">
        <v>715</v>
      </c>
      <c r="Q836" s="1" t="s">
        <v>692</v>
      </c>
    </row>
    <row r="837" spans="15:17" x14ac:dyDescent="0.25">
      <c r="O837" s="1">
        <v>16622</v>
      </c>
      <c r="P837" s="3" t="s">
        <v>715</v>
      </c>
      <c r="Q837" s="1" t="s">
        <v>692</v>
      </c>
    </row>
    <row r="838" spans="15:17" x14ac:dyDescent="0.25">
      <c r="O838" s="1">
        <v>16623</v>
      </c>
      <c r="P838" s="3" t="s">
        <v>715</v>
      </c>
      <c r="Q838" s="1" t="s">
        <v>692</v>
      </c>
    </row>
    <row r="839" spans="15:17" x14ac:dyDescent="0.25">
      <c r="O839" s="1">
        <v>16624</v>
      </c>
      <c r="P839" s="3" t="s">
        <v>653</v>
      </c>
      <c r="Q839" s="1" t="s">
        <v>654</v>
      </c>
    </row>
    <row r="840" spans="15:17" x14ac:dyDescent="0.25">
      <c r="O840" s="1">
        <v>16625</v>
      </c>
      <c r="P840" s="3" t="s">
        <v>653</v>
      </c>
      <c r="Q840" s="1" t="s">
        <v>654</v>
      </c>
    </row>
    <row r="841" spans="15:17" x14ac:dyDescent="0.25">
      <c r="O841" s="1">
        <v>16627</v>
      </c>
      <c r="P841" s="3" t="s">
        <v>714</v>
      </c>
      <c r="Q841" s="1" t="s">
        <v>667</v>
      </c>
    </row>
    <row r="842" spans="15:17" x14ac:dyDescent="0.25">
      <c r="O842" s="1">
        <v>16629</v>
      </c>
      <c r="P842" s="3" t="s">
        <v>653</v>
      </c>
      <c r="Q842" s="1" t="s">
        <v>654</v>
      </c>
    </row>
    <row r="843" spans="15:17" x14ac:dyDescent="0.25">
      <c r="O843" s="1">
        <v>16630</v>
      </c>
      <c r="P843" s="3" t="s">
        <v>653</v>
      </c>
      <c r="Q843" s="1" t="s">
        <v>654</v>
      </c>
    </row>
    <row r="844" spans="15:17" x14ac:dyDescent="0.25">
      <c r="O844" s="1">
        <v>16631</v>
      </c>
      <c r="P844" s="3" t="s">
        <v>653</v>
      </c>
      <c r="Q844" s="1" t="s">
        <v>654</v>
      </c>
    </row>
    <row r="845" spans="15:17" x14ac:dyDescent="0.25">
      <c r="O845" s="1">
        <v>16633</v>
      </c>
      <c r="P845" s="3" t="s">
        <v>653</v>
      </c>
      <c r="Q845" s="1" t="s">
        <v>654</v>
      </c>
    </row>
    <row r="846" spans="15:17" x14ac:dyDescent="0.25">
      <c r="O846" s="1">
        <v>16634</v>
      </c>
      <c r="P846" s="3" t="s">
        <v>715</v>
      </c>
      <c r="Q846" s="1" t="s">
        <v>692</v>
      </c>
    </row>
    <row r="847" spans="15:17" x14ac:dyDescent="0.25">
      <c r="O847" s="1">
        <v>16635</v>
      </c>
      <c r="P847" s="3" t="s">
        <v>653</v>
      </c>
      <c r="Q847" s="1" t="s">
        <v>654</v>
      </c>
    </row>
    <row r="848" spans="15:17" x14ac:dyDescent="0.25">
      <c r="O848" s="1">
        <v>16636</v>
      </c>
      <c r="P848" s="3" t="s">
        <v>653</v>
      </c>
      <c r="Q848" s="1" t="s">
        <v>654</v>
      </c>
    </row>
    <row r="849" spans="15:17" x14ac:dyDescent="0.25">
      <c r="O849" s="1">
        <v>16637</v>
      </c>
      <c r="P849" s="3" t="s">
        <v>653</v>
      </c>
      <c r="Q849" s="1" t="s">
        <v>654</v>
      </c>
    </row>
    <row r="850" spans="15:17" x14ac:dyDescent="0.25">
      <c r="O850" s="1">
        <v>16638</v>
      </c>
      <c r="P850" s="3" t="s">
        <v>715</v>
      </c>
      <c r="Q850" s="1" t="s">
        <v>692</v>
      </c>
    </row>
    <row r="851" spans="15:17" x14ac:dyDescent="0.25">
      <c r="O851" s="1">
        <v>16639</v>
      </c>
      <c r="P851" s="3" t="s">
        <v>653</v>
      </c>
      <c r="Q851" s="1" t="s">
        <v>654</v>
      </c>
    </row>
    <row r="852" spans="15:17" x14ac:dyDescent="0.25">
      <c r="O852" s="1">
        <v>16640</v>
      </c>
      <c r="P852" s="3" t="s">
        <v>653</v>
      </c>
      <c r="Q852" s="1" t="s">
        <v>654</v>
      </c>
    </row>
    <row r="853" spans="15:17" x14ac:dyDescent="0.25">
      <c r="O853" s="1">
        <v>16641</v>
      </c>
      <c r="P853" s="3" t="s">
        <v>653</v>
      </c>
      <c r="Q853" s="1" t="s">
        <v>654</v>
      </c>
    </row>
    <row r="854" spans="15:17" x14ac:dyDescent="0.25">
      <c r="O854" s="1">
        <v>16644</v>
      </c>
      <c r="P854" s="3" t="s">
        <v>653</v>
      </c>
      <c r="Q854" s="1" t="s">
        <v>654</v>
      </c>
    </row>
    <row r="855" spans="15:17" x14ac:dyDescent="0.25">
      <c r="O855" s="1">
        <v>16645</v>
      </c>
      <c r="P855" s="3" t="s">
        <v>714</v>
      </c>
      <c r="Q855" s="1" t="s">
        <v>667</v>
      </c>
    </row>
    <row r="856" spans="15:17" x14ac:dyDescent="0.25">
      <c r="O856" s="1">
        <v>16646</v>
      </c>
      <c r="P856" s="3" t="s">
        <v>653</v>
      </c>
      <c r="Q856" s="1" t="s">
        <v>654</v>
      </c>
    </row>
    <row r="857" spans="15:17" x14ac:dyDescent="0.25">
      <c r="O857" s="1">
        <v>16647</v>
      </c>
      <c r="P857" s="3" t="s">
        <v>715</v>
      </c>
      <c r="Q857" s="1" t="s">
        <v>692</v>
      </c>
    </row>
    <row r="858" spans="15:17" x14ac:dyDescent="0.25">
      <c r="O858" s="1">
        <v>16648</v>
      </c>
      <c r="P858" s="3" t="s">
        <v>653</v>
      </c>
      <c r="Q858" s="1" t="s">
        <v>654</v>
      </c>
    </row>
    <row r="859" spans="15:17" x14ac:dyDescent="0.25">
      <c r="O859" s="1">
        <v>16650</v>
      </c>
      <c r="P859" s="3" t="s">
        <v>653</v>
      </c>
      <c r="Q859" s="1" t="s">
        <v>654</v>
      </c>
    </row>
    <row r="860" spans="15:17" x14ac:dyDescent="0.25">
      <c r="O860" s="1">
        <v>16651</v>
      </c>
      <c r="P860" s="3" t="s">
        <v>714</v>
      </c>
      <c r="Q860" s="1" t="s">
        <v>667</v>
      </c>
    </row>
    <row r="861" spans="15:17" x14ac:dyDescent="0.25">
      <c r="O861" s="1">
        <v>16652</v>
      </c>
      <c r="P861" s="3" t="s">
        <v>715</v>
      </c>
      <c r="Q861" s="1" t="s">
        <v>692</v>
      </c>
    </row>
    <row r="862" spans="15:17" x14ac:dyDescent="0.25">
      <c r="O862" s="1">
        <v>16654</v>
      </c>
      <c r="P862" s="3" t="s">
        <v>715</v>
      </c>
      <c r="Q862" s="1" t="s">
        <v>692</v>
      </c>
    </row>
    <row r="863" spans="15:17" x14ac:dyDescent="0.25">
      <c r="O863" s="1">
        <v>16655</v>
      </c>
      <c r="P863" s="3" t="s">
        <v>653</v>
      </c>
      <c r="Q863" s="1" t="s">
        <v>654</v>
      </c>
    </row>
    <row r="864" spans="15:17" x14ac:dyDescent="0.25">
      <c r="O864" s="1">
        <v>16656</v>
      </c>
      <c r="P864" s="3" t="s">
        <v>714</v>
      </c>
      <c r="Q864" s="1" t="s">
        <v>667</v>
      </c>
    </row>
    <row r="865" spans="15:17" x14ac:dyDescent="0.25">
      <c r="O865" s="1">
        <v>16657</v>
      </c>
      <c r="P865" s="3" t="s">
        <v>715</v>
      </c>
      <c r="Q865" s="1" t="s">
        <v>692</v>
      </c>
    </row>
    <row r="866" spans="15:17" x14ac:dyDescent="0.25">
      <c r="O866" s="1">
        <v>16659</v>
      </c>
      <c r="P866" s="3" t="s">
        <v>653</v>
      </c>
      <c r="Q866" s="1" t="s">
        <v>654</v>
      </c>
    </row>
    <row r="867" spans="15:17" x14ac:dyDescent="0.25">
      <c r="O867" s="1">
        <v>16660</v>
      </c>
      <c r="P867" s="3" t="s">
        <v>653</v>
      </c>
      <c r="Q867" s="1" t="s">
        <v>654</v>
      </c>
    </row>
    <row r="868" spans="15:17" x14ac:dyDescent="0.25">
      <c r="O868" s="1">
        <v>16661</v>
      </c>
      <c r="P868" s="3" t="s">
        <v>714</v>
      </c>
      <c r="Q868" s="1" t="s">
        <v>667</v>
      </c>
    </row>
    <row r="869" spans="15:17" x14ac:dyDescent="0.25">
      <c r="O869" s="1">
        <v>16662</v>
      </c>
      <c r="P869" s="3" t="s">
        <v>653</v>
      </c>
      <c r="Q869" s="1" t="s">
        <v>654</v>
      </c>
    </row>
    <row r="870" spans="15:17" x14ac:dyDescent="0.25">
      <c r="O870" s="1">
        <v>16663</v>
      </c>
      <c r="P870" s="3" t="s">
        <v>714</v>
      </c>
      <c r="Q870" s="1" t="s">
        <v>667</v>
      </c>
    </row>
    <row r="871" spans="15:17" x14ac:dyDescent="0.25">
      <c r="O871" s="1">
        <v>16664</v>
      </c>
      <c r="P871" s="3" t="s">
        <v>653</v>
      </c>
      <c r="Q871" s="1" t="s">
        <v>654</v>
      </c>
    </row>
    <row r="872" spans="15:17" x14ac:dyDescent="0.25">
      <c r="O872" s="1">
        <v>16665</v>
      </c>
      <c r="P872" s="3" t="s">
        <v>653</v>
      </c>
      <c r="Q872" s="1" t="s">
        <v>654</v>
      </c>
    </row>
    <row r="873" spans="15:17" x14ac:dyDescent="0.25">
      <c r="O873" s="1">
        <v>16666</v>
      </c>
      <c r="P873" s="3" t="s">
        <v>714</v>
      </c>
      <c r="Q873" s="1" t="s">
        <v>667</v>
      </c>
    </row>
    <row r="874" spans="15:17" x14ac:dyDescent="0.25">
      <c r="O874" s="1">
        <v>16667</v>
      </c>
      <c r="P874" s="3" t="s">
        <v>653</v>
      </c>
      <c r="Q874" s="1" t="s">
        <v>654</v>
      </c>
    </row>
    <row r="875" spans="15:17" x14ac:dyDescent="0.25">
      <c r="O875" s="1">
        <v>16668</v>
      </c>
      <c r="P875" s="3" t="s">
        <v>653</v>
      </c>
      <c r="Q875" s="1" t="s">
        <v>654</v>
      </c>
    </row>
    <row r="876" spans="15:17" x14ac:dyDescent="0.25">
      <c r="O876" s="1">
        <v>16669</v>
      </c>
      <c r="P876" s="3" t="s">
        <v>715</v>
      </c>
      <c r="Q876" s="1" t="s">
        <v>692</v>
      </c>
    </row>
    <row r="877" spans="15:17" x14ac:dyDescent="0.25">
      <c r="O877" s="1">
        <v>16670</v>
      </c>
      <c r="P877" s="3" t="s">
        <v>653</v>
      </c>
      <c r="Q877" s="1" t="s">
        <v>654</v>
      </c>
    </row>
    <row r="878" spans="15:17" x14ac:dyDescent="0.25">
      <c r="O878" s="1">
        <v>16671</v>
      </c>
      <c r="P878" s="3" t="s">
        <v>714</v>
      </c>
      <c r="Q878" s="1" t="s">
        <v>667</v>
      </c>
    </row>
    <row r="879" spans="15:17" x14ac:dyDescent="0.25">
      <c r="O879" s="1">
        <v>16672</v>
      </c>
      <c r="P879" s="3" t="s">
        <v>653</v>
      </c>
      <c r="Q879" s="1" t="s">
        <v>654</v>
      </c>
    </row>
    <row r="880" spans="15:17" x14ac:dyDescent="0.25">
      <c r="O880" s="1">
        <v>16673</v>
      </c>
      <c r="P880" s="3" t="s">
        <v>653</v>
      </c>
      <c r="Q880" s="1" t="s">
        <v>654</v>
      </c>
    </row>
    <row r="881" spans="15:17" x14ac:dyDescent="0.25">
      <c r="O881" s="1">
        <v>16674</v>
      </c>
      <c r="P881" s="3" t="s">
        <v>715</v>
      </c>
      <c r="Q881" s="1" t="s">
        <v>692</v>
      </c>
    </row>
    <row r="882" spans="15:17" x14ac:dyDescent="0.25">
      <c r="O882" s="1">
        <v>16675</v>
      </c>
      <c r="P882" s="3" t="s">
        <v>653</v>
      </c>
      <c r="Q882" s="1" t="s">
        <v>654</v>
      </c>
    </row>
    <row r="883" spans="15:17" x14ac:dyDescent="0.25">
      <c r="O883" s="1">
        <v>16677</v>
      </c>
      <c r="P883" s="3" t="s">
        <v>715</v>
      </c>
      <c r="Q883" s="1" t="s">
        <v>692</v>
      </c>
    </row>
    <row r="884" spans="15:17" x14ac:dyDescent="0.25">
      <c r="O884" s="1">
        <v>16678</v>
      </c>
      <c r="P884" s="3" t="s">
        <v>653</v>
      </c>
      <c r="Q884" s="1" t="s">
        <v>654</v>
      </c>
    </row>
    <row r="885" spans="15:17" x14ac:dyDescent="0.25">
      <c r="O885" s="1">
        <v>16679</v>
      </c>
      <c r="P885" s="3" t="s">
        <v>653</v>
      </c>
      <c r="Q885" s="1" t="s">
        <v>654</v>
      </c>
    </row>
    <row r="886" spans="15:17" x14ac:dyDescent="0.25">
      <c r="O886" s="1">
        <v>16680</v>
      </c>
      <c r="P886" s="3" t="s">
        <v>714</v>
      </c>
      <c r="Q886" s="1" t="s">
        <v>667</v>
      </c>
    </row>
    <row r="887" spans="15:17" x14ac:dyDescent="0.25">
      <c r="O887" s="1">
        <v>16681</v>
      </c>
      <c r="P887" s="3" t="s">
        <v>714</v>
      </c>
      <c r="Q887" s="1" t="s">
        <v>667</v>
      </c>
    </row>
    <row r="888" spans="15:17" x14ac:dyDescent="0.25">
      <c r="O888" s="1">
        <v>16682</v>
      </c>
      <c r="P888" s="3" t="s">
        <v>653</v>
      </c>
      <c r="Q888" s="1" t="s">
        <v>654</v>
      </c>
    </row>
    <row r="889" spans="15:17" x14ac:dyDescent="0.25">
      <c r="O889" s="1">
        <v>16683</v>
      </c>
      <c r="P889" s="3" t="s">
        <v>715</v>
      </c>
      <c r="Q889" s="1" t="s">
        <v>692</v>
      </c>
    </row>
    <row r="890" spans="15:17" x14ac:dyDescent="0.25">
      <c r="O890" s="1">
        <v>16684</v>
      </c>
      <c r="P890" s="3" t="s">
        <v>714</v>
      </c>
      <c r="Q890" s="1" t="s">
        <v>667</v>
      </c>
    </row>
    <row r="891" spans="15:17" x14ac:dyDescent="0.25">
      <c r="O891" s="1">
        <v>16685</v>
      </c>
      <c r="P891" s="3" t="s">
        <v>715</v>
      </c>
      <c r="Q891" s="1" t="s">
        <v>692</v>
      </c>
    </row>
    <row r="892" spans="15:17" x14ac:dyDescent="0.25">
      <c r="O892" s="1">
        <v>16686</v>
      </c>
      <c r="P892" s="3" t="s">
        <v>653</v>
      </c>
      <c r="Q892" s="1" t="s">
        <v>654</v>
      </c>
    </row>
    <row r="893" spans="15:17" x14ac:dyDescent="0.25">
      <c r="O893" s="1">
        <v>16689</v>
      </c>
      <c r="P893" s="3" t="s">
        <v>712</v>
      </c>
      <c r="Q893" s="1" t="s">
        <v>677</v>
      </c>
    </row>
    <row r="894" spans="15:17" x14ac:dyDescent="0.25">
      <c r="O894" s="1">
        <v>16691</v>
      </c>
      <c r="P894" s="3" t="s">
        <v>712</v>
      </c>
      <c r="Q894" s="1" t="s">
        <v>677</v>
      </c>
    </row>
    <row r="895" spans="15:17" x14ac:dyDescent="0.25">
      <c r="O895" s="1">
        <v>16692</v>
      </c>
      <c r="P895" s="3" t="s">
        <v>714</v>
      </c>
      <c r="Q895" s="1" t="s">
        <v>667</v>
      </c>
    </row>
    <row r="896" spans="15:17" x14ac:dyDescent="0.25">
      <c r="O896" s="1">
        <v>16693</v>
      </c>
      <c r="P896" s="3" t="s">
        <v>653</v>
      </c>
      <c r="Q896" s="1" t="s">
        <v>654</v>
      </c>
    </row>
    <row r="897" spans="15:17" x14ac:dyDescent="0.25">
      <c r="O897" s="1">
        <v>16694</v>
      </c>
      <c r="P897" s="3" t="s">
        <v>715</v>
      </c>
      <c r="Q897" s="1" t="s">
        <v>692</v>
      </c>
    </row>
    <row r="898" spans="15:17" x14ac:dyDescent="0.25">
      <c r="O898" s="1">
        <v>16695</v>
      </c>
      <c r="P898" s="3" t="s">
        <v>653</v>
      </c>
      <c r="Q898" s="1" t="s">
        <v>654</v>
      </c>
    </row>
    <row r="899" spans="15:17" x14ac:dyDescent="0.25">
      <c r="O899" s="1">
        <v>16698</v>
      </c>
      <c r="P899" s="3" t="s">
        <v>714</v>
      </c>
      <c r="Q899" s="1" t="s">
        <v>667</v>
      </c>
    </row>
    <row r="900" spans="15:17" x14ac:dyDescent="0.25">
      <c r="O900" s="1">
        <v>16699</v>
      </c>
      <c r="P900" s="3" t="s">
        <v>653</v>
      </c>
      <c r="Q900" s="1" t="s">
        <v>654</v>
      </c>
    </row>
    <row r="901" spans="15:17" x14ac:dyDescent="0.25">
      <c r="O901" s="1">
        <v>16701</v>
      </c>
      <c r="P901" s="3" t="s">
        <v>714</v>
      </c>
      <c r="Q901" s="1" t="s">
        <v>667</v>
      </c>
    </row>
    <row r="902" spans="15:17" x14ac:dyDescent="0.25">
      <c r="O902" s="1">
        <v>16720</v>
      </c>
      <c r="P902" s="3" t="s">
        <v>714</v>
      </c>
      <c r="Q902" s="1" t="s">
        <v>667</v>
      </c>
    </row>
    <row r="903" spans="15:17" x14ac:dyDescent="0.25">
      <c r="O903" s="1">
        <v>16724</v>
      </c>
      <c r="P903" s="3" t="s">
        <v>714</v>
      </c>
      <c r="Q903" s="1" t="s">
        <v>667</v>
      </c>
    </row>
    <row r="904" spans="15:17" x14ac:dyDescent="0.25">
      <c r="O904" s="1">
        <v>16725</v>
      </c>
      <c r="P904" s="3" t="s">
        <v>714</v>
      </c>
      <c r="Q904" s="1" t="s">
        <v>667</v>
      </c>
    </row>
    <row r="905" spans="15:17" x14ac:dyDescent="0.25">
      <c r="O905" s="1">
        <v>16726</v>
      </c>
      <c r="P905" s="3" t="s">
        <v>714</v>
      </c>
      <c r="Q905" s="1" t="s">
        <v>667</v>
      </c>
    </row>
    <row r="906" spans="15:17" x14ac:dyDescent="0.25">
      <c r="O906" s="1">
        <v>16727</v>
      </c>
      <c r="P906" s="3" t="s">
        <v>714</v>
      </c>
      <c r="Q906" s="1" t="s">
        <v>667</v>
      </c>
    </row>
    <row r="907" spans="15:17" x14ac:dyDescent="0.25">
      <c r="O907" s="1">
        <v>16728</v>
      </c>
      <c r="P907" s="3" t="s">
        <v>714</v>
      </c>
      <c r="Q907" s="1" t="s">
        <v>667</v>
      </c>
    </row>
    <row r="908" spans="15:17" x14ac:dyDescent="0.25">
      <c r="O908" s="1">
        <v>16729</v>
      </c>
      <c r="P908" s="3" t="s">
        <v>714</v>
      </c>
      <c r="Q908" s="1" t="s">
        <v>667</v>
      </c>
    </row>
    <row r="909" spans="15:17" x14ac:dyDescent="0.25">
      <c r="O909" s="1">
        <v>16730</v>
      </c>
      <c r="P909" s="3" t="s">
        <v>714</v>
      </c>
      <c r="Q909" s="1" t="s">
        <v>667</v>
      </c>
    </row>
    <row r="910" spans="15:17" x14ac:dyDescent="0.25">
      <c r="O910" s="1">
        <v>16731</v>
      </c>
      <c r="P910" s="3" t="s">
        <v>714</v>
      </c>
      <c r="Q910" s="1" t="s">
        <v>667</v>
      </c>
    </row>
    <row r="911" spans="15:17" x14ac:dyDescent="0.25">
      <c r="O911" s="1">
        <v>16732</v>
      </c>
      <c r="P911" s="3" t="s">
        <v>714</v>
      </c>
      <c r="Q911" s="1" t="s">
        <v>667</v>
      </c>
    </row>
    <row r="912" spans="15:17" x14ac:dyDescent="0.25">
      <c r="O912" s="1">
        <v>16733</v>
      </c>
      <c r="P912" s="3" t="s">
        <v>714</v>
      </c>
      <c r="Q912" s="1" t="s">
        <v>667</v>
      </c>
    </row>
    <row r="913" spans="15:17" x14ac:dyDescent="0.25">
      <c r="O913" s="1">
        <v>16734</v>
      </c>
      <c r="P913" s="3" t="s">
        <v>714</v>
      </c>
      <c r="Q913" s="1" t="s">
        <v>667</v>
      </c>
    </row>
    <row r="914" spans="15:17" x14ac:dyDescent="0.25">
      <c r="O914" s="1">
        <v>16735</v>
      </c>
      <c r="P914" s="3" t="s">
        <v>714</v>
      </c>
      <c r="Q914" s="1" t="s">
        <v>667</v>
      </c>
    </row>
    <row r="915" spans="15:17" x14ac:dyDescent="0.25">
      <c r="O915" s="1">
        <v>16738</v>
      </c>
      <c r="P915" s="3" t="s">
        <v>714</v>
      </c>
      <c r="Q915" s="1" t="s">
        <v>667</v>
      </c>
    </row>
    <row r="916" spans="15:17" x14ac:dyDescent="0.25">
      <c r="O916" s="1">
        <v>16740</v>
      </c>
      <c r="P916" s="3" t="s">
        <v>714</v>
      </c>
      <c r="Q916" s="1" t="s">
        <v>667</v>
      </c>
    </row>
    <row r="917" spans="15:17" x14ac:dyDescent="0.25">
      <c r="O917" s="1">
        <v>16743</v>
      </c>
      <c r="P917" s="3" t="s">
        <v>714</v>
      </c>
      <c r="Q917" s="1" t="s">
        <v>667</v>
      </c>
    </row>
    <row r="918" spans="15:17" x14ac:dyDescent="0.25">
      <c r="O918" s="1">
        <v>16744</v>
      </c>
      <c r="P918" s="3" t="s">
        <v>714</v>
      </c>
      <c r="Q918" s="1" t="s">
        <v>667</v>
      </c>
    </row>
    <row r="919" spans="15:17" x14ac:dyDescent="0.25">
      <c r="O919" s="1">
        <v>16745</v>
      </c>
      <c r="P919" s="3" t="s">
        <v>714</v>
      </c>
      <c r="Q919" s="1" t="s">
        <v>667</v>
      </c>
    </row>
    <row r="920" spans="15:17" x14ac:dyDescent="0.25">
      <c r="O920" s="1">
        <v>16746</v>
      </c>
      <c r="P920" s="3" t="s">
        <v>714</v>
      </c>
      <c r="Q920" s="1" t="s">
        <v>667</v>
      </c>
    </row>
    <row r="921" spans="15:17" x14ac:dyDescent="0.25">
      <c r="O921" s="1">
        <v>16748</v>
      </c>
      <c r="P921" s="3" t="s">
        <v>714</v>
      </c>
      <c r="Q921" s="1" t="s">
        <v>667</v>
      </c>
    </row>
    <row r="922" spans="15:17" x14ac:dyDescent="0.25">
      <c r="O922" s="1">
        <v>16749</v>
      </c>
      <c r="P922" s="3" t="s">
        <v>714</v>
      </c>
      <c r="Q922" s="1" t="s">
        <v>667</v>
      </c>
    </row>
    <row r="923" spans="15:17" x14ac:dyDescent="0.25">
      <c r="O923" s="1">
        <v>16750</v>
      </c>
      <c r="P923" s="3" t="s">
        <v>714</v>
      </c>
      <c r="Q923" s="1" t="s">
        <v>667</v>
      </c>
    </row>
    <row r="924" spans="15:17" x14ac:dyDescent="0.25">
      <c r="O924" s="1">
        <v>16801</v>
      </c>
      <c r="P924" s="3" t="s">
        <v>715</v>
      </c>
      <c r="Q924" s="1" t="s">
        <v>692</v>
      </c>
    </row>
    <row r="925" spans="15:17" x14ac:dyDescent="0.25">
      <c r="O925" s="1">
        <v>16802</v>
      </c>
      <c r="P925" s="3" t="s">
        <v>715</v>
      </c>
      <c r="Q925" s="1" t="s">
        <v>692</v>
      </c>
    </row>
    <row r="926" spans="15:17" x14ac:dyDescent="0.25">
      <c r="O926" s="1">
        <v>16803</v>
      </c>
      <c r="P926" s="3" t="s">
        <v>715</v>
      </c>
      <c r="Q926" s="1" t="s">
        <v>692</v>
      </c>
    </row>
    <row r="927" spans="15:17" x14ac:dyDescent="0.25">
      <c r="O927" s="1">
        <v>16804</v>
      </c>
      <c r="P927" s="3" t="s">
        <v>715</v>
      </c>
      <c r="Q927" s="1" t="s">
        <v>692</v>
      </c>
    </row>
    <row r="928" spans="15:17" x14ac:dyDescent="0.25">
      <c r="O928" s="1">
        <v>16805</v>
      </c>
      <c r="P928" s="3" t="s">
        <v>715</v>
      </c>
      <c r="Q928" s="1" t="s">
        <v>692</v>
      </c>
    </row>
    <row r="929" spans="15:17" x14ac:dyDescent="0.25">
      <c r="O929" s="1">
        <v>16820</v>
      </c>
      <c r="P929" s="3" t="s">
        <v>715</v>
      </c>
      <c r="Q929" s="1" t="s">
        <v>692</v>
      </c>
    </row>
    <row r="930" spans="15:17" x14ac:dyDescent="0.25">
      <c r="O930" s="1">
        <v>16821</v>
      </c>
      <c r="P930" s="3" t="s">
        <v>714</v>
      </c>
      <c r="Q930" s="1" t="s">
        <v>667</v>
      </c>
    </row>
    <row r="931" spans="15:17" x14ac:dyDescent="0.25">
      <c r="O931" s="1">
        <v>16822</v>
      </c>
      <c r="P931" s="3" t="s">
        <v>715</v>
      </c>
      <c r="Q931" s="1" t="s">
        <v>692</v>
      </c>
    </row>
    <row r="932" spans="15:17" x14ac:dyDescent="0.25">
      <c r="O932" s="1">
        <v>16823</v>
      </c>
      <c r="P932" s="3" t="s">
        <v>715</v>
      </c>
      <c r="Q932" s="1" t="s">
        <v>692</v>
      </c>
    </row>
    <row r="933" spans="15:17" x14ac:dyDescent="0.25">
      <c r="O933" s="1">
        <v>16825</v>
      </c>
      <c r="P933" s="3" t="s">
        <v>714</v>
      </c>
      <c r="Q933" s="1" t="s">
        <v>667</v>
      </c>
    </row>
    <row r="934" spans="15:17" x14ac:dyDescent="0.25">
      <c r="O934" s="1">
        <v>16826</v>
      </c>
      <c r="P934" s="3" t="s">
        <v>715</v>
      </c>
      <c r="Q934" s="1" t="s">
        <v>692</v>
      </c>
    </row>
    <row r="935" spans="15:17" x14ac:dyDescent="0.25">
      <c r="O935" s="1">
        <v>16827</v>
      </c>
      <c r="P935" s="3" t="s">
        <v>715</v>
      </c>
      <c r="Q935" s="1" t="s">
        <v>692</v>
      </c>
    </row>
    <row r="936" spans="15:17" x14ac:dyDescent="0.25">
      <c r="O936" s="1">
        <v>16828</v>
      </c>
      <c r="P936" s="3" t="s">
        <v>715</v>
      </c>
      <c r="Q936" s="1" t="s">
        <v>692</v>
      </c>
    </row>
    <row r="937" spans="15:17" x14ac:dyDescent="0.25">
      <c r="O937" s="1">
        <v>16829</v>
      </c>
      <c r="P937" s="3" t="s">
        <v>715</v>
      </c>
      <c r="Q937" s="1" t="s">
        <v>692</v>
      </c>
    </row>
    <row r="938" spans="15:17" x14ac:dyDescent="0.25">
      <c r="O938" s="1">
        <v>16830</v>
      </c>
      <c r="P938" s="3" t="s">
        <v>714</v>
      </c>
      <c r="Q938" s="1" t="s">
        <v>667</v>
      </c>
    </row>
    <row r="939" spans="15:17" x14ac:dyDescent="0.25">
      <c r="O939" s="1">
        <v>16832</v>
      </c>
      <c r="P939" s="3" t="s">
        <v>715</v>
      </c>
      <c r="Q939" s="1" t="s">
        <v>692</v>
      </c>
    </row>
    <row r="940" spans="15:17" x14ac:dyDescent="0.25">
      <c r="O940" s="1">
        <v>16833</v>
      </c>
      <c r="P940" s="3" t="s">
        <v>714</v>
      </c>
      <c r="Q940" s="1" t="s">
        <v>667</v>
      </c>
    </row>
    <row r="941" spans="15:17" x14ac:dyDescent="0.25">
      <c r="O941" s="1">
        <v>16834</v>
      </c>
      <c r="P941" s="3" t="s">
        <v>714</v>
      </c>
      <c r="Q941" s="1" t="s">
        <v>667</v>
      </c>
    </row>
    <row r="942" spans="15:17" x14ac:dyDescent="0.25">
      <c r="O942" s="1">
        <v>16835</v>
      </c>
      <c r="P942" s="3" t="s">
        <v>715</v>
      </c>
      <c r="Q942" s="1" t="s">
        <v>692</v>
      </c>
    </row>
    <row r="943" spans="15:17" x14ac:dyDescent="0.25">
      <c r="O943" s="1">
        <v>16836</v>
      </c>
      <c r="P943" s="3" t="s">
        <v>714</v>
      </c>
      <c r="Q943" s="1" t="s">
        <v>667</v>
      </c>
    </row>
    <row r="944" spans="15:17" x14ac:dyDescent="0.25">
      <c r="O944" s="1">
        <v>16837</v>
      </c>
      <c r="P944" s="3" t="s">
        <v>714</v>
      </c>
      <c r="Q944" s="1" t="s">
        <v>667</v>
      </c>
    </row>
    <row r="945" spans="15:17" x14ac:dyDescent="0.25">
      <c r="O945" s="1">
        <v>16838</v>
      </c>
      <c r="P945" s="3" t="s">
        <v>714</v>
      </c>
      <c r="Q945" s="1" t="s">
        <v>667</v>
      </c>
    </row>
    <row r="946" spans="15:17" x14ac:dyDescent="0.25">
      <c r="O946" s="1">
        <v>16839</v>
      </c>
      <c r="P946" s="3" t="s">
        <v>714</v>
      </c>
      <c r="Q946" s="1" t="s">
        <v>667</v>
      </c>
    </row>
    <row r="947" spans="15:17" x14ac:dyDescent="0.25">
      <c r="O947" s="1">
        <v>16840</v>
      </c>
      <c r="P947" s="3" t="s">
        <v>714</v>
      </c>
      <c r="Q947" s="1" t="s">
        <v>667</v>
      </c>
    </row>
    <row r="948" spans="15:17" x14ac:dyDescent="0.25">
      <c r="O948" s="1">
        <v>16841</v>
      </c>
      <c r="P948" s="3" t="s">
        <v>715</v>
      </c>
      <c r="Q948" s="1" t="s">
        <v>692</v>
      </c>
    </row>
    <row r="949" spans="15:17" x14ac:dyDescent="0.25">
      <c r="O949" s="1">
        <v>16843</v>
      </c>
      <c r="P949" s="3" t="s">
        <v>714</v>
      </c>
      <c r="Q949" s="1" t="s">
        <v>667</v>
      </c>
    </row>
    <row r="950" spans="15:17" x14ac:dyDescent="0.25">
      <c r="O950" s="1">
        <v>16844</v>
      </c>
      <c r="P950" s="3" t="s">
        <v>715</v>
      </c>
      <c r="Q950" s="1" t="s">
        <v>692</v>
      </c>
    </row>
    <row r="951" spans="15:17" x14ac:dyDescent="0.25">
      <c r="O951" s="1">
        <v>16845</v>
      </c>
      <c r="P951" s="3" t="s">
        <v>714</v>
      </c>
      <c r="Q951" s="1" t="s">
        <v>667</v>
      </c>
    </row>
    <row r="952" spans="15:17" x14ac:dyDescent="0.25">
      <c r="O952" s="1">
        <v>16847</v>
      </c>
      <c r="P952" s="3" t="s">
        <v>714</v>
      </c>
      <c r="Q952" s="1" t="s">
        <v>667</v>
      </c>
    </row>
    <row r="953" spans="15:17" x14ac:dyDescent="0.25">
      <c r="O953" s="1">
        <v>16848</v>
      </c>
      <c r="P953" s="3" t="s">
        <v>715</v>
      </c>
      <c r="Q953" s="1" t="s">
        <v>692</v>
      </c>
    </row>
    <row r="954" spans="15:17" x14ac:dyDescent="0.25">
      <c r="O954" s="1">
        <v>16849</v>
      </c>
      <c r="P954" s="3" t="s">
        <v>714</v>
      </c>
      <c r="Q954" s="1" t="s">
        <v>667</v>
      </c>
    </row>
    <row r="955" spans="15:17" x14ac:dyDescent="0.25">
      <c r="O955" s="1">
        <v>16850</v>
      </c>
      <c r="P955" s="3" t="s">
        <v>714</v>
      </c>
      <c r="Q955" s="1" t="s">
        <v>667</v>
      </c>
    </row>
    <row r="956" spans="15:17" x14ac:dyDescent="0.25">
      <c r="O956" s="1">
        <v>16851</v>
      </c>
      <c r="P956" s="3" t="s">
        <v>715</v>
      </c>
      <c r="Q956" s="1" t="s">
        <v>692</v>
      </c>
    </row>
    <row r="957" spans="15:17" x14ac:dyDescent="0.25">
      <c r="O957" s="1">
        <v>16852</v>
      </c>
      <c r="P957" s="3" t="s">
        <v>715</v>
      </c>
      <c r="Q957" s="1" t="s">
        <v>692</v>
      </c>
    </row>
    <row r="958" spans="15:17" x14ac:dyDescent="0.25">
      <c r="O958" s="1">
        <v>16853</v>
      </c>
      <c r="P958" s="3" t="s">
        <v>715</v>
      </c>
      <c r="Q958" s="1" t="s">
        <v>692</v>
      </c>
    </row>
    <row r="959" spans="15:17" x14ac:dyDescent="0.25">
      <c r="O959" s="1">
        <v>16854</v>
      </c>
      <c r="P959" s="3" t="s">
        <v>715</v>
      </c>
      <c r="Q959" s="1" t="s">
        <v>692</v>
      </c>
    </row>
    <row r="960" spans="15:17" x14ac:dyDescent="0.25">
      <c r="O960" s="1">
        <v>16855</v>
      </c>
      <c r="P960" s="3" t="s">
        <v>714</v>
      </c>
      <c r="Q960" s="1" t="s">
        <v>667</v>
      </c>
    </row>
    <row r="961" spans="15:17" x14ac:dyDescent="0.25">
      <c r="O961" s="1">
        <v>16856</v>
      </c>
      <c r="P961" s="3" t="s">
        <v>714</v>
      </c>
      <c r="Q961" s="1" t="s">
        <v>667</v>
      </c>
    </row>
    <row r="962" spans="15:17" x14ac:dyDescent="0.25">
      <c r="O962" s="1">
        <v>16858</v>
      </c>
      <c r="P962" s="3" t="s">
        <v>714</v>
      </c>
      <c r="Q962" s="1" t="s">
        <v>667</v>
      </c>
    </row>
    <row r="963" spans="15:17" x14ac:dyDescent="0.25">
      <c r="O963" s="1">
        <v>16859</v>
      </c>
      <c r="P963" s="3" t="s">
        <v>715</v>
      </c>
      <c r="Q963" s="1" t="s">
        <v>692</v>
      </c>
    </row>
    <row r="964" spans="15:17" x14ac:dyDescent="0.25">
      <c r="O964" s="1">
        <v>16860</v>
      </c>
      <c r="P964" s="3" t="s">
        <v>715</v>
      </c>
      <c r="Q964" s="1" t="s">
        <v>692</v>
      </c>
    </row>
    <row r="965" spans="15:17" x14ac:dyDescent="0.25">
      <c r="O965" s="1">
        <v>16861</v>
      </c>
      <c r="P965" s="3" t="s">
        <v>714</v>
      </c>
      <c r="Q965" s="1" t="s">
        <v>667</v>
      </c>
    </row>
    <row r="966" spans="15:17" x14ac:dyDescent="0.25">
      <c r="O966" s="1">
        <v>16863</v>
      </c>
      <c r="P966" s="3" t="s">
        <v>714</v>
      </c>
      <c r="Q966" s="1" t="s">
        <v>667</v>
      </c>
    </row>
    <row r="967" spans="15:17" x14ac:dyDescent="0.25">
      <c r="O967" s="1">
        <v>16864</v>
      </c>
      <c r="P967" s="3" t="s">
        <v>714</v>
      </c>
      <c r="Q967" s="1" t="s">
        <v>667</v>
      </c>
    </row>
    <row r="968" spans="15:17" x14ac:dyDescent="0.25">
      <c r="O968" s="1">
        <v>16865</v>
      </c>
      <c r="P968" s="3" t="s">
        <v>715</v>
      </c>
      <c r="Q968" s="1" t="s">
        <v>692</v>
      </c>
    </row>
    <row r="969" spans="15:17" x14ac:dyDescent="0.25">
      <c r="O969" s="1">
        <v>16866</v>
      </c>
      <c r="P969" s="3" t="s">
        <v>715</v>
      </c>
      <c r="Q969" s="1" t="s">
        <v>692</v>
      </c>
    </row>
    <row r="970" spans="15:17" x14ac:dyDescent="0.25">
      <c r="O970" s="1">
        <v>16868</v>
      </c>
      <c r="P970" s="3" t="s">
        <v>715</v>
      </c>
      <c r="Q970" s="1" t="s">
        <v>692</v>
      </c>
    </row>
    <row r="971" spans="15:17" x14ac:dyDescent="0.25">
      <c r="O971" s="1">
        <v>16870</v>
      </c>
      <c r="P971" s="3" t="s">
        <v>715</v>
      </c>
      <c r="Q971" s="1" t="s">
        <v>692</v>
      </c>
    </row>
    <row r="972" spans="15:17" x14ac:dyDescent="0.25">
      <c r="O972" s="1">
        <v>16871</v>
      </c>
      <c r="P972" s="3" t="s">
        <v>715</v>
      </c>
      <c r="Q972" s="1" t="s">
        <v>692</v>
      </c>
    </row>
    <row r="973" spans="15:17" x14ac:dyDescent="0.25">
      <c r="O973" s="1">
        <v>16872</v>
      </c>
      <c r="P973" s="3" t="s">
        <v>715</v>
      </c>
      <c r="Q973" s="1" t="s">
        <v>692</v>
      </c>
    </row>
    <row r="974" spans="15:17" x14ac:dyDescent="0.25">
      <c r="O974" s="1">
        <v>16873</v>
      </c>
      <c r="P974" s="3" t="s">
        <v>714</v>
      </c>
      <c r="Q974" s="1" t="s">
        <v>667</v>
      </c>
    </row>
    <row r="975" spans="15:17" x14ac:dyDescent="0.25">
      <c r="O975" s="1">
        <v>16874</v>
      </c>
      <c r="P975" s="3" t="s">
        <v>715</v>
      </c>
      <c r="Q975" s="1" t="s">
        <v>692</v>
      </c>
    </row>
    <row r="976" spans="15:17" x14ac:dyDescent="0.25">
      <c r="O976" s="1">
        <v>16875</v>
      </c>
      <c r="P976" s="3" t="s">
        <v>715</v>
      </c>
      <c r="Q976" s="1" t="s">
        <v>692</v>
      </c>
    </row>
    <row r="977" spans="15:17" x14ac:dyDescent="0.25">
      <c r="O977" s="1">
        <v>16876</v>
      </c>
      <c r="P977" s="3" t="s">
        <v>714</v>
      </c>
      <c r="Q977" s="1" t="s">
        <v>667</v>
      </c>
    </row>
    <row r="978" spans="15:17" x14ac:dyDescent="0.25">
      <c r="O978" s="1">
        <v>16877</v>
      </c>
      <c r="P978" s="3" t="s">
        <v>715</v>
      </c>
      <c r="Q978" s="1" t="s">
        <v>692</v>
      </c>
    </row>
    <row r="979" spans="15:17" x14ac:dyDescent="0.25">
      <c r="O979" s="1">
        <v>16878</v>
      </c>
      <c r="P979" s="3" t="s">
        <v>714</v>
      </c>
      <c r="Q979" s="1" t="s">
        <v>667</v>
      </c>
    </row>
    <row r="980" spans="15:17" x14ac:dyDescent="0.25">
      <c r="O980" s="1">
        <v>16879</v>
      </c>
      <c r="P980" s="3" t="s">
        <v>714</v>
      </c>
      <c r="Q980" s="1" t="s">
        <v>667</v>
      </c>
    </row>
    <row r="981" spans="15:17" x14ac:dyDescent="0.25">
      <c r="O981" s="1">
        <v>16881</v>
      </c>
      <c r="P981" s="3" t="s">
        <v>714</v>
      </c>
      <c r="Q981" s="1" t="s">
        <v>667</v>
      </c>
    </row>
    <row r="982" spans="15:17" x14ac:dyDescent="0.25">
      <c r="O982" s="1">
        <v>16882</v>
      </c>
      <c r="P982" s="3" t="s">
        <v>715</v>
      </c>
      <c r="Q982" s="1" t="s">
        <v>692</v>
      </c>
    </row>
    <row r="983" spans="15:17" x14ac:dyDescent="0.25">
      <c r="O983" s="1">
        <v>16901</v>
      </c>
      <c r="P983" s="3" t="s">
        <v>714</v>
      </c>
      <c r="Q983" s="1" t="s">
        <v>667</v>
      </c>
    </row>
    <row r="984" spans="15:17" x14ac:dyDescent="0.25">
      <c r="O984" s="1">
        <v>16910</v>
      </c>
      <c r="P984" s="3" t="s">
        <v>716</v>
      </c>
      <c r="Q984" s="1" t="s">
        <v>689</v>
      </c>
    </row>
    <row r="985" spans="15:17" x14ac:dyDescent="0.25">
      <c r="O985" s="1">
        <v>16911</v>
      </c>
      <c r="P985" s="3" t="s">
        <v>714</v>
      </c>
      <c r="Q985" s="1" t="s">
        <v>667</v>
      </c>
    </row>
    <row r="986" spans="15:17" x14ac:dyDescent="0.25">
      <c r="O986" s="1">
        <v>16912</v>
      </c>
      <c r="P986" s="3" t="s">
        <v>714</v>
      </c>
      <c r="Q986" s="1" t="s">
        <v>667</v>
      </c>
    </row>
    <row r="987" spans="15:17" x14ac:dyDescent="0.25">
      <c r="O987" s="1">
        <v>16914</v>
      </c>
      <c r="P987" s="3" t="s">
        <v>716</v>
      </c>
      <c r="Q987" s="1" t="s">
        <v>689</v>
      </c>
    </row>
    <row r="988" spans="15:17" x14ac:dyDescent="0.25">
      <c r="O988" s="1">
        <v>16915</v>
      </c>
      <c r="P988" s="3" t="s">
        <v>714</v>
      </c>
      <c r="Q988" s="1" t="s">
        <v>667</v>
      </c>
    </row>
    <row r="989" spans="15:17" x14ac:dyDescent="0.25">
      <c r="O989" s="1">
        <v>16917</v>
      </c>
      <c r="P989" s="3" t="s">
        <v>714</v>
      </c>
      <c r="Q989" s="1" t="s">
        <v>667</v>
      </c>
    </row>
    <row r="990" spans="15:17" x14ac:dyDescent="0.25">
      <c r="O990" s="1">
        <v>16918</v>
      </c>
      <c r="P990" s="3" t="s">
        <v>714</v>
      </c>
      <c r="Q990" s="1" t="s">
        <v>667</v>
      </c>
    </row>
    <row r="991" spans="15:17" x14ac:dyDescent="0.25">
      <c r="O991" s="1">
        <v>16920</v>
      </c>
      <c r="P991" s="3" t="s">
        <v>714</v>
      </c>
      <c r="Q991" s="1" t="s">
        <v>667</v>
      </c>
    </row>
    <row r="992" spans="15:17" x14ac:dyDescent="0.25">
      <c r="O992" s="1">
        <v>16921</v>
      </c>
      <c r="P992" s="3" t="s">
        <v>714</v>
      </c>
      <c r="Q992" s="1" t="s">
        <v>667</v>
      </c>
    </row>
    <row r="993" spans="15:17" x14ac:dyDescent="0.25">
      <c r="O993" s="1">
        <v>16922</v>
      </c>
      <c r="P993" s="3" t="s">
        <v>714</v>
      </c>
      <c r="Q993" s="1" t="s">
        <v>667</v>
      </c>
    </row>
    <row r="994" spans="15:17" x14ac:dyDescent="0.25">
      <c r="O994" s="1">
        <v>16923</v>
      </c>
      <c r="P994" s="3" t="s">
        <v>714</v>
      </c>
      <c r="Q994" s="1" t="s">
        <v>667</v>
      </c>
    </row>
    <row r="995" spans="15:17" x14ac:dyDescent="0.25">
      <c r="O995" s="1">
        <v>16925</v>
      </c>
      <c r="P995" s="3" t="s">
        <v>716</v>
      </c>
      <c r="Q995" s="1" t="s">
        <v>689</v>
      </c>
    </row>
    <row r="996" spans="15:17" x14ac:dyDescent="0.25">
      <c r="O996" s="1">
        <v>16926</v>
      </c>
      <c r="P996" s="3" t="s">
        <v>716</v>
      </c>
      <c r="Q996" s="1" t="s">
        <v>689</v>
      </c>
    </row>
    <row r="997" spans="15:17" x14ac:dyDescent="0.25">
      <c r="O997" s="1">
        <v>16927</v>
      </c>
      <c r="P997" s="3" t="s">
        <v>714</v>
      </c>
      <c r="Q997" s="1" t="s">
        <v>667</v>
      </c>
    </row>
    <row r="998" spans="15:17" x14ac:dyDescent="0.25">
      <c r="O998" s="1">
        <v>16928</v>
      </c>
      <c r="P998" s="3" t="s">
        <v>714</v>
      </c>
      <c r="Q998" s="1" t="s">
        <v>667</v>
      </c>
    </row>
    <row r="999" spans="15:17" x14ac:dyDescent="0.25">
      <c r="O999" s="1">
        <v>16929</v>
      </c>
      <c r="P999" s="3" t="s">
        <v>714</v>
      </c>
      <c r="Q999" s="1" t="s">
        <v>667</v>
      </c>
    </row>
    <row r="1000" spans="15:17" x14ac:dyDescent="0.25">
      <c r="O1000" s="1">
        <v>16930</v>
      </c>
      <c r="P1000" s="3" t="s">
        <v>714</v>
      </c>
      <c r="Q1000" s="1" t="s">
        <v>667</v>
      </c>
    </row>
    <row r="1001" spans="15:17" x14ac:dyDescent="0.25">
      <c r="O1001" s="1">
        <v>16932</v>
      </c>
      <c r="P1001" s="3" t="s">
        <v>714</v>
      </c>
      <c r="Q1001" s="1" t="s">
        <v>667</v>
      </c>
    </row>
    <row r="1002" spans="15:17" x14ac:dyDescent="0.25">
      <c r="O1002" s="1">
        <v>16933</v>
      </c>
      <c r="P1002" s="3" t="s">
        <v>714</v>
      </c>
      <c r="Q1002" s="1" t="s">
        <v>667</v>
      </c>
    </row>
    <row r="1003" spans="15:17" x14ac:dyDescent="0.25">
      <c r="O1003" s="1">
        <v>16935</v>
      </c>
      <c r="P1003" s="3" t="s">
        <v>714</v>
      </c>
      <c r="Q1003" s="1" t="s">
        <v>667</v>
      </c>
    </row>
    <row r="1004" spans="15:17" x14ac:dyDescent="0.25">
      <c r="O1004" s="1">
        <v>16936</v>
      </c>
      <c r="P1004" s="3" t="s">
        <v>714</v>
      </c>
      <c r="Q1004" s="1" t="s">
        <v>667</v>
      </c>
    </row>
    <row r="1005" spans="15:17" x14ac:dyDescent="0.25">
      <c r="O1005" s="1">
        <v>16937</v>
      </c>
      <c r="P1005" s="3" t="s">
        <v>714</v>
      </c>
      <c r="Q1005" s="1" t="s">
        <v>667</v>
      </c>
    </row>
    <row r="1006" spans="15:17" x14ac:dyDescent="0.25">
      <c r="O1006" s="1">
        <v>16938</v>
      </c>
      <c r="P1006" s="3" t="s">
        <v>714</v>
      </c>
      <c r="Q1006" s="1" t="s">
        <v>667</v>
      </c>
    </row>
    <row r="1007" spans="15:17" x14ac:dyDescent="0.25">
      <c r="O1007" s="1">
        <v>16939</v>
      </c>
      <c r="P1007" s="3" t="s">
        <v>714</v>
      </c>
      <c r="Q1007" s="1" t="s">
        <v>667</v>
      </c>
    </row>
    <row r="1008" spans="15:17" x14ac:dyDescent="0.25">
      <c r="O1008" s="1">
        <v>16940</v>
      </c>
      <c r="P1008" s="3" t="s">
        <v>714</v>
      </c>
      <c r="Q1008" s="1" t="s">
        <v>667</v>
      </c>
    </row>
    <row r="1009" spans="15:17" x14ac:dyDescent="0.25">
      <c r="O1009" s="1">
        <v>16941</v>
      </c>
      <c r="P1009" s="3" t="s">
        <v>714</v>
      </c>
      <c r="Q1009" s="1" t="s">
        <v>667</v>
      </c>
    </row>
    <row r="1010" spans="15:17" x14ac:dyDescent="0.25">
      <c r="O1010" s="1">
        <v>16942</v>
      </c>
      <c r="P1010" s="3" t="s">
        <v>714</v>
      </c>
      <c r="Q1010" s="1" t="s">
        <v>667</v>
      </c>
    </row>
    <row r="1011" spans="15:17" x14ac:dyDescent="0.25">
      <c r="O1011" s="1">
        <v>16943</v>
      </c>
      <c r="P1011" s="3" t="s">
        <v>714</v>
      </c>
      <c r="Q1011" s="1" t="s">
        <v>667</v>
      </c>
    </row>
    <row r="1012" spans="15:17" x14ac:dyDescent="0.25">
      <c r="O1012" s="1">
        <v>16945</v>
      </c>
      <c r="P1012" s="3" t="s">
        <v>716</v>
      </c>
      <c r="Q1012" s="1" t="s">
        <v>689</v>
      </c>
    </row>
    <row r="1013" spans="15:17" x14ac:dyDescent="0.25">
      <c r="O1013" s="1">
        <v>16946</v>
      </c>
      <c r="P1013" s="3" t="s">
        <v>714</v>
      </c>
      <c r="Q1013" s="1" t="s">
        <v>667</v>
      </c>
    </row>
    <row r="1014" spans="15:17" x14ac:dyDescent="0.25">
      <c r="O1014" s="1">
        <v>16947</v>
      </c>
      <c r="P1014" s="3" t="s">
        <v>716</v>
      </c>
      <c r="Q1014" s="1" t="s">
        <v>689</v>
      </c>
    </row>
    <row r="1015" spans="15:17" x14ac:dyDescent="0.25">
      <c r="O1015" s="1">
        <v>16948</v>
      </c>
      <c r="P1015" s="3" t="s">
        <v>714</v>
      </c>
      <c r="Q1015" s="1" t="s">
        <v>667</v>
      </c>
    </row>
    <row r="1016" spans="15:17" x14ac:dyDescent="0.25">
      <c r="O1016" s="1">
        <v>16950</v>
      </c>
      <c r="P1016" s="3" t="s">
        <v>714</v>
      </c>
      <c r="Q1016" s="1" t="s">
        <v>667</v>
      </c>
    </row>
    <row r="1017" spans="15:17" x14ac:dyDescent="0.25">
      <c r="O1017" s="1">
        <v>17001</v>
      </c>
      <c r="P1017" s="3" t="s">
        <v>712</v>
      </c>
      <c r="Q1017" s="1" t="s">
        <v>677</v>
      </c>
    </row>
    <row r="1018" spans="15:17" x14ac:dyDescent="0.25">
      <c r="O1018" s="1">
        <v>17002</v>
      </c>
      <c r="P1018" s="3" t="s">
        <v>715</v>
      </c>
      <c r="Q1018" s="1" t="s">
        <v>692</v>
      </c>
    </row>
    <row r="1019" spans="15:17" x14ac:dyDescent="0.25">
      <c r="O1019" s="1">
        <v>17003</v>
      </c>
      <c r="P1019" s="3" t="s">
        <v>717</v>
      </c>
      <c r="Q1019" s="1" t="s">
        <v>682</v>
      </c>
    </row>
    <row r="1020" spans="15:17" x14ac:dyDescent="0.25">
      <c r="O1020" s="1">
        <v>17004</v>
      </c>
      <c r="P1020" s="3" t="s">
        <v>715</v>
      </c>
      <c r="Q1020" s="1" t="s">
        <v>692</v>
      </c>
    </row>
    <row r="1021" spans="15:17" x14ac:dyDescent="0.25">
      <c r="O1021" s="1">
        <v>17005</v>
      </c>
      <c r="P1021" s="3" t="s">
        <v>715</v>
      </c>
      <c r="Q1021" s="1" t="s">
        <v>692</v>
      </c>
    </row>
    <row r="1022" spans="15:17" x14ac:dyDescent="0.25">
      <c r="O1022" s="1">
        <v>17006</v>
      </c>
      <c r="P1022" s="3" t="s">
        <v>715</v>
      </c>
      <c r="Q1022" s="1" t="s">
        <v>692</v>
      </c>
    </row>
    <row r="1023" spans="15:17" x14ac:dyDescent="0.25">
      <c r="O1023" s="1">
        <v>17007</v>
      </c>
      <c r="P1023" s="3" t="s">
        <v>712</v>
      </c>
      <c r="Q1023" s="1" t="s">
        <v>677</v>
      </c>
    </row>
    <row r="1024" spans="15:17" x14ac:dyDescent="0.25">
      <c r="O1024" s="1">
        <v>17008</v>
      </c>
      <c r="P1024" s="3" t="s">
        <v>712</v>
      </c>
      <c r="Q1024" s="1" t="s">
        <v>677</v>
      </c>
    </row>
    <row r="1025" spans="15:17" x14ac:dyDescent="0.25">
      <c r="O1025" s="1">
        <v>17009</v>
      </c>
      <c r="P1025" s="3" t="s">
        <v>715</v>
      </c>
      <c r="Q1025" s="1" t="s">
        <v>692</v>
      </c>
    </row>
    <row r="1026" spans="15:17" x14ac:dyDescent="0.25">
      <c r="O1026" s="1">
        <v>17010</v>
      </c>
      <c r="P1026" s="3" t="s">
        <v>717</v>
      </c>
      <c r="Q1026" s="1" t="s">
        <v>682</v>
      </c>
    </row>
    <row r="1027" spans="15:17" x14ac:dyDescent="0.25">
      <c r="O1027" s="1">
        <v>17011</v>
      </c>
      <c r="P1027" s="3" t="s">
        <v>712</v>
      </c>
      <c r="Q1027" s="1" t="s">
        <v>677</v>
      </c>
    </row>
    <row r="1028" spans="15:17" x14ac:dyDescent="0.25">
      <c r="O1028" s="1">
        <v>17012</v>
      </c>
      <c r="P1028" s="3" t="s">
        <v>712</v>
      </c>
      <c r="Q1028" s="1" t="s">
        <v>677</v>
      </c>
    </row>
    <row r="1029" spans="15:17" x14ac:dyDescent="0.25">
      <c r="O1029" s="1">
        <v>17013</v>
      </c>
      <c r="P1029" s="3" t="s">
        <v>712</v>
      </c>
      <c r="Q1029" s="1" t="s">
        <v>677</v>
      </c>
    </row>
    <row r="1030" spans="15:17" x14ac:dyDescent="0.25">
      <c r="O1030" s="1">
        <v>17014</v>
      </c>
      <c r="P1030" s="3" t="s">
        <v>715</v>
      </c>
      <c r="Q1030" s="1" t="s">
        <v>692</v>
      </c>
    </row>
    <row r="1031" spans="15:17" x14ac:dyDescent="0.25">
      <c r="O1031" s="1">
        <v>17015</v>
      </c>
      <c r="P1031" s="3" t="s">
        <v>712</v>
      </c>
      <c r="Q1031" s="1" t="s">
        <v>677</v>
      </c>
    </row>
    <row r="1032" spans="15:17" x14ac:dyDescent="0.25">
      <c r="O1032" s="1">
        <v>17016</v>
      </c>
      <c r="P1032" s="3" t="s">
        <v>717</v>
      </c>
      <c r="Q1032" s="1" t="s">
        <v>682</v>
      </c>
    </row>
    <row r="1033" spans="15:17" x14ac:dyDescent="0.25">
      <c r="O1033" s="1">
        <v>17017</v>
      </c>
      <c r="P1033" s="3" t="s">
        <v>715</v>
      </c>
      <c r="Q1033" s="1" t="s">
        <v>692</v>
      </c>
    </row>
    <row r="1034" spans="15:17" x14ac:dyDescent="0.25">
      <c r="O1034" s="1">
        <v>17018</v>
      </c>
      <c r="P1034" s="3" t="s">
        <v>715</v>
      </c>
      <c r="Q1034" s="1" t="s">
        <v>692</v>
      </c>
    </row>
    <row r="1035" spans="15:17" x14ac:dyDescent="0.25">
      <c r="O1035" s="1">
        <v>17019</v>
      </c>
      <c r="P1035" s="3" t="s">
        <v>712</v>
      </c>
      <c r="Q1035" s="1" t="s">
        <v>677</v>
      </c>
    </row>
    <row r="1036" spans="15:17" x14ac:dyDescent="0.25">
      <c r="O1036" s="1">
        <v>17020</v>
      </c>
      <c r="P1036" s="3" t="s">
        <v>715</v>
      </c>
      <c r="Q1036" s="1" t="s">
        <v>692</v>
      </c>
    </row>
    <row r="1037" spans="15:17" x14ac:dyDescent="0.25">
      <c r="O1037" s="1">
        <v>17021</v>
      </c>
      <c r="P1037" s="3" t="s">
        <v>715</v>
      </c>
      <c r="Q1037" s="1" t="s">
        <v>692</v>
      </c>
    </row>
    <row r="1038" spans="15:17" x14ac:dyDescent="0.25">
      <c r="O1038" s="1">
        <v>17022</v>
      </c>
      <c r="P1038" s="3" t="s">
        <v>717</v>
      </c>
      <c r="Q1038" s="1" t="s">
        <v>682</v>
      </c>
    </row>
    <row r="1039" spans="15:17" x14ac:dyDescent="0.25">
      <c r="O1039" s="1">
        <v>17023</v>
      </c>
      <c r="P1039" s="3" t="s">
        <v>715</v>
      </c>
      <c r="Q1039" s="1" t="s">
        <v>692</v>
      </c>
    </row>
    <row r="1040" spans="15:17" x14ac:dyDescent="0.25">
      <c r="O1040" s="1">
        <v>17024</v>
      </c>
      <c r="P1040" s="3" t="s">
        <v>715</v>
      </c>
      <c r="Q1040" s="1" t="s">
        <v>692</v>
      </c>
    </row>
    <row r="1041" spans="15:17" x14ac:dyDescent="0.25">
      <c r="O1041" s="1">
        <v>17025</v>
      </c>
      <c r="P1041" s="3" t="s">
        <v>712</v>
      </c>
      <c r="Q1041" s="1" t="s">
        <v>677</v>
      </c>
    </row>
    <row r="1042" spans="15:17" x14ac:dyDescent="0.25">
      <c r="O1042" s="1">
        <v>17026</v>
      </c>
      <c r="P1042" s="3" t="s">
        <v>717</v>
      </c>
      <c r="Q1042" s="1" t="s">
        <v>682</v>
      </c>
    </row>
    <row r="1043" spans="15:17" x14ac:dyDescent="0.25">
      <c r="O1043" s="1">
        <v>17027</v>
      </c>
      <c r="P1043" s="3" t="s">
        <v>712</v>
      </c>
      <c r="Q1043" s="1" t="s">
        <v>677</v>
      </c>
    </row>
    <row r="1044" spans="15:17" x14ac:dyDescent="0.25">
      <c r="O1044" s="1">
        <v>17028</v>
      </c>
      <c r="P1044" s="3" t="s">
        <v>715</v>
      </c>
      <c r="Q1044" s="1" t="s">
        <v>692</v>
      </c>
    </row>
    <row r="1045" spans="15:17" x14ac:dyDescent="0.25">
      <c r="O1045" s="1">
        <v>17029</v>
      </c>
      <c r="P1045" s="3" t="s">
        <v>715</v>
      </c>
      <c r="Q1045" s="1" t="s">
        <v>692</v>
      </c>
    </row>
    <row r="1046" spans="15:17" x14ac:dyDescent="0.25">
      <c r="O1046" s="1">
        <v>17030</v>
      </c>
      <c r="P1046" s="3" t="s">
        <v>715</v>
      </c>
      <c r="Q1046" s="1" t="s">
        <v>692</v>
      </c>
    </row>
    <row r="1047" spans="15:17" x14ac:dyDescent="0.25">
      <c r="O1047" s="1">
        <v>17032</v>
      </c>
      <c r="P1047" s="3" t="s">
        <v>715</v>
      </c>
      <c r="Q1047" s="1" t="s">
        <v>692</v>
      </c>
    </row>
    <row r="1048" spans="15:17" x14ac:dyDescent="0.25">
      <c r="O1048" s="1">
        <v>17033</v>
      </c>
      <c r="P1048" s="3" t="s">
        <v>715</v>
      </c>
      <c r="Q1048" s="1" t="s">
        <v>692</v>
      </c>
    </row>
    <row r="1049" spans="15:17" x14ac:dyDescent="0.25">
      <c r="O1049" s="1">
        <v>17034</v>
      </c>
      <c r="P1049" s="3" t="s">
        <v>715</v>
      </c>
      <c r="Q1049" s="1" t="s">
        <v>692</v>
      </c>
    </row>
    <row r="1050" spans="15:17" x14ac:dyDescent="0.25">
      <c r="O1050" s="1">
        <v>17035</v>
      </c>
      <c r="P1050" s="3" t="s">
        <v>715</v>
      </c>
      <c r="Q1050" s="1" t="s">
        <v>692</v>
      </c>
    </row>
    <row r="1051" spans="15:17" x14ac:dyDescent="0.25">
      <c r="O1051" s="1">
        <v>17036</v>
      </c>
      <c r="P1051" s="3" t="s">
        <v>715</v>
      </c>
      <c r="Q1051" s="1" t="s">
        <v>692</v>
      </c>
    </row>
    <row r="1052" spans="15:17" x14ac:dyDescent="0.25">
      <c r="O1052" s="1">
        <v>17037</v>
      </c>
      <c r="P1052" s="3" t="s">
        <v>715</v>
      </c>
      <c r="Q1052" s="1" t="s">
        <v>692</v>
      </c>
    </row>
    <row r="1053" spans="15:17" x14ac:dyDescent="0.25">
      <c r="O1053" s="1">
        <v>17038</v>
      </c>
      <c r="P1053" s="3" t="s">
        <v>717</v>
      </c>
      <c r="Q1053" s="1" t="s">
        <v>682</v>
      </c>
    </row>
    <row r="1054" spans="15:17" x14ac:dyDescent="0.25">
      <c r="O1054" s="1">
        <v>17039</v>
      </c>
      <c r="P1054" s="3" t="s">
        <v>717</v>
      </c>
      <c r="Q1054" s="1" t="s">
        <v>682</v>
      </c>
    </row>
    <row r="1055" spans="15:17" x14ac:dyDescent="0.25">
      <c r="O1055" s="1">
        <v>17040</v>
      </c>
      <c r="P1055" s="3" t="s">
        <v>715</v>
      </c>
      <c r="Q1055" s="1" t="s">
        <v>692</v>
      </c>
    </row>
    <row r="1056" spans="15:17" x14ac:dyDescent="0.25">
      <c r="O1056" s="1">
        <v>17041</v>
      </c>
      <c r="P1056" s="3" t="s">
        <v>717</v>
      </c>
      <c r="Q1056" s="1" t="s">
        <v>682</v>
      </c>
    </row>
    <row r="1057" spans="15:17" x14ac:dyDescent="0.25">
      <c r="O1057" s="1">
        <v>17042</v>
      </c>
      <c r="P1057" s="3" t="s">
        <v>717</v>
      </c>
      <c r="Q1057" s="1" t="s">
        <v>682</v>
      </c>
    </row>
    <row r="1058" spans="15:17" x14ac:dyDescent="0.25">
      <c r="O1058" s="1">
        <v>17043</v>
      </c>
      <c r="P1058" s="3" t="s">
        <v>712</v>
      </c>
      <c r="Q1058" s="1" t="s">
        <v>677</v>
      </c>
    </row>
    <row r="1059" spans="15:17" x14ac:dyDescent="0.25">
      <c r="O1059" s="1">
        <v>17044</v>
      </c>
      <c r="P1059" s="3" t="s">
        <v>715</v>
      </c>
      <c r="Q1059" s="1" t="s">
        <v>692</v>
      </c>
    </row>
    <row r="1060" spans="15:17" x14ac:dyDescent="0.25">
      <c r="O1060" s="1">
        <v>17045</v>
      </c>
      <c r="P1060" s="3" t="s">
        <v>715</v>
      </c>
      <c r="Q1060" s="1" t="s">
        <v>692</v>
      </c>
    </row>
    <row r="1061" spans="15:17" x14ac:dyDescent="0.25">
      <c r="O1061" s="1">
        <v>17046</v>
      </c>
      <c r="P1061" s="3" t="s">
        <v>717</v>
      </c>
      <c r="Q1061" s="1" t="s">
        <v>682</v>
      </c>
    </row>
    <row r="1062" spans="15:17" x14ac:dyDescent="0.25">
      <c r="O1062" s="1">
        <v>17047</v>
      </c>
      <c r="P1062" s="3" t="s">
        <v>715</v>
      </c>
      <c r="Q1062" s="1" t="s">
        <v>692</v>
      </c>
    </row>
    <row r="1063" spans="15:17" x14ac:dyDescent="0.25">
      <c r="O1063" s="1">
        <v>17048</v>
      </c>
      <c r="P1063" s="3" t="s">
        <v>715</v>
      </c>
      <c r="Q1063" s="1" t="s">
        <v>692</v>
      </c>
    </row>
    <row r="1064" spans="15:17" x14ac:dyDescent="0.25">
      <c r="O1064" s="1">
        <v>17049</v>
      </c>
      <c r="P1064" s="3" t="s">
        <v>715</v>
      </c>
      <c r="Q1064" s="1" t="s">
        <v>692</v>
      </c>
    </row>
    <row r="1065" spans="15:17" x14ac:dyDescent="0.25">
      <c r="O1065" s="1">
        <v>17050</v>
      </c>
      <c r="P1065" s="3" t="s">
        <v>712</v>
      </c>
      <c r="Q1065" s="1" t="s">
        <v>677</v>
      </c>
    </row>
    <row r="1066" spans="15:17" x14ac:dyDescent="0.25">
      <c r="O1066" s="1">
        <v>17051</v>
      </c>
      <c r="P1066" s="3" t="s">
        <v>715</v>
      </c>
      <c r="Q1066" s="1" t="s">
        <v>692</v>
      </c>
    </row>
    <row r="1067" spans="15:17" x14ac:dyDescent="0.25">
      <c r="O1067" s="1">
        <v>17052</v>
      </c>
      <c r="P1067" s="3" t="s">
        <v>715</v>
      </c>
      <c r="Q1067" s="1" t="s">
        <v>692</v>
      </c>
    </row>
    <row r="1068" spans="15:17" x14ac:dyDescent="0.25">
      <c r="O1068" s="1">
        <v>17053</v>
      </c>
      <c r="P1068" s="3" t="s">
        <v>715</v>
      </c>
      <c r="Q1068" s="1" t="s">
        <v>692</v>
      </c>
    </row>
    <row r="1069" spans="15:17" x14ac:dyDescent="0.25">
      <c r="O1069" s="1">
        <v>17054</v>
      </c>
      <c r="P1069" s="3" t="s">
        <v>715</v>
      </c>
      <c r="Q1069" s="1" t="s">
        <v>692</v>
      </c>
    </row>
    <row r="1070" spans="15:17" x14ac:dyDescent="0.25">
      <c r="O1070" s="1">
        <v>17055</v>
      </c>
      <c r="P1070" s="3" t="s">
        <v>712</v>
      </c>
      <c r="Q1070" s="1" t="s">
        <v>677</v>
      </c>
    </row>
    <row r="1071" spans="15:17" x14ac:dyDescent="0.25">
      <c r="O1071" s="1">
        <v>17056</v>
      </c>
      <c r="P1071" s="3" t="s">
        <v>715</v>
      </c>
      <c r="Q1071" s="1" t="s">
        <v>692</v>
      </c>
    </row>
    <row r="1072" spans="15:17" x14ac:dyDescent="0.25">
      <c r="O1072" s="1">
        <v>17057</v>
      </c>
      <c r="P1072" s="3" t="s">
        <v>715</v>
      </c>
      <c r="Q1072" s="1" t="s">
        <v>692</v>
      </c>
    </row>
    <row r="1073" spans="15:17" x14ac:dyDescent="0.25">
      <c r="O1073" s="1">
        <v>17058</v>
      </c>
      <c r="P1073" s="3" t="s">
        <v>715</v>
      </c>
      <c r="Q1073" s="1" t="s">
        <v>692</v>
      </c>
    </row>
    <row r="1074" spans="15:17" x14ac:dyDescent="0.25">
      <c r="O1074" s="1">
        <v>17059</v>
      </c>
      <c r="P1074" s="3" t="s">
        <v>715</v>
      </c>
      <c r="Q1074" s="1" t="s">
        <v>692</v>
      </c>
    </row>
    <row r="1075" spans="15:17" x14ac:dyDescent="0.25">
      <c r="O1075" s="1">
        <v>17060</v>
      </c>
      <c r="P1075" s="3" t="s">
        <v>715</v>
      </c>
      <c r="Q1075" s="1" t="s">
        <v>692</v>
      </c>
    </row>
    <row r="1076" spans="15:17" x14ac:dyDescent="0.25">
      <c r="O1076" s="1">
        <v>17061</v>
      </c>
      <c r="P1076" s="3" t="s">
        <v>715</v>
      </c>
      <c r="Q1076" s="1" t="s">
        <v>692</v>
      </c>
    </row>
    <row r="1077" spans="15:17" x14ac:dyDescent="0.25">
      <c r="O1077" s="1">
        <v>17062</v>
      </c>
      <c r="P1077" s="3" t="s">
        <v>715</v>
      </c>
      <c r="Q1077" s="1" t="s">
        <v>692</v>
      </c>
    </row>
    <row r="1078" spans="15:17" x14ac:dyDescent="0.25">
      <c r="O1078" s="1">
        <v>17063</v>
      </c>
      <c r="P1078" s="3" t="s">
        <v>715</v>
      </c>
      <c r="Q1078" s="1" t="s">
        <v>692</v>
      </c>
    </row>
    <row r="1079" spans="15:17" x14ac:dyDescent="0.25">
      <c r="O1079" s="1">
        <v>17064</v>
      </c>
      <c r="P1079" s="3" t="s">
        <v>717</v>
      </c>
      <c r="Q1079" s="1" t="s">
        <v>682</v>
      </c>
    </row>
    <row r="1080" spans="15:17" x14ac:dyDescent="0.25">
      <c r="O1080" s="1">
        <v>17065</v>
      </c>
      <c r="P1080" s="3" t="s">
        <v>712</v>
      </c>
      <c r="Q1080" s="1" t="s">
        <v>677</v>
      </c>
    </row>
    <row r="1081" spans="15:17" x14ac:dyDescent="0.25">
      <c r="O1081" s="1">
        <v>17066</v>
      </c>
      <c r="P1081" s="3" t="s">
        <v>715</v>
      </c>
      <c r="Q1081" s="1" t="s">
        <v>692</v>
      </c>
    </row>
    <row r="1082" spans="15:17" x14ac:dyDescent="0.25">
      <c r="O1082" s="1">
        <v>17067</v>
      </c>
      <c r="P1082" s="3" t="s">
        <v>717</v>
      </c>
      <c r="Q1082" s="1" t="s">
        <v>682</v>
      </c>
    </row>
    <row r="1083" spans="15:17" x14ac:dyDescent="0.25">
      <c r="O1083" s="1">
        <v>17068</v>
      </c>
      <c r="P1083" s="3" t="s">
        <v>715</v>
      </c>
      <c r="Q1083" s="1" t="s">
        <v>692</v>
      </c>
    </row>
    <row r="1084" spans="15:17" x14ac:dyDescent="0.25">
      <c r="O1084" s="1">
        <v>17069</v>
      </c>
      <c r="P1084" s="3" t="s">
        <v>715</v>
      </c>
      <c r="Q1084" s="1" t="s">
        <v>692</v>
      </c>
    </row>
    <row r="1085" spans="15:17" x14ac:dyDescent="0.25">
      <c r="O1085" s="1">
        <v>17070</v>
      </c>
      <c r="P1085" s="3" t="s">
        <v>712</v>
      </c>
      <c r="Q1085" s="1" t="s">
        <v>677</v>
      </c>
    </row>
    <row r="1086" spans="15:17" x14ac:dyDescent="0.25">
      <c r="O1086" s="1">
        <v>17071</v>
      </c>
      <c r="P1086" s="3" t="s">
        <v>715</v>
      </c>
      <c r="Q1086" s="1" t="s">
        <v>692</v>
      </c>
    </row>
    <row r="1087" spans="15:17" x14ac:dyDescent="0.25">
      <c r="O1087" s="1">
        <v>17072</v>
      </c>
      <c r="P1087" s="3" t="s">
        <v>712</v>
      </c>
      <c r="Q1087" s="1" t="s">
        <v>677</v>
      </c>
    </row>
    <row r="1088" spans="15:17" x14ac:dyDescent="0.25">
      <c r="O1088" s="1">
        <v>17073</v>
      </c>
      <c r="P1088" s="3" t="s">
        <v>717</v>
      </c>
      <c r="Q1088" s="1" t="s">
        <v>682</v>
      </c>
    </row>
    <row r="1089" spans="15:17" x14ac:dyDescent="0.25">
      <c r="O1089" s="1">
        <v>17074</v>
      </c>
      <c r="P1089" s="3" t="s">
        <v>715</v>
      </c>
      <c r="Q1089" s="1" t="s">
        <v>692</v>
      </c>
    </row>
    <row r="1090" spans="15:17" x14ac:dyDescent="0.25">
      <c r="O1090" s="1">
        <v>17075</v>
      </c>
      <c r="P1090" s="3" t="s">
        <v>715</v>
      </c>
      <c r="Q1090" s="1" t="s">
        <v>692</v>
      </c>
    </row>
    <row r="1091" spans="15:17" x14ac:dyDescent="0.25">
      <c r="O1091" s="1">
        <v>17076</v>
      </c>
      <c r="P1091" s="3" t="s">
        <v>715</v>
      </c>
      <c r="Q1091" s="1" t="s">
        <v>692</v>
      </c>
    </row>
    <row r="1092" spans="15:17" x14ac:dyDescent="0.25">
      <c r="O1092" s="1">
        <v>17077</v>
      </c>
      <c r="P1092" s="3" t="s">
        <v>717</v>
      </c>
      <c r="Q1092" s="1" t="s">
        <v>682</v>
      </c>
    </row>
    <row r="1093" spans="15:17" x14ac:dyDescent="0.25">
      <c r="O1093" s="1">
        <v>17078</v>
      </c>
      <c r="P1093" s="3" t="s">
        <v>717</v>
      </c>
      <c r="Q1093" s="1" t="s">
        <v>682</v>
      </c>
    </row>
    <row r="1094" spans="15:17" x14ac:dyDescent="0.25">
      <c r="O1094" s="1">
        <v>17080</v>
      </c>
      <c r="P1094" s="3" t="s">
        <v>715</v>
      </c>
      <c r="Q1094" s="1" t="s">
        <v>692</v>
      </c>
    </row>
    <row r="1095" spans="15:17" x14ac:dyDescent="0.25">
      <c r="O1095" s="1">
        <v>17081</v>
      </c>
      <c r="P1095" s="3" t="s">
        <v>712</v>
      </c>
      <c r="Q1095" s="1" t="s">
        <v>677</v>
      </c>
    </row>
    <row r="1096" spans="15:17" x14ac:dyDescent="0.25">
      <c r="O1096" s="1">
        <v>17082</v>
      </c>
      <c r="P1096" s="3" t="s">
        <v>715</v>
      </c>
      <c r="Q1096" s="1" t="s">
        <v>692</v>
      </c>
    </row>
    <row r="1097" spans="15:17" x14ac:dyDescent="0.25">
      <c r="O1097" s="1">
        <v>17083</v>
      </c>
      <c r="P1097" s="3" t="s">
        <v>717</v>
      </c>
      <c r="Q1097" s="1" t="s">
        <v>682</v>
      </c>
    </row>
    <row r="1098" spans="15:17" x14ac:dyDescent="0.25">
      <c r="O1098" s="1">
        <v>17084</v>
      </c>
      <c r="P1098" s="3" t="s">
        <v>715</v>
      </c>
      <c r="Q1098" s="1" t="s">
        <v>692</v>
      </c>
    </row>
    <row r="1099" spans="15:17" x14ac:dyDescent="0.25">
      <c r="O1099" s="1">
        <v>17085</v>
      </c>
      <c r="P1099" s="3" t="s">
        <v>717</v>
      </c>
      <c r="Q1099" s="1" t="s">
        <v>682</v>
      </c>
    </row>
    <row r="1100" spans="15:17" x14ac:dyDescent="0.25">
      <c r="O1100" s="1">
        <v>17086</v>
      </c>
      <c r="P1100" s="3" t="s">
        <v>715</v>
      </c>
      <c r="Q1100" s="1" t="s">
        <v>692</v>
      </c>
    </row>
    <row r="1101" spans="15:17" x14ac:dyDescent="0.25">
      <c r="O1101" s="1">
        <v>17087</v>
      </c>
      <c r="P1101" s="3" t="s">
        <v>717</v>
      </c>
      <c r="Q1101" s="1" t="s">
        <v>682</v>
      </c>
    </row>
    <row r="1102" spans="15:17" x14ac:dyDescent="0.25">
      <c r="O1102" s="1">
        <v>17088</v>
      </c>
      <c r="P1102" s="3" t="s">
        <v>717</v>
      </c>
      <c r="Q1102" s="1" t="s">
        <v>682</v>
      </c>
    </row>
    <row r="1103" spans="15:17" x14ac:dyDescent="0.25">
      <c r="O1103" s="1">
        <v>17089</v>
      </c>
      <c r="P1103" s="3" t="s">
        <v>712</v>
      </c>
      <c r="Q1103" s="1" t="s">
        <v>677</v>
      </c>
    </row>
    <row r="1104" spans="15:17" x14ac:dyDescent="0.25">
      <c r="O1104" s="1">
        <v>17090</v>
      </c>
      <c r="P1104" s="3" t="s">
        <v>715</v>
      </c>
      <c r="Q1104" s="1" t="s">
        <v>692</v>
      </c>
    </row>
    <row r="1105" spans="15:17" x14ac:dyDescent="0.25">
      <c r="O1105" s="1">
        <v>17091</v>
      </c>
      <c r="P1105" s="3" t="s">
        <v>717</v>
      </c>
      <c r="Q1105" s="1" t="s">
        <v>682</v>
      </c>
    </row>
    <row r="1106" spans="15:17" x14ac:dyDescent="0.25">
      <c r="O1106" s="1">
        <v>17093</v>
      </c>
      <c r="P1106" s="3" t="s">
        <v>712</v>
      </c>
      <c r="Q1106" s="1" t="s">
        <v>677</v>
      </c>
    </row>
    <row r="1107" spans="15:17" x14ac:dyDescent="0.25">
      <c r="O1107" s="1">
        <v>17094</v>
      </c>
      <c r="P1107" s="3" t="s">
        <v>715</v>
      </c>
      <c r="Q1107" s="1" t="s">
        <v>692</v>
      </c>
    </row>
    <row r="1108" spans="15:17" x14ac:dyDescent="0.25">
      <c r="O1108" s="1">
        <v>17097</v>
      </c>
      <c r="P1108" s="3" t="s">
        <v>715</v>
      </c>
      <c r="Q1108" s="1" t="s">
        <v>692</v>
      </c>
    </row>
    <row r="1109" spans="15:17" x14ac:dyDescent="0.25">
      <c r="O1109" s="1">
        <v>17098</v>
      </c>
      <c r="P1109" s="3" t="s">
        <v>715</v>
      </c>
      <c r="Q1109" s="1" t="s">
        <v>692</v>
      </c>
    </row>
    <row r="1110" spans="15:17" x14ac:dyDescent="0.25">
      <c r="O1110" s="1">
        <v>17099</v>
      </c>
      <c r="P1110" s="3" t="s">
        <v>715</v>
      </c>
      <c r="Q1110" s="1" t="s">
        <v>692</v>
      </c>
    </row>
    <row r="1111" spans="15:17" x14ac:dyDescent="0.25">
      <c r="O1111" s="1">
        <v>17101</v>
      </c>
      <c r="P1111" s="3" t="s">
        <v>715</v>
      </c>
      <c r="Q1111" s="1" t="s">
        <v>692</v>
      </c>
    </row>
    <row r="1112" spans="15:17" x14ac:dyDescent="0.25">
      <c r="O1112" s="1">
        <v>17102</v>
      </c>
      <c r="P1112" s="3" t="s">
        <v>715</v>
      </c>
      <c r="Q1112" s="1" t="s">
        <v>692</v>
      </c>
    </row>
    <row r="1113" spans="15:17" x14ac:dyDescent="0.25">
      <c r="O1113" s="1">
        <v>17103</v>
      </c>
      <c r="P1113" s="3" t="s">
        <v>715</v>
      </c>
      <c r="Q1113" s="1" t="s">
        <v>692</v>
      </c>
    </row>
    <row r="1114" spans="15:17" x14ac:dyDescent="0.25">
      <c r="O1114" s="1">
        <v>17104</v>
      </c>
      <c r="P1114" s="3" t="s">
        <v>715</v>
      </c>
      <c r="Q1114" s="1" t="s">
        <v>692</v>
      </c>
    </row>
    <row r="1115" spans="15:17" x14ac:dyDescent="0.25">
      <c r="O1115" s="1">
        <v>17105</v>
      </c>
      <c r="P1115" s="3" t="s">
        <v>712</v>
      </c>
      <c r="Q1115" s="1" t="s">
        <v>677</v>
      </c>
    </row>
    <row r="1116" spans="15:17" x14ac:dyDescent="0.25">
      <c r="O1116" s="1">
        <v>17106</v>
      </c>
      <c r="P1116" s="3" t="s">
        <v>712</v>
      </c>
      <c r="Q1116" s="1" t="s">
        <v>677</v>
      </c>
    </row>
    <row r="1117" spans="15:17" x14ac:dyDescent="0.25">
      <c r="O1117" s="1">
        <v>17107</v>
      </c>
      <c r="P1117" s="3" t="s">
        <v>712</v>
      </c>
      <c r="Q1117" s="1" t="s">
        <v>677</v>
      </c>
    </row>
    <row r="1118" spans="15:17" x14ac:dyDescent="0.25">
      <c r="O1118" s="1">
        <v>17108</v>
      </c>
      <c r="P1118" s="3" t="s">
        <v>712</v>
      </c>
      <c r="Q1118" s="1" t="s">
        <v>677</v>
      </c>
    </row>
    <row r="1119" spans="15:17" x14ac:dyDescent="0.25">
      <c r="O1119" s="1">
        <v>17109</v>
      </c>
      <c r="P1119" s="3" t="s">
        <v>715</v>
      </c>
      <c r="Q1119" s="1" t="s">
        <v>692</v>
      </c>
    </row>
    <row r="1120" spans="15:17" x14ac:dyDescent="0.25">
      <c r="O1120" s="1">
        <v>17110</v>
      </c>
      <c r="P1120" s="3" t="s">
        <v>715</v>
      </c>
      <c r="Q1120" s="1" t="s">
        <v>692</v>
      </c>
    </row>
    <row r="1121" spans="15:17" x14ac:dyDescent="0.25">
      <c r="O1121" s="1">
        <v>17111</v>
      </c>
      <c r="P1121" s="3" t="s">
        <v>715</v>
      </c>
      <c r="Q1121" s="1" t="s">
        <v>692</v>
      </c>
    </row>
    <row r="1122" spans="15:17" x14ac:dyDescent="0.25">
      <c r="O1122" s="1">
        <v>17112</v>
      </c>
      <c r="P1122" s="3" t="s">
        <v>715</v>
      </c>
      <c r="Q1122" s="1" t="s">
        <v>692</v>
      </c>
    </row>
    <row r="1123" spans="15:17" x14ac:dyDescent="0.25">
      <c r="O1123" s="1">
        <v>17113</v>
      </c>
      <c r="P1123" s="3" t="s">
        <v>715</v>
      </c>
      <c r="Q1123" s="1" t="s">
        <v>692</v>
      </c>
    </row>
    <row r="1124" spans="15:17" x14ac:dyDescent="0.25">
      <c r="O1124" s="1">
        <v>17120</v>
      </c>
      <c r="P1124" s="3" t="s">
        <v>715</v>
      </c>
      <c r="Q1124" s="1" t="s">
        <v>692</v>
      </c>
    </row>
    <row r="1125" spans="15:17" x14ac:dyDescent="0.25">
      <c r="O1125" s="1">
        <v>17121</v>
      </c>
      <c r="P1125" s="3" t="s">
        <v>712</v>
      </c>
      <c r="Q1125" s="1" t="s">
        <v>677</v>
      </c>
    </row>
    <row r="1126" spans="15:17" x14ac:dyDescent="0.25">
      <c r="O1126" s="1">
        <v>17122</v>
      </c>
      <c r="P1126" s="3" t="s">
        <v>712</v>
      </c>
      <c r="Q1126" s="1" t="s">
        <v>677</v>
      </c>
    </row>
    <row r="1127" spans="15:17" x14ac:dyDescent="0.25">
      <c r="O1127" s="1">
        <v>17123</v>
      </c>
      <c r="P1127" s="3" t="s">
        <v>712</v>
      </c>
      <c r="Q1127" s="1" t="s">
        <v>677</v>
      </c>
    </row>
    <row r="1128" spans="15:17" x14ac:dyDescent="0.25">
      <c r="O1128" s="1">
        <v>17124</v>
      </c>
      <c r="P1128" s="3" t="s">
        <v>712</v>
      </c>
      <c r="Q1128" s="1" t="s">
        <v>677</v>
      </c>
    </row>
    <row r="1129" spans="15:17" x14ac:dyDescent="0.25">
      <c r="O1129" s="1">
        <v>17125</v>
      </c>
      <c r="P1129" s="3" t="s">
        <v>712</v>
      </c>
      <c r="Q1129" s="1" t="s">
        <v>677</v>
      </c>
    </row>
    <row r="1130" spans="15:17" x14ac:dyDescent="0.25">
      <c r="O1130" s="1">
        <v>17126</v>
      </c>
      <c r="P1130" s="3" t="s">
        <v>712</v>
      </c>
      <c r="Q1130" s="1" t="s">
        <v>677</v>
      </c>
    </row>
    <row r="1131" spans="15:17" x14ac:dyDescent="0.25">
      <c r="O1131" s="1">
        <v>17127</v>
      </c>
      <c r="P1131" s="3" t="s">
        <v>712</v>
      </c>
      <c r="Q1131" s="1" t="s">
        <v>677</v>
      </c>
    </row>
    <row r="1132" spans="15:17" x14ac:dyDescent="0.25">
      <c r="O1132" s="1">
        <v>17128</v>
      </c>
      <c r="P1132" s="3" t="s">
        <v>712</v>
      </c>
      <c r="Q1132" s="1" t="s">
        <v>677</v>
      </c>
    </row>
    <row r="1133" spans="15:17" x14ac:dyDescent="0.25">
      <c r="O1133" s="1">
        <v>17129</v>
      </c>
      <c r="P1133" s="3" t="s">
        <v>712</v>
      </c>
      <c r="Q1133" s="1" t="s">
        <v>677</v>
      </c>
    </row>
    <row r="1134" spans="15:17" x14ac:dyDescent="0.25">
      <c r="O1134" s="1">
        <v>17130</v>
      </c>
      <c r="P1134" s="3" t="s">
        <v>712</v>
      </c>
      <c r="Q1134" s="1" t="s">
        <v>677</v>
      </c>
    </row>
    <row r="1135" spans="15:17" x14ac:dyDescent="0.25">
      <c r="O1135" s="1">
        <v>17140</v>
      </c>
      <c r="P1135" s="3" t="s">
        <v>712</v>
      </c>
      <c r="Q1135" s="1" t="s">
        <v>677</v>
      </c>
    </row>
    <row r="1136" spans="15:17" x14ac:dyDescent="0.25">
      <c r="O1136" s="1">
        <v>17177</v>
      </c>
      <c r="P1136" s="3" t="s">
        <v>712</v>
      </c>
      <c r="Q1136" s="1" t="s">
        <v>677</v>
      </c>
    </row>
    <row r="1137" spans="15:17" x14ac:dyDescent="0.25">
      <c r="O1137" s="1">
        <v>17201</v>
      </c>
      <c r="P1137" s="3" t="s">
        <v>712</v>
      </c>
      <c r="Q1137" s="1" t="s">
        <v>677</v>
      </c>
    </row>
    <row r="1138" spans="15:17" x14ac:dyDescent="0.25">
      <c r="O1138" s="1">
        <v>17202</v>
      </c>
      <c r="P1138" s="3" t="s">
        <v>712</v>
      </c>
      <c r="Q1138" s="1" t="s">
        <v>677</v>
      </c>
    </row>
    <row r="1139" spans="15:17" x14ac:dyDescent="0.25">
      <c r="O1139" s="1">
        <v>17210</v>
      </c>
      <c r="P1139" s="3" t="s">
        <v>712</v>
      </c>
      <c r="Q1139" s="1" t="s">
        <v>677</v>
      </c>
    </row>
    <row r="1140" spans="15:17" x14ac:dyDescent="0.25">
      <c r="O1140" s="1">
        <v>17211</v>
      </c>
      <c r="P1140" s="3" t="s">
        <v>653</v>
      </c>
      <c r="Q1140" s="1" t="s">
        <v>654</v>
      </c>
    </row>
    <row r="1141" spans="15:17" x14ac:dyDescent="0.25">
      <c r="O1141" s="1">
        <v>17212</v>
      </c>
      <c r="P1141" s="3" t="s">
        <v>712</v>
      </c>
      <c r="Q1141" s="1" t="s">
        <v>677</v>
      </c>
    </row>
    <row r="1142" spans="15:17" x14ac:dyDescent="0.25">
      <c r="O1142" s="1">
        <v>17213</v>
      </c>
      <c r="P1142" s="3" t="s">
        <v>715</v>
      </c>
      <c r="Q1142" s="1" t="s">
        <v>692</v>
      </c>
    </row>
    <row r="1143" spans="15:17" x14ac:dyDescent="0.25">
      <c r="O1143" s="1">
        <v>17214</v>
      </c>
      <c r="P1143" s="3" t="s">
        <v>712</v>
      </c>
      <c r="Q1143" s="1" t="s">
        <v>677</v>
      </c>
    </row>
    <row r="1144" spans="15:17" x14ac:dyDescent="0.25">
      <c r="O1144" s="1">
        <v>17215</v>
      </c>
      <c r="P1144" s="3" t="s">
        <v>712</v>
      </c>
      <c r="Q1144" s="1" t="s">
        <v>677</v>
      </c>
    </row>
    <row r="1145" spans="15:17" x14ac:dyDescent="0.25">
      <c r="O1145" s="1">
        <v>17217</v>
      </c>
      <c r="P1145" s="3" t="s">
        <v>712</v>
      </c>
      <c r="Q1145" s="1" t="s">
        <v>677</v>
      </c>
    </row>
    <row r="1146" spans="15:17" x14ac:dyDescent="0.25">
      <c r="O1146" s="1">
        <v>17219</v>
      </c>
      <c r="P1146" s="3" t="s">
        <v>712</v>
      </c>
      <c r="Q1146" s="1" t="s">
        <v>677</v>
      </c>
    </row>
    <row r="1147" spans="15:17" x14ac:dyDescent="0.25">
      <c r="O1147" s="1">
        <v>17220</v>
      </c>
      <c r="P1147" s="3" t="s">
        <v>712</v>
      </c>
      <c r="Q1147" s="1" t="s">
        <v>677</v>
      </c>
    </row>
    <row r="1148" spans="15:17" x14ac:dyDescent="0.25">
      <c r="O1148" s="1">
        <v>17221</v>
      </c>
      <c r="P1148" s="3" t="s">
        <v>712</v>
      </c>
      <c r="Q1148" s="1" t="s">
        <v>677</v>
      </c>
    </row>
    <row r="1149" spans="15:17" x14ac:dyDescent="0.25">
      <c r="O1149" s="1">
        <v>17222</v>
      </c>
      <c r="P1149" s="3" t="s">
        <v>712</v>
      </c>
      <c r="Q1149" s="1" t="s">
        <v>677</v>
      </c>
    </row>
    <row r="1150" spans="15:17" x14ac:dyDescent="0.25">
      <c r="O1150" s="1">
        <v>17223</v>
      </c>
      <c r="P1150" s="3" t="s">
        <v>712</v>
      </c>
      <c r="Q1150" s="1" t="s">
        <v>677</v>
      </c>
    </row>
    <row r="1151" spans="15:17" x14ac:dyDescent="0.25">
      <c r="O1151" s="1">
        <v>17224</v>
      </c>
      <c r="P1151" s="3" t="s">
        <v>712</v>
      </c>
      <c r="Q1151" s="1" t="s">
        <v>677</v>
      </c>
    </row>
    <row r="1152" spans="15:17" x14ac:dyDescent="0.25">
      <c r="O1152" s="1">
        <v>17225</v>
      </c>
      <c r="P1152" s="3" t="s">
        <v>712</v>
      </c>
      <c r="Q1152" s="1" t="s">
        <v>677</v>
      </c>
    </row>
    <row r="1153" spans="15:17" x14ac:dyDescent="0.25">
      <c r="O1153" s="1">
        <v>17228</v>
      </c>
      <c r="P1153" s="3" t="s">
        <v>712</v>
      </c>
      <c r="Q1153" s="1" t="s">
        <v>677</v>
      </c>
    </row>
    <row r="1154" spans="15:17" x14ac:dyDescent="0.25">
      <c r="O1154" s="1">
        <v>17229</v>
      </c>
      <c r="P1154" s="3" t="s">
        <v>712</v>
      </c>
      <c r="Q1154" s="1" t="s">
        <v>677</v>
      </c>
    </row>
    <row r="1155" spans="15:17" x14ac:dyDescent="0.25">
      <c r="O1155" s="1">
        <v>17231</v>
      </c>
      <c r="P1155" s="3" t="s">
        <v>712</v>
      </c>
      <c r="Q1155" s="1" t="s">
        <v>677</v>
      </c>
    </row>
    <row r="1156" spans="15:17" x14ac:dyDescent="0.25">
      <c r="O1156" s="1">
        <v>17232</v>
      </c>
      <c r="P1156" s="3" t="s">
        <v>712</v>
      </c>
      <c r="Q1156" s="1" t="s">
        <v>677</v>
      </c>
    </row>
    <row r="1157" spans="15:17" x14ac:dyDescent="0.25">
      <c r="O1157" s="1">
        <v>17233</v>
      </c>
      <c r="P1157" s="3" t="s">
        <v>712</v>
      </c>
      <c r="Q1157" s="1" t="s">
        <v>677</v>
      </c>
    </row>
    <row r="1158" spans="15:17" x14ac:dyDescent="0.25">
      <c r="O1158" s="1">
        <v>17235</v>
      </c>
      <c r="P1158" s="3" t="s">
        <v>712</v>
      </c>
      <c r="Q1158" s="1" t="s">
        <v>677</v>
      </c>
    </row>
    <row r="1159" spans="15:17" x14ac:dyDescent="0.25">
      <c r="O1159" s="1">
        <v>17236</v>
      </c>
      <c r="P1159" s="3" t="s">
        <v>712</v>
      </c>
      <c r="Q1159" s="1" t="s">
        <v>677</v>
      </c>
    </row>
    <row r="1160" spans="15:17" x14ac:dyDescent="0.25">
      <c r="O1160" s="1">
        <v>17237</v>
      </c>
      <c r="P1160" s="3" t="s">
        <v>712</v>
      </c>
      <c r="Q1160" s="1" t="s">
        <v>677</v>
      </c>
    </row>
    <row r="1161" spans="15:17" x14ac:dyDescent="0.25">
      <c r="O1161" s="1">
        <v>17238</v>
      </c>
      <c r="P1161" s="3" t="s">
        <v>712</v>
      </c>
      <c r="Q1161" s="1" t="s">
        <v>677</v>
      </c>
    </row>
    <row r="1162" spans="15:17" x14ac:dyDescent="0.25">
      <c r="O1162" s="1">
        <v>17239</v>
      </c>
      <c r="P1162" s="3" t="s">
        <v>715</v>
      </c>
      <c r="Q1162" s="1" t="s">
        <v>692</v>
      </c>
    </row>
    <row r="1163" spans="15:17" x14ac:dyDescent="0.25">
      <c r="O1163" s="1">
        <v>17240</v>
      </c>
      <c r="P1163" s="3" t="s">
        <v>712</v>
      </c>
      <c r="Q1163" s="1" t="s">
        <v>677</v>
      </c>
    </row>
    <row r="1164" spans="15:17" x14ac:dyDescent="0.25">
      <c r="O1164" s="1">
        <v>17241</v>
      </c>
      <c r="P1164" s="3" t="s">
        <v>712</v>
      </c>
      <c r="Q1164" s="1" t="s">
        <v>677</v>
      </c>
    </row>
    <row r="1165" spans="15:17" x14ac:dyDescent="0.25">
      <c r="O1165" s="1">
        <v>17243</v>
      </c>
      <c r="P1165" s="3" t="s">
        <v>715</v>
      </c>
      <c r="Q1165" s="1" t="s">
        <v>692</v>
      </c>
    </row>
    <row r="1166" spans="15:17" x14ac:dyDescent="0.25">
      <c r="O1166" s="1">
        <v>17244</v>
      </c>
      <c r="P1166" s="3" t="s">
        <v>712</v>
      </c>
      <c r="Q1166" s="1" t="s">
        <v>677</v>
      </c>
    </row>
    <row r="1167" spans="15:17" x14ac:dyDescent="0.25">
      <c r="O1167" s="1">
        <v>17246</v>
      </c>
      <c r="P1167" s="3" t="s">
        <v>712</v>
      </c>
      <c r="Q1167" s="1" t="s">
        <v>677</v>
      </c>
    </row>
    <row r="1168" spans="15:17" x14ac:dyDescent="0.25">
      <c r="O1168" s="1">
        <v>17247</v>
      </c>
      <c r="P1168" s="3" t="s">
        <v>712</v>
      </c>
      <c r="Q1168" s="1" t="s">
        <v>677</v>
      </c>
    </row>
    <row r="1169" spans="15:17" x14ac:dyDescent="0.25">
      <c r="O1169" s="1">
        <v>17249</v>
      </c>
      <c r="P1169" s="3" t="s">
        <v>715</v>
      </c>
      <c r="Q1169" s="1" t="s">
        <v>692</v>
      </c>
    </row>
    <row r="1170" spans="15:17" x14ac:dyDescent="0.25">
      <c r="O1170" s="1">
        <v>17250</v>
      </c>
      <c r="P1170" s="3" t="s">
        <v>712</v>
      </c>
      <c r="Q1170" s="1" t="s">
        <v>677</v>
      </c>
    </row>
    <row r="1171" spans="15:17" x14ac:dyDescent="0.25">
      <c r="O1171" s="1">
        <v>17251</v>
      </c>
      <c r="P1171" s="3" t="s">
        <v>712</v>
      </c>
      <c r="Q1171" s="1" t="s">
        <v>677</v>
      </c>
    </row>
    <row r="1172" spans="15:17" x14ac:dyDescent="0.25">
      <c r="O1172" s="1">
        <v>17252</v>
      </c>
      <c r="P1172" s="3" t="s">
        <v>712</v>
      </c>
      <c r="Q1172" s="1" t="s">
        <v>677</v>
      </c>
    </row>
    <row r="1173" spans="15:17" x14ac:dyDescent="0.25">
      <c r="O1173" s="1">
        <v>17253</v>
      </c>
      <c r="P1173" s="3" t="s">
        <v>715</v>
      </c>
      <c r="Q1173" s="1" t="s">
        <v>692</v>
      </c>
    </row>
    <row r="1174" spans="15:17" x14ac:dyDescent="0.25">
      <c r="O1174" s="1">
        <v>17254</v>
      </c>
      <c r="P1174" s="3" t="s">
        <v>712</v>
      </c>
      <c r="Q1174" s="1" t="s">
        <v>677</v>
      </c>
    </row>
    <row r="1175" spans="15:17" x14ac:dyDescent="0.25">
      <c r="O1175" s="1">
        <v>17255</v>
      </c>
      <c r="P1175" s="3" t="s">
        <v>715</v>
      </c>
      <c r="Q1175" s="1" t="s">
        <v>692</v>
      </c>
    </row>
    <row r="1176" spans="15:17" x14ac:dyDescent="0.25">
      <c r="O1176" s="1">
        <v>17256</v>
      </c>
      <c r="P1176" s="3" t="s">
        <v>712</v>
      </c>
      <c r="Q1176" s="1" t="s">
        <v>677</v>
      </c>
    </row>
    <row r="1177" spans="15:17" x14ac:dyDescent="0.25">
      <c r="O1177" s="1">
        <v>17257</v>
      </c>
      <c r="P1177" s="3" t="s">
        <v>712</v>
      </c>
      <c r="Q1177" s="1" t="s">
        <v>677</v>
      </c>
    </row>
    <row r="1178" spans="15:17" x14ac:dyDescent="0.25">
      <c r="O1178" s="1">
        <v>17260</v>
      </c>
      <c r="P1178" s="3" t="s">
        <v>715</v>
      </c>
      <c r="Q1178" s="1" t="s">
        <v>692</v>
      </c>
    </row>
    <row r="1179" spans="15:17" x14ac:dyDescent="0.25">
      <c r="O1179" s="1">
        <v>17261</v>
      </c>
      <c r="P1179" s="3" t="s">
        <v>712</v>
      </c>
      <c r="Q1179" s="1" t="s">
        <v>677</v>
      </c>
    </row>
    <row r="1180" spans="15:17" x14ac:dyDescent="0.25">
      <c r="O1180" s="1">
        <v>17262</v>
      </c>
      <c r="P1180" s="3" t="s">
        <v>712</v>
      </c>
      <c r="Q1180" s="1" t="s">
        <v>677</v>
      </c>
    </row>
    <row r="1181" spans="15:17" x14ac:dyDescent="0.25">
      <c r="O1181" s="1">
        <v>17263</v>
      </c>
      <c r="P1181" s="3" t="s">
        <v>712</v>
      </c>
      <c r="Q1181" s="1" t="s">
        <v>677</v>
      </c>
    </row>
    <row r="1182" spans="15:17" x14ac:dyDescent="0.25">
      <c r="O1182" s="1">
        <v>17264</v>
      </c>
      <c r="P1182" s="3" t="s">
        <v>715</v>
      </c>
      <c r="Q1182" s="1" t="s">
        <v>692</v>
      </c>
    </row>
    <row r="1183" spans="15:17" x14ac:dyDescent="0.25">
      <c r="O1183" s="1">
        <v>17265</v>
      </c>
      <c r="P1183" s="3" t="s">
        <v>712</v>
      </c>
      <c r="Q1183" s="1" t="s">
        <v>677</v>
      </c>
    </row>
    <row r="1184" spans="15:17" x14ac:dyDescent="0.25">
      <c r="O1184" s="1">
        <v>17266</v>
      </c>
      <c r="P1184" s="3" t="s">
        <v>712</v>
      </c>
      <c r="Q1184" s="1" t="s">
        <v>677</v>
      </c>
    </row>
    <row r="1185" spans="15:17" x14ac:dyDescent="0.25">
      <c r="O1185" s="1">
        <v>17267</v>
      </c>
      <c r="P1185" s="3" t="s">
        <v>712</v>
      </c>
      <c r="Q1185" s="1" t="s">
        <v>677</v>
      </c>
    </row>
    <row r="1186" spans="15:17" x14ac:dyDescent="0.25">
      <c r="O1186" s="1">
        <v>17268</v>
      </c>
      <c r="P1186" s="3" t="s">
        <v>712</v>
      </c>
      <c r="Q1186" s="1" t="s">
        <v>677</v>
      </c>
    </row>
    <row r="1187" spans="15:17" x14ac:dyDescent="0.25">
      <c r="O1187" s="1">
        <v>17270</v>
      </c>
      <c r="P1187" s="3" t="s">
        <v>712</v>
      </c>
      <c r="Q1187" s="1" t="s">
        <v>677</v>
      </c>
    </row>
    <row r="1188" spans="15:17" x14ac:dyDescent="0.25">
      <c r="O1188" s="1">
        <v>17271</v>
      </c>
      <c r="P1188" s="3" t="s">
        <v>712</v>
      </c>
      <c r="Q1188" s="1" t="s">
        <v>677</v>
      </c>
    </row>
    <row r="1189" spans="15:17" x14ac:dyDescent="0.25">
      <c r="O1189" s="1">
        <v>17272</v>
      </c>
      <c r="P1189" s="3" t="s">
        <v>712</v>
      </c>
      <c r="Q1189" s="1" t="s">
        <v>677</v>
      </c>
    </row>
    <row r="1190" spans="15:17" x14ac:dyDescent="0.25">
      <c r="O1190" s="1">
        <v>17301</v>
      </c>
      <c r="P1190" s="3" t="s">
        <v>712</v>
      </c>
      <c r="Q1190" s="1" t="s">
        <v>677</v>
      </c>
    </row>
    <row r="1191" spans="15:17" x14ac:dyDescent="0.25">
      <c r="O1191" s="1">
        <v>17302</v>
      </c>
      <c r="P1191" s="3" t="s">
        <v>712</v>
      </c>
      <c r="Q1191" s="1" t="s">
        <v>677</v>
      </c>
    </row>
    <row r="1192" spans="15:17" x14ac:dyDescent="0.25">
      <c r="O1192" s="1">
        <v>17303</v>
      </c>
      <c r="P1192" s="3" t="s">
        <v>712</v>
      </c>
      <c r="Q1192" s="1" t="s">
        <v>677</v>
      </c>
    </row>
    <row r="1193" spans="15:17" x14ac:dyDescent="0.25">
      <c r="O1193" s="1">
        <v>17304</v>
      </c>
      <c r="P1193" s="3" t="s">
        <v>712</v>
      </c>
      <c r="Q1193" s="1" t="s">
        <v>677</v>
      </c>
    </row>
    <row r="1194" spans="15:17" x14ac:dyDescent="0.25">
      <c r="O1194" s="1">
        <v>17306</v>
      </c>
      <c r="P1194" s="3" t="s">
        <v>712</v>
      </c>
      <c r="Q1194" s="1" t="s">
        <v>677</v>
      </c>
    </row>
    <row r="1195" spans="15:17" x14ac:dyDescent="0.25">
      <c r="O1195" s="1">
        <v>17307</v>
      </c>
      <c r="P1195" s="3" t="s">
        <v>712</v>
      </c>
      <c r="Q1195" s="1" t="s">
        <v>677</v>
      </c>
    </row>
    <row r="1196" spans="15:17" x14ac:dyDescent="0.25">
      <c r="O1196" s="1">
        <v>17309</v>
      </c>
      <c r="P1196" s="3" t="s">
        <v>712</v>
      </c>
      <c r="Q1196" s="1" t="s">
        <v>677</v>
      </c>
    </row>
    <row r="1197" spans="15:17" x14ac:dyDescent="0.25">
      <c r="O1197" s="1">
        <v>17310</v>
      </c>
      <c r="P1197" s="3" t="s">
        <v>712</v>
      </c>
      <c r="Q1197" s="1" t="s">
        <v>677</v>
      </c>
    </row>
    <row r="1198" spans="15:17" x14ac:dyDescent="0.25">
      <c r="O1198" s="1">
        <v>17311</v>
      </c>
      <c r="P1198" s="3" t="s">
        <v>712</v>
      </c>
      <c r="Q1198" s="1" t="s">
        <v>677</v>
      </c>
    </row>
    <row r="1199" spans="15:17" x14ac:dyDescent="0.25">
      <c r="O1199" s="1">
        <v>17312</v>
      </c>
      <c r="P1199" s="3" t="s">
        <v>712</v>
      </c>
      <c r="Q1199" s="1" t="s">
        <v>677</v>
      </c>
    </row>
    <row r="1200" spans="15:17" x14ac:dyDescent="0.25">
      <c r="O1200" s="1">
        <v>17313</v>
      </c>
      <c r="P1200" s="3" t="s">
        <v>712</v>
      </c>
      <c r="Q1200" s="1" t="s">
        <v>677</v>
      </c>
    </row>
    <row r="1201" spans="15:17" x14ac:dyDescent="0.25">
      <c r="O1201" s="1">
        <v>17314</v>
      </c>
      <c r="P1201" s="3" t="s">
        <v>712</v>
      </c>
      <c r="Q1201" s="1" t="s">
        <v>677</v>
      </c>
    </row>
    <row r="1202" spans="15:17" x14ac:dyDescent="0.25">
      <c r="O1202" s="1">
        <v>17315</v>
      </c>
      <c r="P1202" s="3" t="s">
        <v>712</v>
      </c>
      <c r="Q1202" s="1" t="s">
        <v>677</v>
      </c>
    </row>
    <row r="1203" spans="15:17" x14ac:dyDescent="0.25">
      <c r="O1203" s="1">
        <v>17316</v>
      </c>
      <c r="P1203" s="3" t="s">
        <v>712</v>
      </c>
      <c r="Q1203" s="1" t="s">
        <v>677</v>
      </c>
    </row>
    <row r="1204" spans="15:17" x14ac:dyDescent="0.25">
      <c r="O1204" s="1">
        <v>17317</v>
      </c>
      <c r="P1204" s="3" t="s">
        <v>712</v>
      </c>
      <c r="Q1204" s="1" t="s">
        <v>677</v>
      </c>
    </row>
    <row r="1205" spans="15:17" x14ac:dyDescent="0.25">
      <c r="O1205" s="1">
        <v>17318</v>
      </c>
      <c r="P1205" s="3" t="s">
        <v>712</v>
      </c>
      <c r="Q1205" s="1" t="s">
        <v>677</v>
      </c>
    </row>
    <row r="1206" spans="15:17" x14ac:dyDescent="0.25">
      <c r="O1206" s="1">
        <v>17319</v>
      </c>
      <c r="P1206" s="3" t="s">
        <v>712</v>
      </c>
      <c r="Q1206" s="1" t="s">
        <v>677</v>
      </c>
    </row>
    <row r="1207" spans="15:17" x14ac:dyDescent="0.25">
      <c r="O1207" s="1">
        <v>17320</v>
      </c>
      <c r="P1207" s="3" t="s">
        <v>712</v>
      </c>
      <c r="Q1207" s="1" t="s">
        <v>677</v>
      </c>
    </row>
    <row r="1208" spans="15:17" x14ac:dyDescent="0.25">
      <c r="O1208" s="1">
        <v>17321</v>
      </c>
      <c r="P1208" s="3" t="s">
        <v>712</v>
      </c>
      <c r="Q1208" s="1" t="s">
        <v>677</v>
      </c>
    </row>
    <row r="1209" spans="15:17" x14ac:dyDescent="0.25">
      <c r="O1209" s="1">
        <v>17322</v>
      </c>
      <c r="P1209" s="3" t="s">
        <v>712</v>
      </c>
      <c r="Q1209" s="1" t="s">
        <v>677</v>
      </c>
    </row>
    <row r="1210" spans="15:17" x14ac:dyDescent="0.25">
      <c r="O1210" s="1">
        <v>17323</v>
      </c>
      <c r="P1210" s="3" t="s">
        <v>712</v>
      </c>
      <c r="Q1210" s="1" t="s">
        <v>677</v>
      </c>
    </row>
    <row r="1211" spans="15:17" x14ac:dyDescent="0.25">
      <c r="O1211" s="1">
        <v>17324</v>
      </c>
      <c r="P1211" s="3" t="s">
        <v>712</v>
      </c>
      <c r="Q1211" s="1" t="s">
        <v>677</v>
      </c>
    </row>
    <row r="1212" spans="15:17" x14ac:dyDescent="0.25">
      <c r="O1212" s="1">
        <v>17325</v>
      </c>
      <c r="P1212" s="3" t="s">
        <v>712</v>
      </c>
      <c r="Q1212" s="1" t="s">
        <v>677</v>
      </c>
    </row>
    <row r="1213" spans="15:17" x14ac:dyDescent="0.25">
      <c r="O1213" s="1">
        <v>17326</v>
      </c>
      <c r="P1213" s="3" t="s">
        <v>712</v>
      </c>
      <c r="Q1213" s="1" t="s">
        <v>677</v>
      </c>
    </row>
    <row r="1214" spans="15:17" x14ac:dyDescent="0.25">
      <c r="O1214" s="1">
        <v>17327</v>
      </c>
      <c r="P1214" s="3" t="s">
        <v>712</v>
      </c>
      <c r="Q1214" s="1" t="s">
        <v>677</v>
      </c>
    </row>
    <row r="1215" spans="15:17" x14ac:dyDescent="0.25">
      <c r="O1215" s="1">
        <v>17329</v>
      </c>
      <c r="P1215" s="3" t="s">
        <v>712</v>
      </c>
      <c r="Q1215" s="1" t="s">
        <v>677</v>
      </c>
    </row>
    <row r="1216" spans="15:17" x14ac:dyDescent="0.25">
      <c r="O1216" s="1">
        <v>17331</v>
      </c>
      <c r="P1216" s="3" t="s">
        <v>712</v>
      </c>
      <c r="Q1216" s="1" t="s">
        <v>677</v>
      </c>
    </row>
    <row r="1217" spans="15:17" x14ac:dyDescent="0.25">
      <c r="O1217" s="1">
        <v>17332</v>
      </c>
      <c r="P1217" s="3" t="s">
        <v>712</v>
      </c>
      <c r="Q1217" s="1" t="s">
        <v>677</v>
      </c>
    </row>
    <row r="1218" spans="15:17" x14ac:dyDescent="0.25">
      <c r="O1218" s="1">
        <v>17333</v>
      </c>
      <c r="P1218" s="3" t="s">
        <v>712</v>
      </c>
      <c r="Q1218" s="1" t="s">
        <v>677</v>
      </c>
    </row>
    <row r="1219" spans="15:17" x14ac:dyDescent="0.25">
      <c r="O1219" s="1">
        <v>17334</v>
      </c>
      <c r="P1219" s="3" t="s">
        <v>712</v>
      </c>
      <c r="Q1219" s="1" t="s">
        <v>677</v>
      </c>
    </row>
    <row r="1220" spans="15:17" x14ac:dyDescent="0.25">
      <c r="O1220" s="1">
        <v>17337</v>
      </c>
      <c r="P1220" s="3" t="s">
        <v>712</v>
      </c>
      <c r="Q1220" s="1" t="s">
        <v>677</v>
      </c>
    </row>
    <row r="1221" spans="15:17" x14ac:dyDescent="0.25">
      <c r="O1221" s="1">
        <v>17339</v>
      </c>
      <c r="P1221" s="3" t="s">
        <v>712</v>
      </c>
      <c r="Q1221" s="1" t="s">
        <v>677</v>
      </c>
    </row>
    <row r="1222" spans="15:17" x14ac:dyDescent="0.25">
      <c r="O1222" s="1">
        <v>17340</v>
      </c>
      <c r="P1222" s="3" t="s">
        <v>712</v>
      </c>
      <c r="Q1222" s="1" t="s">
        <v>677</v>
      </c>
    </row>
    <row r="1223" spans="15:17" x14ac:dyDescent="0.25">
      <c r="O1223" s="1">
        <v>17342</v>
      </c>
      <c r="P1223" s="3" t="s">
        <v>712</v>
      </c>
      <c r="Q1223" s="1" t="s">
        <v>677</v>
      </c>
    </row>
    <row r="1224" spans="15:17" x14ac:dyDescent="0.25">
      <c r="O1224" s="1">
        <v>17343</v>
      </c>
      <c r="P1224" s="3" t="s">
        <v>712</v>
      </c>
      <c r="Q1224" s="1" t="s">
        <v>677</v>
      </c>
    </row>
    <row r="1225" spans="15:17" x14ac:dyDescent="0.25">
      <c r="O1225" s="1">
        <v>17344</v>
      </c>
      <c r="P1225" s="3" t="s">
        <v>712</v>
      </c>
      <c r="Q1225" s="1" t="s">
        <v>677</v>
      </c>
    </row>
    <row r="1226" spans="15:17" x14ac:dyDescent="0.25">
      <c r="O1226" s="1">
        <v>17345</v>
      </c>
      <c r="P1226" s="3" t="s">
        <v>712</v>
      </c>
      <c r="Q1226" s="1" t="s">
        <v>677</v>
      </c>
    </row>
    <row r="1227" spans="15:17" x14ac:dyDescent="0.25">
      <c r="O1227" s="1">
        <v>17347</v>
      </c>
      <c r="P1227" s="3" t="s">
        <v>712</v>
      </c>
      <c r="Q1227" s="1" t="s">
        <v>677</v>
      </c>
    </row>
    <row r="1228" spans="15:17" x14ac:dyDescent="0.25">
      <c r="O1228" s="1">
        <v>17349</v>
      </c>
      <c r="P1228" s="3" t="s">
        <v>712</v>
      </c>
      <c r="Q1228" s="1" t="s">
        <v>677</v>
      </c>
    </row>
    <row r="1229" spans="15:17" x14ac:dyDescent="0.25">
      <c r="O1229" s="1">
        <v>17350</v>
      </c>
      <c r="P1229" s="3" t="s">
        <v>712</v>
      </c>
      <c r="Q1229" s="1" t="s">
        <v>677</v>
      </c>
    </row>
    <row r="1230" spans="15:17" x14ac:dyDescent="0.25">
      <c r="O1230" s="1">
        <v>17352</v>
      </c>
      <c r="P1230" s="3" t="s">
        <v>712</v>
      </c>
      <c r="Q1230" s="1" t="s">
        <v>677</v>
      </c>
    </row>
    <row r="1231" spans="15:17" x14ac:dyDescent="0.25">
      <c r="O1231" s="1">
        <v>17353</v>
      </c>
      <c r="P1231" s="3" t="s">
        <v>712</v>
      </c>
      <c r="Q1231" s="1" t="s">
        <v>677</v>
      </c>
    </row>
    <row r="1232" spans="15:17" x14ac:dyDescent="0.25">
      <c r="O1232" s="1">
        <v>17354</v>
      </c>
      <c r="P1232" s="3" t="s">
        <v>712</v>
      </c>
      <c r="Q1232" s="1" t="s">
        <v>677</v>
      </c>
    </row>
    <row r="1233" spans="15:17" x14ac:dyDescent="0.25">
      <c r="O1233" s="1">
        <v>17355</v>
      </c>
      <c r="P1233" s="3" t="s">
        <v>712</v>
      </c>
      <c r="Q1233" s="1" t="s">
        <v>677</v>
      </c>
    </row>
    <row r="1234" spans="15:17" x14ac:dyDescent="0.25">
      <c r="O1234" s="1">
        <v>17356</v>
      </c>
      <c r="P1234" s="3" t="s">
        <v>712</v>
      </c>
      <c r="Q1234" s="1" t="s">
        <v>677</v>
      </c>
    </row>
    <row r="1235" spans="15:17" x14ac:dyDescent="0.25">
      <c r="O1235" s="1">
        <v>17358</v>
      </c>
      <c r="P1235" s="3" t="s">
        <v>712</v>
      </c>
      <c r="Q1235" s="1" t="s">
        <v>677</v>
      </c>
    </row>
    <row r="1236" spans="15:17" x14ac:dyDescent="0.25">
      <c r="O1236" s="1">
        <v>17360</v>
      </c>
      <c r="P1236" s="3" t="s">
        <v>712</v>
      </c>
      <c r="Q1236" s="1" t="s">
        <v>677</v>
      </c>
    </row>
    <row r="1237" spans="15:17" x14ac:dyDescent="0.25">
      <c r="O1237" s="1">
        <v>17361</v>
      </c>
      <c r="P1237" s="3" t="s">
        <v>712</v>
      </c>
      <c r="Q1237" s="1" t="s">
        <v>677</v>
      </c>
    </row>
    <row r="1238" spans="15:17" x14ac:dyDescent="0.25">
      <c r="O1238" s="1">
        <v>17362</v>
      </c>
      <c r="P1238" s="3" t="s">
        <v>712</v>
      </c>
      <c r="Q1238" s="1" t="s">
        <v>677</v>
      </c>
    </row>
    <row r="1239" spans="15:17" x14ac:dyDescent="0.25">
      <c r="O1239" s="1">
        <v>17363</v>
      </c>
      <c r="P1239" s="3" t="s">
        <v>712</v>
      </c>
      <c r="Q1239" s="1" t="s">
        <v>677</v>
      </c>
    </row>
    <row r="1240" spans="15:17" x14ac:dyDescent="0.25">
      <c r="O1240" s="1">
        <v>17364</v>
      </c>
      <c r="P1240" s="3" t="s">
        <v>712</v>
      </c>
      <c r="Q1240" s="1" t="s">
        <v>677</v>
      </c>
    </row>
    <row r="1241" spans="15:17" x14ac:dyDescent="0.25">
      <c r="O1241" s="1">
        <v>17365</v>
      </c>
      <c r="P1241" s="3" t="s">
        <v>712</v>
      </c>
      <c r="Q1241" s="1" t="s">
        <v>677</v>
      </c>
    </row>
    <row r="1242" spans="15:17" x14ac:dyDescent="0.25">
      <c r="O1242" s="1">
        <v>17366</v>
      </c>
      <c r="P1242" s="3" t="s">
        <v>712</v>
      </c>
      <c r="Q1242" s="1" t="s">
        <v>677</v>
      </c>
    </row>
    <row r="1243" spans="15:17" x14ac:dyDescent="0.25">
      <c r="O1243" s="1">
        <v>17368</v>
      </c>
      <c r="P1243" s="3" t="s">
        <v>712</v>
      </c>
      <c r="Q1243" s="1" t="s">
        <v>677</v>
      </c>
    </row>
    <row r="1244" spans="15:17" x14ac:dyDescent="0.25">
      <c r="O1244" s="1">
        <v>17370</v>
      </c>
      <c r="P1244" s="3" t="s">
        <v>712</v>
      </c>
      <c r="Q1244" s="1" t="s">
        <v>677</v>
      </c>
    </row>
    <row r="1245" spans="15:17" x14ac:dyDescent="0.25">
      <c r="O1245" s="1">
        <v>17371</v>
      </c>
      <c r="P1245" s="3" t="s">
        <v>712</v>
      </c>
      <c r="Q1245" s="1" t="s">
        <v>677</v>
      </c>
    </row>
    <row r="1246" spans="15:17" x14ac:dyDescent="0.25">
      <c r="O1246" s="1">
        <v>17372</v>
      </c>
      <c r="P1246" s="3" t="s">
        <v>712</v>
      </c>
      <c r="Q1246" s="1" t="s">
        <v>677</v>
      </c>
    </row>
    <row r="1247" spans="15:17" x14ac:dyDescent="0.25">
      <c r="O1247" s="1">
        <v>17375</v>
      </c>
      <c r="P1247" s="3" t="s">
        <v>712</v>
      </c>
      <c r="Q1247" s="1" t="s">
        <v>677</v>
      </c>
    </row>
    <row r="1248" spans="15:17" x14ac:dyDescent="0.25">
      <c r="O1248" s="1">
        <v>17401</v>
      </c>
      <c r="P1248" s="3" t="s">
        <v>712</v>
      </c>
      <c r="Q1248" s="1" t="s">
        <v>677</v>
      </c>
    </row>
    <row r="1249" spans="15:17" x14ac:dyDescent="0.25">
      <c r="O1249" s="1">
        <v>17402</v>
      </c>
      <c r="P1249" s="3" t="s">
        <v>712</v>
      </c>
      <c r="Q1249" s="1" t="s">
        <v>677</v>
      </c>
    </row>
    <row r="1250" spans="15:17" x14ac:dyDescent="0.25">
      <c r="O1250" s="1">
        <v>17403</v>
      </c>
      <c r="P1250" s="3" t="s">
        <v>712</v>
      </c>
      <c r="Q1250" s="1" t="s">
        <v>677</v>
      </c>
    </row>
    <row r="1251" spans="15:17" x14ac:dyDescent="0.25">
      <c r="O1251" s="1">
        <v>17404</v>
      </c>
      <c r="P1251" s="3" t="s">
        <v>712</v>
      </c>
      <c r="Q1251" s="1" t="s">
        <v>677</v>
      </c>
    </row>
    <row r="1252" spans="15:17" x14ac:dyDescent="0.25">
      <c r="O1252" s="1">
        <v>17405</v>
      </c>
      <c r="P1252" s="3" t="s">
        <v>712</v>
      </c>
      <c r="Q1252" s="1" t="s">
        <v>677</v>
      </c>
    </row>
    <row r="1253" spans="15:17" x14ac:dyDescent="0.25">
      <c r="O1253" s="1">
        <v>17406</v>
      </c>
      <c r="P1253" s="3" t="s">
        <v>712</v>
      </c>
      <c r="Q1253" s="1" t="s">
        <v>677</v>
      </c>
    </row>
    <row r="1254" spans="15:17" x14ac:dyDescent="0.25">
      <c r="O1254" s="1">
        <v>17407</v>
      </c>
      <c r="P1254" s="3" t="s">
        <v>712</v>
      </c>
      <c r="Q1254" s="1" t="s">
        <v>677</v>
      </c>
    </row>
    <row r="1255" spans="15:17" x14ac:dyDescent="0.25">
      <c r="O1255" s="1">
        <v>17408</v>
      </c>
      <c r="P1255" s="3" t="s">
        <v>712</v>
      </c>
      <c r="Q1255" s="1" t="s">
        <v>677</v>
      </c>
    </row>
    <row r="1256" spans="15:17" x14ac:dyDescent="0.25">
      <c r="O1256" s="1">
        <v>17415</v>
      </c>
      <c r="P1256" s="3" t="s">
        <v>712</v>
      </c>
      <c r="Q1256" s="1" t="s">
        <v>677</v>
      </c>
    </row>
    <row r="1257" spans="15:17" x14ac:dyDescent="0.25">
      <c r="O1257" s="1">
        <v>17501</v>
      </c>
      <c r="P1257" s="3" t="s">
        <v>717</v>
      </c>
      <c r="Q1257" s="1" t="s">
        <v>682</v>
      </c>
    </row>
    <row r="1258" spans="15:17" x14ac:dyDescent="0.25">
      <c r="O1258" s="1">
        <v>17502</v>
      </c>
      <c r="P1258" s="3" t="s">
        <v>717</v>
      </c>
      <c r="Q1258" s="1" t="s">
        <v>682</v>
      </c>
    </row>
    <row r="1259" spans="15:17" x14ac:dyDescent="0.25">
      <c r="O1259" s="1">
        <v>17503</v>
      </c>
      <c r="P1259" s="3" t="s">
        <v>717</v>
      </c>
      <c r="Q1259" s="1" t="s">
        <v>682</v>
      </c>
    </row>
    <row r="1260" spans="15:17" x14ac:dyDescent="0.25">
      <c r="O1260" s="1">
        <v>17504</v>
      </c>
      <c r="P1260" s="3" t="s">
        <v>717</v>
      </c>
      <c r="Q1260" s="1" t="s">
        <v>682</v>
      </c>
    </row>
    <row r="1261" spans="15:17" x14ac:dyDescent="0.25">
      <c r="O1261" s="1">
        <v>17505</v>
      </c>
      <c r="P1261" s="3" t="s">
        <v>717</v>
      </c>
      <c r="Q1261" s="1" t="s">
        <v>682</v>
      </c>
    </row>
    <row r="1262" spans="15:17" x14ac:dyDescent="0.25">
      <c r="O1262" s="1">
        <v>17506</v>
      </c>
      <c r="P1262" s="3" t="s">
        <v>717</v>
      </c>
      <c r="Q1262" s="1" t="s">
        <v>682</v>
      </c>
    </row>
    <row r="1263" spans="15:17" x14ac:dyDescent="0.25">
      <c r="O1263" s="1">
        <v>17507</v>
      </c>
      <c r="P1263" s="3" t="s">
        <v>717</v>
      </c>
      <c r="Q1263" s="1" t="s">
        <v>682</v>
      </c>
    </row>
    <row r="1264" spans="15:17" x14ac:dyDescent="0.25">
      <c r="O1264" s="1">
        <v>17508</v>
      </c>
      <c r="P1264" s="3" t="s">
        <v>717</v>
      </c>
      <c r="Q1264" s="1" t="s">
        <v>682</v>
      </c>
    </row>
    <row r="1265" spans="15:17" x14ac:dyDescent="0.25">
      <c r="O1265" s="1">
        <v>17509</v>
      </c>
      <c r="P1265" s="3" t="s">
        <v>717</v>
      </c>
      <c r="Q1265" s="1" t="s">
        <v>682</v>
      </c>
    </row>
    <row r="1266" spans="15:17" x14ac:dyDescent="0.25">
      <c r="O1266" s="1">
        <v>17512</v>
      </c>
      <c r="P1266" s="3" t="s">
        <v>717</v>
      </c>
      <c r="Q1266" s="1" t="s">
        <v>682</v>
      </c>
    </row>
    <row r="1267" spans="15:17" x14ac:dyDescent="0.25">
      <c r="O1267" s="1">
        <v>17516</v>
      </c>
      <c r="P1267" s="3" t="s">
        <v>717</v>
      </c>
      <c r="Q1267" s="1" t="s">
        <v>682</v>
      </c>
    </row>
    <row r="1268" spans="15:17" x14ac:dyDescent="0.25">
      <c r="O1268" s="1">
        <v>17517</v>
      </c>
      <c r="P1268" s="3" t="s">
        <v>717</v>
      </c>
      <c r="Q1268" s="1" t="s">
        <v>682</v>
      </c>
    </row>
    <row r="1269" spans="15:17" x14ac:dyDescent="0.25">
      <c r="O1269" s="1">
        <v>17518</v>
      </c>
      <c r="P1269" s="3" t="s">
        <v>717</v>
      </c>
      <c r="Q1269" s="1" t="s">
        <v>682</v>
      </c>
    </row>
    <row r="1270" spans="15:17" x14ac:dyDescent="0.25">
      <c r="O1270" s="1">
        <v>17519</v>
      </c>
      <c r="P1270" s="3" t="s">
        <v>717</v>
      </c>
      <c r="Q1270" s="1" t="s">
        <v>682</v>
      </c>
    </row>
    <row r="1271" spans="15:17" x14ac:dyDescent="0.25">
      <c r="O1271" s="1">
        <v>17520</v>
      </c>
      <c r="P1271" s="3" t="s">
        <v>717</v>
      </c>
      <c r="Q1271" s="1" t="s">
        <v>682</v>
      </c>
    </row>
    <row r="1272" spans="15:17" x14ac:dyDescent="0.25">
      <c r="O1272" s="1">
        <v>17521</v>
      </c>
      <c r="P1272" s="3" t="s">
        <v>717</v>
      </c>
      <c r="Q1272" s="1" t="s">
        <v>682</v>
      </c>
    </row>
    <row r="1273" spans="15:17" x14ac:dyDescent="0.25">
      <c r="O1273" s="1">
        <v>17522</v>
      </c>
      <c r="P1273" s="3" t="s">
        <v>717</v>
      </c>
      <c r="Q1273" s="1" t="s">
        <v>682</v>
      </c>
    </row>
    <row r="1274" spans="15:17" x14ac:dyDescent="0.25">
      <c r="O1274" s="1">
        <v>17527</v>
      </c>
      <c r="P1274" s="3" t="s">
        <v>717</v>
      </c>
      <c r="Q1274" s="1" t="s">
        <v>682</v>
      </c>
    </row>
    <row r="1275" spans="15:17" x14ac:dyDescent="0.25">
      <c r="O1275" s="1">
        <v>17528</v>
      </c>
      <c r="P1275" s="3" t="s">
        <v>717</v>
      </c>
      <c r="Q1275" s="1" t="s">
        <v>682</v>
      </c>
    </row>
    <row r="1276" spans="15:17" x14ac:dyDescent="0.25">
      <c r="O1276" s="1">
        <v>17529</v>
      </c>
      <c r="P1276" s="3" t="s">
        <v>717</v>
      </c>
      <c r="Q1276" s="1" t="s">
        <v>682</v>
      </c>
    </row>
    <row r="1277" spans="15:17" x14ac:dyDescent="0.25">
      <c r="O1277" s="1">
        <v>17532</v>
      </c>
      <c r="P1277" s="3" t="s">
        <v>717</v>
      </c>
      <c r="Q1277" s="1" t="s">
        <v>682</v>
      </c>
    </row>
    <row r="1278" spans="15:17" x14ac:dyDescent="0.25">
      <c r="O1278" s="1">
        <v>17533</v>
      </c>
      <c r="P1278" s="3" t="s">
        <v>717</v>
      </c>
      <c r="Q1278" s="1" t="s">
        <v>682</v>
      </c>
    </row>
    <row r="1279" spans="15:17" x14ac:dyDescent="0.25">
      <c r="O1279" s="1">
        <v>17534</v>
      </c>
      <c r="P1279" s="3" t="s">
        <v>717</v>
      </c>
      <c r="Q1279" s="1" t="s">
        <v>682</v>
      </c>
    </row>
    <row r="1280" spans="15:17" x14ac:dyDescent="0.25">
      <c r="O1280" s="1">
        <v>17535</v>
      </c>
      <c r="P1280" s="3" t="s">
        <v>717</v>
      </c>
      <c r="Q1280" s="1" t="s">
        <v>682</v>
      </c>
    </row>
    <row r="1281" spans="15:17" x14ac:dyDescent="0.25">
      <c r="O1281" s="1">
        <v>17536</v>
      </c>
      <c r="P1281" s="3" t="s">
        <v>717</v>
      </c>
      <c r="Q1281" s="1" t="s">
        <v>682</v>
      </c>
    </row>
    <row r="1282" spans="15:17" x14ac:dyDescent="0.25">
      <c r="O1282" s="1">
        <v>17537</v>
      </c>
      <c r="P1282" s="3" t="s">
        <v>717</v>
      </c>
      <c r="Q1282" s="1" t="s">
        <v>682</v>
      </c>
    </row>
    <row r="1283" spans="15:17" x14ac:dyDescent="0.25">
      <c r="O1283" s="1">
        <v>17538</v>
      </c>
      <c r="P1283" s="3" t="s">
        <v>717</v>
      </c>
      <c r="Q1283" s="1" t="s">
        <v>682</v>
      </c>
    </row>
    <row r="1284" spans="15:17" x14ac:dyDescent="0.25">
      <c r="O1284" s="1">
        <v>17540</v>
      </c>
      <c r="P1284" s="3" t="s">
        <v>717</v>
      </c>
      <c r="Q1284" s="1" t="s">
        <v>682</v>
      </c>
    </row>
    <row r="1285" spans="15:17" x14ac:dyDescent="0.25">
      <c r="O1285" s="1">
        <v>17543</v>
      </c>
      <c r="P1285" s="3" t="s">
        <v>717</v>
      </c>
      <c r="Q1285" s="1" t="s">
        <v>682</v>
      </c>
    </row>
    <row r="1286" spans="15:17" x14ac:dyDescent="0.25">
      <c r="O1286" s="1">
        <v>17545</v>
      </c>
      <c r="P1286" s="3" t="s">
        <v>717</v>
      </c>
      <c r="Q1286" s="1" t="s">
        <v>682</v>
      </c>
    </row>
    <row r="1287" spans="15:17" x14ac:dyDescent="0.25">
      <c r="O1287" s="1">
        <v>17547</v>
      </c>
      <c r="P1287" s="3" t="s">
        <v>717</v>
      </c>
      <c r="Q1287" s="1" t="s">
        <v>682</v>
      </c>
    </row>
    <row r="1288" spans="15:17" x14ac:dyDescent="0.25">
      <c r="O1288" s="1">
        <v>17549</v>
      </c>
      <c r="P1288" s="3" t="s">
        <v>717</v>
      </c>
      <c r="Q1288" s="1" t="s">
        <v>682</v>
      </c>
    </row>
    <row r="1289" spans="15:17" x14ac:dyDescent="0.25">
      <c r="O1289" s="1">
        <v>17550</v>
      </c>
      <c r="P1289" s="3" t="s">
        <v>717</v>
      </c>
      <c r="Q1289" s="1" t="s">
        <v>682</v>
      </c>
    </row>
    <row r="1290" spans="15:17" x14ac:dyDescent="0.25">
      <c r="O1290" s="1">
        <v>17551</v>
      </c>
      <c r="P1290" s="3" t="s">
        <v>717</v>
      </c>
      <c r="Q1290" s="1" t="s">
        <v>682</v>
      </c>
    </row>
    <row r="1291" spans="15:17" x14ac:dyDescent="0.25">
      <c r="O1291" s="1">
        <v>17552</v>
      </c>
      <c r="P1291" s="3" t="s">
        <v>717</v>
      </c>
      <c r="Q1291" s="1" t="s">
        <v>682</v>
      </c>
    </row>
    <row r="1292" spans="15:17" x14ac:dyDescent="0.25">
      <c r="O1292" s="1">
        <v>17554</v>
      </c>
      <c r="P1292" s="3" t="s">
        <v>717</v>
      </c>
      <c r="Q1292" s="1" t="s">
        <v>682</v>
      </c>
    </row>
    <row r="1293" spans="15:17" x14ac:dyDescent="0.25">
      <c r="O1293" s="1">
        <v>17555</v>
      </c>
      <c r="P1293" s="3" t="s">
        <v>717</v>
      </c>
      <c r="Q1293" s="1" t="s">
        <v>682</v>
      </c>
    </row>
    <row r="1294" spans="15:17" x14ac:dyDescent="0.25">
      <c r="O1294" s="1">
        <v>17557</v>
      </c>
      <c r="P1294" s="3" t="s">
        <v>717</v>
      </c>
      <c r="Q1294" s="1" t="s">
        <v>682</v>
      </c>
    </row>
    <row r="1295" spans="15:17" x14ac:dyDescent="0.25">
      <c r="O1295" s="1">
        <v>17560</v>
      </c>
      <c r="P1295" s="3" t="s">
        <v>717</v>
      </c>
      <c r="Q1295" s="1" t="s">
        <v>682</v>
      </c>
    </row>
    <row r="1296" spans="15:17" x14ac:dyDescent="0.25">
      <c r="O1296" s="1">
        <v>17562</v>
      </c>
      <c r="P1296" s="3" t="s">
        <v>717</v>
      </c>
      <c r="Q1296" s="1" t="s">
        <v>682</v>
      </c>
    </row>
    <row r="1297" spans="15:17" x14ac:dyDescent="0.25">
      <c r="O1297" s="1">
        <v>17563</v>
      </c>
      <c r="P1297" s="3" t="s">
        <v>717</v>
      </c>
      <c r="Q1297" s="1" t="s">
        <v>682</v>
      </c>
    </row>
    <row r="1298" spans="15:17" x14ac:dyDescent="0.25">
      <c r="O1298" s="1">
        <v>17564</v>
      </c>
      <c r="P1298" s="3" t="s">
        <v>717</v>
      </c>
      <c r="Q1298" s="1" t="s">
        <v>682</v>
      </c>
    </row>
    <row r="1299" spans="15:17" x14ac:dyDescent="0.25">
      <c r="O1299" s="1">
        <v>17565</v>
      </c>
      <c r="P1299" s="3" t="s">
        <v>717</v>
      </c>
      <c r="Q1299" s="1" t="s">
        <v>682</v>
      </c>
    </row>
    <row r="1300" spans="15:17" x14ac:dyDescent="0.25">
      <c r="O1300" s="1">
        <v>17566</v>
      </c>
      <c r="P1300" s="3" t="s">
        <v>717</v>
      </c>
      <c r="Q1300" s="1" t="s">
        <v>682</v>
      </c>
    </row>
    <row r="1301" spans="15:17" x14ac:dyDescent="0.25">
      <c r="O1301" s="1">
        <v>17567</v>
      </c>
      <c r="P1301" s="3" t="s">
        <v>717</v>
      </c>
      <c r="Q1301" s="1" t="s">
        <v>682</v>
      </c>
    </row>
    <row r="1302" spans="15:17" x14ac:dyDescent="0.25">
      <c r="O1302" s="1">
        <v>17568</v>
      </c>
      <c r="P1302" s="3" t="s">
        <v>717</v>
      </c>
      <c r="Q1302" s="1" t="s">
        <v>682</v>
      </c>
    </row>
    <row r="1303" spans="15:17" x14ac:dyDescent="0.25">
      <c r="O1303" s="1">
        <v>17569</v>
      </c>
      <c r="P1303" s="3" t="s">
        <v>717</v>
      </c>
      <c r="Q1303" s="1" t="s">
        <v>682</v>
      </c>
    </row>
    <row r="1304" spans="15:17" x14ac:dyDescent="0.25">
      <c r="O1304" s="1">
        <v>17570</v>
      </c>
      <c r="P1304" s="3" t="s">
        <v>717</v>
      </c>
      <c r="Q1304" s="1" t="s">
        <v>682</v>
      </c>
    </row>
    <row r="1305" spans="15:17" x14ac:dyDescent="0.25">
      <c r="O1305" s="1">
        <v>17572</v>
      </c>
      <c r="P1305" s="3" t="s">
        <v>717</v>
      </c>
      <c r="Q1305" s="1" t="s">
        <v>682</v>
      </c>
    </row>
    <row r="1306" spans="15:17" x14ac:dyDescent="0.25">
      <c r="O1306" s="1">
        <v>17573</v>
      </c>
      <c r="P1306" s="3" t="s">
        <v>717</v>
      </c>
      <c r="Q1306" s="1" t="s">
        <v>682</v>
      </c>
    </row>
    <row r="1307" spans="15:17" x14ac:dyDescent="0.25">
      <c r="O1307" s="1">
        <v>17575</v>
      </c>
      <c r="P1307" s="3" t="s">
        <v>717</v>
      </c>
      <c r="Q1307" s="1" t="s">
        <v>682</v>
      </c>
    </row>
    <row r="1308" spans="15:17" x14ac:dyDescent="0.25">
      <c r="O1308" s="1">
        <v>17576</v>
      </c>
      <c r="P1308" s="3" t="s">
        <v>717</v>
      </c>
      <c r="Q1308" s="1" t="s">
        <v>682</v>
      </c>
    </row>
    <row r="1309" spans="15:17" x14ac:dyDescent="0.25">
      <c r="O1309" s="1">
        <v>17577</v>
      </c>
      <c r="P1309" s="3" t="s">
        <v>717</v>
      </c>
      <c r="Q1309" s="1" t="s">
        <v>682</v>
      </c>
    </row>
    <row r="1310" spans="15:17" x14ac:dyDescent="0.25">
      <c r="O1310" s="1">
        <v>17578</v>
      </c>
      <c r="P1310" s="3" t="s">
        <v>717</v>
      </c>
      <c r="Q1310" s="1" t="s">
        <v>682</v>
      </c>
    </row>
    <row r="1311" spans="15:17" x14ac:dyDescent="0.25">
      <c r="O1311" s="1">
        <v>17579</v>
      </c>
      <c r="P1311" s="3" t="s">
        <v>717</v>
      </c>
      <c r="Q1311" s="1" t="s">
        <v>682</v>
      </c>
    </row>
    <row r="1312" spans="15:17" x14ac:dyDescent="0.25">
      <c r="O1312" s="1">
        <v>17580</v>
      </c>
      <c r="P1312" s="3" t="s">
        <v>717</v>
      </c>
      <c r="Q1312" s="1" t="s">
        <v>682</v>
      </c>
    </row>
    <row r="1313" spans="15:17" x14ac:dyDescent="0.25">
      <c r="O1313" s="1">
        <v>17581</v>
      </c>
      <c r="P1313" s="3" t="s">
        <v>717</v>
      </c>
      <c r="Q1313" s="1" t="s">
        <v>682</v>
      </c>
    </row>
    <row r="1314" spans="15:17" x14ac:dyDescent="0.25">
      <c r="O1314" s="1">
        <v>17582</v>
      </c>
      <c r="P1314" s="3" t="s">
        <v>717</v>
      </c>
      <c r="Q1314" s="1" t="s">
        <v>682</v>
      </c>
    </row>
    <row r="1315" spans="15:17" x14ac:dyDescent="0.25">
      <c r="O1315" s="1">
        <v>17583</v>
      </c>
      <c r="P1315" s="3" t="s">
        <v>717</v>
      </c>
      <c r="Q1315" s="1" t="s">
        <v>682</v>
      </c>
    </row>
    <row r="1316" spans="15:17" x14ac:dyDescent="0.25">
      <c r="O1316" s="1">
        <v>17584</v>
      </c>
      <c r="P1316" s="3" t="s">
        <v>717</v>
      </c>
      <c r="Q1316" s="1" t="s">
        <v>682</v>
      </c>
    </row>
    <row r="1317" spans="15:17" x14ac:dyDescent="0.25">
      <c r="O1317" s="1">
        <v>17585</v>
      </c>
      <c r="P1317" s="3" t="s">
        <v>717</v>
      </c>
      <c r="Q1317" s="1" t="s">
        <v>682</v>
      </c>
    </row>
    <row r="1318" spans="15:17" x14ac:dyDescent="0.25">
      <c r="O1318" s="1">
        <v>17601</v>
      </c>
      <c r="P1318" s="3" t="s">
        <v>717</v>
      </c>
      <c r="Q1318" s="1" t="s">
        <v>682</v>
      </c>
    </row>
    <row r="1319" spans="15:17" x14ac:dyDescent="0.25">
      <c r="O1319" s="1">
        <v>17602</v>
      </c>
      <c r="P1319" s="3" t="s">
        <v>717</v>
      </c>
      <c r="Q1319" s="1" t="s">
        <v>682</v>
      </c>
    </row>
    <row r="1320" spans="15:17" x14ac:dyDescent="0.25">
      <c r="O1320" s="1">
        <v>17603</v>
      </c>
      <c r="P1320" s="3" t="s">
        <v>717</v>
      </c>
      <c r="Q1320" s="1" t="s">
        <v>682</v>
      </c>
    </row>
    <row r="1321" spans="15:17" x14ac:dyDescent="0.25">
      <c r="O1321" s="1">
        <v>17604</v>
      </c>
      <c r="P1321" s="3" t="s">
        <v>717</v>
      </c>
      <c r="Q1321" s="1" t="s">
        <v>682</v>
      </c>
    </row>
    <row r="1322" spans="15:17" x14ac:dyDescent="0.25">
      <c r="O1322" s="1">
        <v>17605</v>
      </c>
      <c r="P1322" s="3" t="s">
        <v>717</v>
      </c>
      <c r="Q1322" s="1" t="s">
        <v>682</v>
      </c>
    </row>
    <row r="1323" spans="15:17" x14ac:dyDescent="0.25">
      <c r="O1323" s="1">
        <v>17606</v>
      </c>
      <c r="P1323" s="3" t="s">
        <v>717</v>
      </c>
      <c r="Q1323" s="1" t="s">
        <v>682</v>
      </c>
    </row>
    <row r="1324" spans="15:17" x14ac:dyDescent="0.25">
      <c r="O1324" s="1">
        <v>17607</v>
      </c>
      <c r="P1324" s="3" t="s">
        <v>717</v>
      </c>
      <c r="Q1324" s="1" t="s">
        <v>682</v>
      </c>
    </row>
    <row r="1325" spans="15:17" x14ac:dyDescent="0.25">
      <c r="O1325" s="1">
        <v>17608</v>
      </c>
      <c r="P1325" s="3" t="s">
        <v>717</v>
      </c>
      <c r="Q1325" s="1" t="s">
        <v>682</v>
      </c>
    </row>
    <row r="1326" spans="15:17" x14ac:dyDescent="0.25">
      <c r="O1326" s="1">
        <v>17611</v>
      </c>
      <c r="P1326" s="3" t="s">
        <v>717</v>
      </c>
      <c r="Q1326" s="1" t="s">
        <v>682</v>
      </c>
    </row>
    <row r="1327" spans="15:17" x14ac:dyDescent="0.25">
      <c r="O1327" s="1">
        <v>17622</v>
      </c>
      <c r="P1327" s="3" t="s">
        <v>717</v>
      </c>
      <c r="Q1327" s="1" t="s">
        <v>682</v>
      </c>
    </row>
    <row r="1328" spans="15:17" x14ac:dyDescent="0.25">
      <c r="O1328" s="1">
        <v>17699</v>
      </c>
      <c r="P1328" s="3" t="s">
        <v>717</v>
      </c>
      <c r="Q1328" s="1" t="s">
        <v>682</v>
      </c>
    </row>
    <row r="1329" spans="15:17" x14ac:dyDescent="0.25">
      <c r="O1329" s="1">
        <v>17701</v>
      </c>
      <c r="P1329" s="3" t="s">
        <v>715</v>
      </c>
      <c r="Q1329" s="1" t="s">
        <v>692</v>
      </c>
    </row>
    <row r="1330" spans="15:17" x14ac:dyDescent="0.25">
      <c r="O1330" s="1">
        <v>17702</v>
      </c>
      <c r="P1330" s="3" t="s">
        <v>715</v>
      </c>
      <c r="Q1330" s="1" t="s">
        <v>692</v>
      </c>
    </row>
    <row r="1331" spans="15:17" x14ac:dyDescent="0.25">
      <c r="O1331" s="1">
        <v>17703</v>
      </c>
      <c r="P1331" s="3" t="s">
        <v>715</v>
      </c>
      <c r="Q1331" s="1" t="s">
        <v>692</v>
      </c>
    </row>
    <row r="1332" spans="15:17" x14ac:dyDescent="0.25">
      <c r="O1332" s="1">
        <v>17705</v>
      </c>
      <c r="P1332" s="3" t="s">
        <v>715</v>
      </c>
      <c r="Q1332" s="1" t="s">
        <v>692</v>
      </c>
    </row>
    <row r="1333" spans="15:17" x14ac:dyDescent="0.25">
      <c r="O1333" s="1">
        <v>17720</v>
      </c>
      <c r="P1333" s="3" t="s">
        <v>715</v>
      </c>
      <c r="Q1333" s="1" t="s">
        <v>692</v>
      </c>
    </row>
    <row r="1334" spans="15:17" x14ac:dyDescent="0.25">
      <c r="O1334" s="1">
        <v>17721</v>
      </c>
      <c r="P1334" s="3" t="s">
        <v>715</v>
      </c>
      <c r="Q1334" s="1" t="s">
        <v>692</v>
      </c>
    </row>
    <row r="1335" spans="15:17" x14ac:dyDescent="0.25">
      <c r="O1335" s="1">
        <v>17722</v>
      </c>
      <c r="P1335" s="3" t="s">
        <v>715</v>
      </c>
      <c r="Q1335" s="1" t="s">
        <v>692</v>
      </c>
    </row>
    <row r="1336" spans="15:17" x14ac:dyDescent="0.25">
      <c r="O1336" s="1">
        <v>17723</v>
      </c>
      <c r="P1336" s="3" t="s">
        <v>715</v>
      </c>
      <c r="Q1336" s="1" t="s">
        <v>692</v>
      </c>
    </row>
    <row r="1337" spans="15:17" x14ac:dyDescent="0.25">
      <c r="O1337" s="1">
        <v>17724</v>
      </c>
      <c r="P1337" s="3" t="s">
        <v>716</v>
      </c>
      <c r="Q1337" s="1" t="s">
        <v>689</v>
      </c>
    </row>
    <row r="1338" spans="15:17" x14ac:dyDescent="0.25">
      <c r="O1338" s="1">
        <v>17726</v>
      </c>
      <c r="P1338" s="3" t="s">
        <v>715</v>
      </c>
      <c r="Q1338" s="1" t="s">
        <v>692</v>
      </c>
    </row>
    <row r="1339" spans="15:17" x14ac:dyDescent="0.25">
      <c r="O1339" s="1">
        <v>17727</v>
      </c>
      <c r="P1339" s="3" t="s">
        <v>715</v>
      </c>
      <c r="Q1339" s="1" t="s">
        <v>692</v>
      </c>
    </row>
    <row r="1340" spans="15:17" x14ac:dyDescent="0.25">
      <c r="O1340" s="1">
        <v>17728</v>
      </c>
      <c r="P1340" s="3" t="s">
        <v>715</v>
      </c>
      <c r="Q1340" s="1" t="s">
        <v>692</v>
      </c>
    </row>
    <row r="1341" spans="15:17" x14ac:dyDescent="0.25">
      <c r="O1341" s="1">
        <v>17729</v>
      </c>
      <c r="P1341" s="3" t="s">
        <v>715</v>
      </c>
      <c r="Q1341" s="1" t="s">
        <v>692</v>
      </c>
    </row>
    <row r="1342" spans="15:17" x14ac:dyDescent="0.25">
      <c r="O1342" s="1">
        <v>17730</v>
      </c>
      <c r="P1342" s="3" t="s">
        <v>715</v>
      </c>
      <c r="Q1342" s="1" t="s">
        <v>692</v>
      </c>
    </row>
    <row r="1343" spans="15:17" x14ac:dyDescent="0.25">
      <c r="O1343" s="1">
        <v>17731</v>
      </c>
      <c r="P1343" s="3" t="s">
        <v>716</v>
      </c>
      <c r="Q1343" s="1" t="s">
        <v>689</v>
      </c>
    </row>
    <row r="1344" spans="15:17" x14ac:dyDescent="0.25">
      <c r="O1344" s="1">
        <v>17735</v>
      </c>
      <c r="P1344" s="3" t="s">
        <v>716</v>
      </c>
      <c r="Q1344" s="1" t="s">
        <v>689</v>
      </c>
    </row>
    <row r="1345" spans="15:17" x14ac:dyDescent="0.25">
      <c r="O1345" s="1">
        <v>17737</v>
      </c>
      <c r="P1345" s="3" t="s">
        <v>715</v>
      </c>
      <c r="Q1345" s="1" t="s">
        <v>692</v>
      </c>
    </row>
    <row r="1346" spans="15:17" x14ac:dyDescent="0.25">
      <c r="O1346" s="1">
        <v>17738</v>
      </c>
      <c r="P1346" s="3" t="s">
        <v>715</v>
      </c>
      <c r="Q1346" s="1" t="s">
        <v>692</v>
      </c>
    </row>
    <row r="1347" spans="15:17" x14ac:dyDescent="0.25">
      <c r="O1347" s="1">
        <v>17739</v>
      </c>
      <c r="P1347" s="3" t="s">
        <v>715</v>
      </c>
      <c r="Q1347" s="1" t="s">
        <v>692</v>
      </c>
    </row>
    <row r="1348" spans="15:17" x14ac:dyDescent="0.25">
      <c r="O1348" s="1">
        <v>17740</v>
      </c>
      <c r="P1348" s="3" t="s">
        <v>715</v>
      </c>
      <c r="Q1348" s="1" t="s">
        <v>692</v>
      </c>
    </row>
    <row r="1349" spans="15:17" x14ac:dyDescent="0.25">
      <c r="O1349" s="1">
        <v>17742</v>
      </c>
      <c r="P1349" s="3" t="s">
        <v>715</v>
      </c>
      <c r="Q1349" s="1" t="s">
        <v>692</v>
      </c>
    </row>
    <row r="1350" spans="15:17" x14ac:dyDescent="0.25">
      <c r="O1350" s="1">
        <v>17744</v>
      </c>
      <c r="P1350" s="3" t="s">
        <v>715</v>
      </c>
      <c r="Q1350" s="1" t="s">
        <v>692</v>
      </c>
    </row>
    <row r="1351" spans="15:17" x14ac:dyDescent="0.25">
      <c r="O1351" s="1">
        <v>17745</v>
      </c>
      <c r="P1351" s="3" t="s">
        <v>715</v>
      </c>
      <c r="Q1351" s="1" t="s">
        <v>692</v>
      </c>
    </row>
    <row r="1352" spans="15:17" x14ac:dyDescent="0.25">
      <c r="O1352" s="1">
        <v>17747</v>
      </c>
      <c r="P1352" s="3" t="s">
        <v>715</v>
      </c>
      <c r="Q1352" s="1" t="s">
        <v>692</v>
      </c>
    </row>
    <row r="1353" spans="15:17" x14ac:dyDescent="0.25">
      <c r="O1353" s="1">
        <v>17748</v>
      </c>
      <c r="P1353" s="3" t="s">
        <v>715</v>
      </c>
      <c r="Q1353" s="1" t="s">
        <v>692</v>
      </c>
    </row>
    <row r="1354" spans="15:17" x14ac:dyDescent="0.25">
      <c r="O1354" s="1">
        <v>17749</v>
      </c>
      <c r="P1354" s="3" t="s">
        <v>715</v>
      </c>
      <c r="Q1354" s="1" t="s">
        <v>692</v>
      </c>
    </row>
    <row r="1355" spans="15:17" x14ac:dyDescent="0.25">
      <c r="O1355" s="1">
        <v>17750</v>
      </c>
      <c r="P1355" s="3" t="s">
        <v>715</v>
      </c>
      <c r="Q1355" s="1" t="s">
        <v>692</v>
      </c>
    </row>
    <row r="1356" spans="15:17" x14ac:dyDescent="0.25">
      <c r="O1356" s="1">
        <v>17751</v>
      </c>
      <c r="P1356" s="3" t="s">
        <v>715</v>
      </c>
      <c r="Q1356" s="1" t="s">
        <v>692</v>
      </c>
    </row>
    <row r="1357" spans="15:17" x14ac:dyDescent="0.25">
      <c r="O1357" s="1">
        <v>17752</v>
      </c>
      <c r="P1357" s="3" t="s">
        <v>715</v>
      </c>
      <c r="Q1357" s="1" t="s">
        <v>692</v>
      </c>
    </row>
    <row r="1358" spans="15:17" x14ac:dyDescent="0.25">
      <c r="O1358" s="1">
        <v>17754</v>
      </c>
      <c r="P1358" s="3" t="s">
        <v>715</v>
      </c>
      <c r="Q1358" s="1" t="s">
        <v>692</v>
      </c>
    </row>
    <row r="1359" spans="15:17" x14ac:dyDescent="0.25">
      <c r="O1359" s="1">
        <v>17756</v>
      </c>
      <c r="P1359" s="3" t="s">
        <v>715</v>
      </c>
      <c r="Q1359" s="1" t="s">
        <v>692</v>
      </c>
    </row>
    <row r="1360" spans="15:17" x14ac:dyDescent="0.25">
      <c r="O1360" s="1">
        <v>17758</v>
      </c>
      <c r="P1360" s="3" t="s">
        <v>716</v>
      </c>
      <c r="Q1360" s="1" t="s">
        <v>689</v>
      </c>
    </row>
    <row r="1361" spans="15:17" x14ac:dyDescent="0.25">
      <c r="O1361" s="1">
        <v>17759</v>
      </c>
      <c r="P1361" s="3" t="s">
        <v>715</v>
      </c>
      <c r="Q1361" s="1" t="s">
        <v>692</v>
      </c>
    </row>
    <row r="1362" spans="15:17" x14ac:dyDescent="0.25">
      <c r="O1362" s="1">
        <v>17760</v>
      </c>
      <c r="P1362" s="3" t="s">
        <v>715</v>
      </c>
      <c r="Q1362" s="1" t="s">
        <v>692</v>
      </c>
    </row>
    <row r="1363" spans="15:17" x14ac:dyDescent="0.25">
      <c r="O1363" s="1">
        <v>17762</v>
      </c>
      <c r="P1363" s="3" t="s">
        <v>715</v>
      </c>
      <c r="Q1363" s="1" t="s">
        <v>692</v>
      </c>
    </row>
    <row r="1364" spans="15:17" x14ac:dyDescent="0.25">
      <c r="O1364" s="1">
        <v>17763</v>
      </c>
      <c r="P1364" s="3" t="s">
        <v>715</v>
      </c>
      <c r="Q1364" s="1" t="s">
        <v>692</v>
      </c>
    </row>
    <row r="1365" spans="15:17" x14ac:dyDescent="0.25">
      <c r="O1365" s="1">
        <v>17764</v>
      </c>
      <c r="P1365" s="3" t="s">
        <v>715</v>
      </c>
      <c r="Q1365" s="1" t="s">
        <v>692</v>
      </c>
    </row>
    <row r="1366" spans="15:17" x14ac:dyDescent="0.25">
      <c r="O1366" s="1">
        <v>17765</v>
      </c>
      <c r="P1366" s="3" t="s">
        <v>714</v>
      </c>
      <c r="Q1366" s="1" t="s">
        <v>667</v>
      </c>
    </row>
    <row r="1367" spans="15:17" x14ac:dyDescent="0.25">
      <c r="O1367" s="1">
        <v>17767</v>
      </c>
      <c r="P1367" s="3" t="s">
        <v>715</v>
      </c>
      <c r="Q1367" s="1" t="s">
        <v>692</v>
      </c>
    </row>
    <row r="1368" spans="15:17" x14ac:dyDescent="0.25">
      <c r="O1368" s="1">
        <v>17768</v>
      </c>
      <c r="P1368" s="3" t="s">
        <v>716</v>
      </c>
      <c r="Q1368" s="1" t="s">
        <v>689</v>
      </c>
    </row>
    <row r="1369" spans="15:17" x14ac:dyDescent="0.25">
      <c r="O1369" s="1">
        <v>17769</v>
      </c>
      <c r="P1369" s="3" t="s">
        <v>715</v>
      </c>
      <c r="Q1369" s="1" t="s">
        <v>692</v>
      </c>
    </row>
    <row r="1370" spans="15:17" x14ac:dyDescent="0.25">
      <c r="O1370" s="1">
        <v>17771</v>
      </c>
      <c r="P1370" s="3" t="s">
        <v>715</v>
      </c>
      <c r="Q1370" s="1" t="s">
        <v>692</v>
      </c>
    </row>
    <row r="1371" spans="15:17" x14ac:dyDescent="0.25">
      <c r="O1371" s="1">
        <v>17772</v>
      </c>
      <c r="P1371" s="3" t="s">
        <v>715</v>
      </c>
      <c r="Q1371" s="1" t="s">
        <v>692</v>
      </c>
    </row>
    <row r="1372" spans="15:17" x14ac:dyDescent="0.25">
      <c r="O1372" s="1">
        <v>17773</v>
      </c>
      <c r="P1372" s="3" t="s">
        <v>715</v>
      </c>
      <c r="Q1372" s="1" t="s">
        <v>692</v>
      </c>
    </row>
    <row r="1373" spans="15:17" x14ac:dyDescent="0.25">
      <c r="O1373" s="1">
        <v>17774</v>
      </c>
      <c r="P1373" s="3" t="s">
        <v>715</v>
      </c>
      <c r="Q1373" s="1" t="s">
        <v>692</v>
      </c>
    </row>
    <row r="1374" spans="15:17" x14ac:dyDescent="0.25">
      <c r="O1374" s="1">
        <v>17776</v>
      </c>
      <c r="P1374" s="3" t="s">
        <v>715</v>
      </c>
      <c r="Q1374" s="1" t="s">
        <v>692</v>
      </c>
    </row>
    <row r="1375" spans="15:17" x14ac:dyDescent="0.25">
      <c r="O1375" s="1">
        <v>17777</v>
      </c>
      <c r="P1375" s="3" t="s">
        <v>715</v>
      </c>
      <c r="Q1375" s="1" t="s">
        <v>692</v>
      </c>
    </row>
    <row r="1376" spans="15:17" x14ac:dyDescent="0.25">
      <c r="O1376" s="1">
        <v>17778</v>
      </c>
      <c r="P1376" s="3" t="s">
        <v>715</v>
      </c>
      <c r="Q1376" s="1" t="s">
        <v>692</v>
      </c>
    </row>
    <row r="1377" spans="15:17" x14ac:dyDescent="0.25">
      <c r="O1377" s="1">
        <v>17779</v>
      </c>
      <c r="P1377" s="3" t="s">
        <v>715</v>
      </c>
      <c r="Q1377" s="1" t="s">
        <v>692</v>
      </c>
    </row>
    <row r="1378" spans="15:17" x14ac:dyDescent="0.25">
      <c r="O1378" s="1">
        <v>17801</v>
      </c>
      <c r="P1378" s="3" t="s">
        <v>715</v>
      </c>
      <c r="Q1378" s="1" t="s">
        <v>692</v>
      </c>
    </row>
    <row r="1379" spans="15:17" x14ac:dyDescent="0.25">
      <c r="O1379" s="1">
        <v>17810</v>
      </c>
      <c r="P1379" s="3" t="s">
        <v>715</v>
      </c>
      <c r="Q1379" s="1" t="s">
        <v>692</v>
      </c>
    </row>
    <row r="1380" spans="15:17" x14ac:dyDescent="0.25">
      <c r="O1380" s="1">
        <v>17812</v>
      </c>
      <c r="P1380" s="3" t="s">
        <v>715</v>
      </c>
      <c r="Q1380" s="1" t="s">
        <v>692</v>
      </c>
    </row>
    <row r="1381" spans="15:17" x14ac:dyDescent="0.25">
      <c r="O1381" s="1">
        <v>17813</v>
      </c>
      <c r="P1381" s="3" t="s">
        <v>715</v>
      </c>
      <c r="Q1381" s="1" t="s">
        <v>692</v>
      </c>
    </row>
    <row r="1382" spans="15:17" x14ac:dyDescent="0.25">
      <c r="O1382" s="1">
        <v>17814</v>
      </c>
      <c r="P1382" s="3" t="s">
        <v>715</v>
      </c>
      <c r="Q1382" s="1" t="s">
        <v>692</v>
      </c>
    </row>
    <row r="1383" spans="15:17" x14ac:dyDescent="0.25">
      <c r="O1383" s="1">
        <v>17815</v>
      </c>
      <c r="P1383" s="3" t="s">
        <v>715</v>
      </c>
      <c r="Q1383" s="1" t="s">
        <v>692</v>
      </c>
    </row>
    <row r="1384" spans="15:17" x14ac:dyDescent="0.25">
      <c r="O1384" s="1">
        <v>17820</v>
      </c>
      <c r="P1384" s="3" t="s">
        <v>715</v>
      </c>
      <c r="Q1384" s="1" t="s">
        <v>692</v>
      </c>
    </row>
    <row r="1385" spans="15:17" x14ac:dyDescent="0.25">
      <c r="O1385" s="1">
        <v>17821</v>
      </c>
      <c r="P1385" s="3" t="s">
        <v>715</v>
      </c>
      <c r="Q1385" s="1" t="s">
        <v>692</v>
      </c>
    </row>
    <row r="1386" spans="15:17" x14ac:dyDescent="0.25">
      <c r="O1386" s="1">
        <v>17822</v>
      </c>
      <c r="P1386" s="3" t="s">
        <v>715</v>
      </c>
      <c r="Q1386" s="1" t="s">
        <v>692</v>
      </c>
    </row>
    <row r="1387" spans="15:17" x14ac:dyDescent="0.25">
      <c r="O1387" s="1">
        <v>17823</v>
      </c>
      <c r="P1387" s="3" t="s">
        <v>715</v>
      </c>
      <c r="Q1387" s="1" t="s">
        <v>692</v>
      </c>
    </row>
    <row r="1388" spans="15:17" x14ac:dyDescent="0.25">
      <c r="O1388" s="1">
        <v>17824</v>
      </c>
      <c r="P1388" s="3" t="s">
        <v>715</v>
      </c>
      <c r="Q1388" s="1" t="s">
        <v>692</v>
      </c>
    </row>
    <row r="1389" spans="15:17" x14ac:dyDescent="0.25">
      <c r="O1389" s="1">
        <v>17827</v>
      </c>
      <c r="P1389" s="3" t="s">
        <v>715</v>
      </c>
      <c r="Q1389" s="1" t="s">
        <v>692</v>
      </c>
    </row>
    <row r="1390" spans="15:17" x14ac:dyDescent="0.25">
      <c r="O1390" s="1">
        <v>17829</v>
      </c>
      <c r="P1390" s="3" t="s">
        <v>715</v>
      </c>
      <c r="Q1390" s="1" t="s">
        <v>692</v>
      </c>
    </row>
    <row r="1391" spans="15:17" x14ac:dyDescent="0.25">
      <c r="O1391" s="1">
        <v>17830</v>
      </c>
      <c r="P1391" s="3" t="s">
        <v>715</v>
      </c>
      <c r="Q1391" s="1" t="s">
        <v>692</v>
      </c>
    </row>
    <row r="1392" spans="15:17" x14ac:dyDescent="0.25">
      <c r="O1392" s="1">
        <v>17831</v>
      </c>
      <c r="P1392" s="3" t="s">
        <v>715</v>
      </c>
      <c r="Q1392" s="1" t="s">
        <v>692</v>
      </c>
    </row>
    <row r="1393" spans="15:17" x14ac:dyDescent="0.25">
      <c r="O1393" s="1">
        <v>17832</v>
      </c>
      <c r="P1393" s="3" t="s">
        <v>715</v>
      </c>
      <c r="Q1393" s="1" t="s">
        <v>692</v>
      </c>
    </row>
    <row r="1394" spans="15:17" x14ac:dyDescent="0.25">
      <c r="O1394" s="1">
        <v>17833</v>
      </c>
      <c r="P1394" s="3" t="s">
        <v>715</v>
      </c>
      <c r="Q1394" s="1" t="s">
        <v>692</v>
      </c>
    </row>
    <row r="1395" spans="15:17" x14ac:dyDescent="0.25">
      <c r="O1395" s="1">
        <v>17834</v>
      </c>
      <c r="P1395" s="3" t="s">
        <v>715</v>
      </c>
      <c r="Q1395" s="1" t="s">
        <v>692</v>
      </c>
    </row>
    <row r="1396" spans="15:17" x14ac:dyDescent="0.25">
      <c r="O1396" s="1">
        <v>17835</v>
      </c>
      <c r="P1396" s="3" t="s">
        <v>715</v>
      </c>
      <c r="Q1396" s="1" t="s">
        <v>692</v>
      </c>
    </row>
    <row r="1397" spans="15:17" x14ac:dyDescent="0.25">
      <c r="O1397" s="1">
        <v>17836</v>
      </c>
      <c r="P1397" s="3" t="s">
        <v>715</v>
      </c>
      <c r="Q1397" s="1" t="s">
        <v>692</v>
      </c>
    </row>
    <row r="1398" spans="15:17" x14ac:dyDescent="0.25">
      <c r="O1398" s="1">
        <v>17837</v>
      </c>
      <c r="P1398" s="3" t="s">
        <v>715</v>
      </c>
      <c r="Q1398" s="1" t="s">
        <v>692</v>
      </c>
    </row>
    <row r="1399" spans="15:17" x14ac:dyDescent="0.25">
      <c r="O1399" s="1">
        <v>17839</v>
      </c>
      <c r="P1399" s="3" t="s">
        <v>715</v>
      </c>
      <c r="Q1399" s="1" t="s">
        <v>692</v>
      </c>
    </row>
    <row r="1400" spans="15:17" x14ac:dyDescent="0.25">
      <c r="O1400" s="1">
        <v>17840</v>
      </c>
      <c r="P1400" s="3" t="s">
        <v>715</v>
      </c>
      <c r="Q1400" s="1" t="s">
        <v>692</v>
      </c>
    </row>
    <row r="1401" spans="15:17" x14ac:dyDescent="0.25">
      <c r="O1401" s="1">
        <v>17841</v>
      </c>
      <c r="P1401" s="3" t="s">
        <v>715</v>
      </c>
      <c r="Q1401" s="1" t="s">
        <v>692</v>
      </c>
    </row>
    <row r="1402" spans="15:17" x14ac:dyDescent="0.25">
      <c r="O1402" s="1">
        <v>17842</v>
      </c>
      <c r="P1402" s="3" t="s">
        <v>715</v>
      </c>
      <c r="Q1402" s="1" t="s">
        <v>692</v>
      </c>
    </row>
    <row r="1403" spans="15:17" x14ac:dyDescent="0.25">
      <c r="O1403" s="1">
        <v>17843</v>
      </c>
      <c r="P1403" s="3" t="s">
        <v>715</v>
      </c>
      <c r="Q1403" s="1" t="s">
        <v>692</v>
      </c>
    </row>
    <row r="1404" spans="15:17" x14ac:dyDescent="0.25">
      <c r="O1404" s="1">
        <v>17844</v>
      </c>
      <c r="P1404" s="3" t="s">
        <v>715</v>
      </c>
      <c r="Q1404" s="1" t="s">
        <v>692</v>
      </c>
    </row>
    <row r="1405" spans="15:17" x14ac:dyDescent="0.25">
      <c r="O1405" s="1">
        <v>17845</v>
      </c>
      <c r="P1405" s="3" t="s">
        <v>715</v>
      </c>
      <c r="Q1405" s="1" t="s">
        <v>692</v>
      </c>
    </row>
    <row r="1406" spans="15:17" x14ac:dyDescent="0.25">
      <c r="O1406" s="1">
        <v>17846</v>
      </c>
      <c r="P1406" s="3" t="s">
        <v>715</v>
      </c>
      <c r="Q1406" s="1" t="s">
        <v>692</v>
      </c>
    </row>
    <row r="1407" spans="15:17" x14ac:dyDescent="0.25">
      <c r="O1407" s="1">
        <v>17847</v>
      </c>
      <c r="P1407" s="3" t="s">
        <v>715</v>
      </c>
      <c r="Q1407" s="1" t="s">
        <v>692</v>
      </c>
    </row>
    <row r="1408" spans="15:17" x14ac:dyDescent="0.25">
      <c r="O1408" s="1">
        <v>17850</v>
      </c>
      <c r="P1408" s="3" t="s">
        <v>715</v>
      </c>
      <c r="Q1408" s="1" t="s">
        <v>692</v>
      </c>
    </row>
    <row r="1409" spans="15:17" x14ac:dyDescent="0.25">
      <c r="O1409" s="1">
        <v>17851</v>
      </c>
      <c r="P1409" s="3" t="s">
        <v>715</v>
      </c>
      <c r="Q1409" s="1" t="s">
        <v>692</v>
      </c>
    </row>
    <row r="1410" spans="15:17" x14ac:dyDescent="0.25">
      <c r="O1410" s="1">
        <v>17853</v>
      </c>
      <c r="P1410" s="3" t="s">
        <v>715</v>
      </c>
      <c r="Q1410" s="1" t="s">
        <v>692</v>
      </c>
    </row>
    <row r="1411" spans="15:17" x14ac:dyDescent="0.25">
      <c r="O1411" s="1">
        <v>17855</v>
      </c>
      <c r="P1411" s="3" t="s">
        <v>715</v>
      </c>
      <c r="Q1411" s="1" t="s">
        <v>692</v>
      </c>
    </row>
    <row r="1412" spans="15:17" x14ac:dyDescent="0.25">
      <c r="O1412" s="1">
        <v>17856</v>
      </c>
      <c r="P1412" s="3" t="s">
        <v>715</v>
      </c>
      <c r="Q1412" s="1" t="s">
        <v>692</v>
      </c>
    </row>
    <row r="1413" spans="15:17" x14ac:dyDescent="0.25">
      <c r="O1413" s="1">
        <v>17857</v>
      </c>
      <c r="P1413" s="3" t="s">
        <v>715</v>
      </c>
      <c r="Q1413" s="1" t="s">
        <v>692</v>
      </c>
    </row>
    <row r="1414" spans="15:17" x14ac:dyDescent="0.25">
      <c r="O1414" s="1">
        <v>17858</v>
      </c>
      <c r="P1414" s="3" t="s">
        <v>715</v>
      </c>
      <c r="Q1414" s="1" t="s">
        <v>692</v>
      </c>
    </row>
    <row r="1415" spans="15:17" x14ac:dyDescent="0.25">
      <c r="O1415" s="1">
        <v>17859</v>
      </c>
      <c r="P1415" s="3" t="s">
        <v>715</v>
      </c>
      <c r="Q1415" s="1" t="s">
        <v>692</v>
      </c>
    </row>
    <row r="1416" spans="15:17" x14ac:dyDescent="0.25">
      <c r="O1416" s="1">
        <v>17860</v>
      </c>
      <c r="P1416" s="3" t="s">
        <v>715</v>
      </c>
      <c r="Q1416" s="1" t="s">
        <v>692</v>
      </c>
    </row>
    <row r="1417" spans="15:17" x14ac:dyDescent="0.25">
      <c r="O1417" s="1">
        <v>17861</v>
      </c>
      <c r="P1417" s="3" t="s">
        <v>715</v>
      </c>
      <c r="Q1417" s="1" t="s">
        <v>692</v>
      </c>
    </row>
    <row r="1418" spans="15:17" x14ac:dyDescent="0.25">
      <c r="O1418" s="1">
        <v>17862</v>
      </c>
      <c r="P1418" s="3" t="s">
        <v>715</v>
      </c>
      <c r="Q1418" s="1" t="s">
        <v>692</v>
      </c>
    </row>
    <row r="1419" spans="15:17" x14ac:dyDescent="0.25">
      <c r="O1419" s="1">
        <v>17864</v>
      </c>
      <c r="P1419" s="3" t="s">
        <v>715</v>
      </c>
      <c r="Q1419" s="1" t="s">
        <v>692</v>
      </c>
    </row>
    <row r="1420" spans="15:17" x14ac:dyDescent="0.25">
      <c r="O1420" s="1">
        <v>17865</v>
      </c>
      <c r="P1420" s="3" t="s">
        <v>715</v>
      </c>
      <c r="Q1420" s="1" t="s">
        <v>692</v>
      </c>
    </row>
    <row r="1421" spans="15:17" x14ac:dyDescent="0.25">
      <c r="O1421" s="1">
        <v>17866</v>
      </c>
      <c r="P1421" s="3" t="s">
        <v>715</v>
      </c>
      <c r="Q1421" s="1" t="s">
        <v>692</v>
      </c>
    </row>
    <row r="1422" spans="15:17" x14ac:dyDescent="0.25">
      <c r="O1422" s="1">
        <v>17867</v>
      </c>
      <c r="P1422" s="3" t="s">
        <v>715</v>
      </c>
      <c r="Q1422" s="1" t="s">
        <v>692</v>
      </c>
    </row>
    <row r="1423" spans="15:17" x14ac:dyDescent="0.25">
      <c r="O1423" s="1">
        <v>17868</v>
      </c>
      <c r="P1423" s="3" t="s">
        <v>715</v>
      </c>
      <c r="Q1423" s="1" t="s">
        <v>692</v>
      </c>
    </row>
    <row r="1424" spans="15:17" x14ac:dyDescent="0.25">
      <c r="O1424" s="1">
        <v>17870</v>
      </c>
      <c r="P1424" s="3" t="s">
        <v>715</v>
      </c>
      <c r="Q1424" s="1" t="s">
        <v>692</v>
      </c>
    </row>
    <row r="1425" spans="15:17" x14ac:dyDescent="0.25">
      <c r="O1425" s="1">
        <v>17872</v>
      </c>
      <c r="P1425" s="3" t="s">
        <v>715</v>
      </c>
      <c r="Q1425" s="1" t="s">
        <v>692</v>
      </c>
    </row>
    <row r="1426" spans="15:17" x14ac:dyDescent="0.25">
      <c r="O1426" s="1">
        <v>17876</v>
      </c>
      <c r="P1426" s="3" t="s">
        <v>715</v>
      </c>
      <c r="Q1426" s="1" t="s">
        <v>692</v>
      </c>
    </row>
    <row r="1427" spans="15:17" x14ac:dyDescent="0.25">
      <c r="O1427" s="1">
        <v>17877</v>
      </c>
      <c r="P1427" s="3" t="s">
        <v>715</v>
      </c>
      <c r="Q1427" s="1" t="s">
        <v>692</v>
      </c>
    </row>
    <row r="1428" spans="15:17" x14ac:dyDescent="0.25">
      <c r="O1428" s="1">
        <v>17878</v>
      </c>
      <c r="P1428" s="3" t="s">
        <v>715</v>
      </c>
      <c r="Q1428" s="1" t="s">
        <v>692</v>
      </c>
    </row>
    <row r="1429" spans="15:17" x14ac:dyDescent="0.25">
      <c r="O1429" s="1">
        <v>17880</v>
      </c>
      <c r="P1429" s="3" t="s">
        <v>715</v>
      </c>
      <c r="Q1429" s="1" t="s">
        <v>692</v>
      </c>
    </row>
    <row r="1430" spans="15:17" x14ac:dyDescent="0.25">
      <c r="O1430" s="1">
        <v>17881</v>
      </c>
      <c r="P1430" s="3" t="s">
        <v>715</v>
      </c>
      <c r="Q1430" s="1" t="s">
        <v>692</v>
      </c>
    </row>
    <row r="1431" spans="15:17" x14ac:dyDescent="0.25">
      <c r="O1431" s="1">
        <v>17882</v>
      </c>
      <c r="P1431" s="3" t="s">
        <v>715</v>
      </c>
      <c r="Q1431" s="1" t="s">
        <v>692</v>
      </c>
    </row>
    <row r="1432" spans="15:17" x14ac:dyDescent="0.25">
      <c r="O1432" s="1">
        <v>17883</v>
      </c>
      <c r="P1432" s="3" t="s">
        <v>715</v>
      </c>
      <c r="Q1432" s="1" t="s">
        <v>692</v>
      </c>
    </row>
    <row r="1433" spans="15:17" x14ac:dyDescent="0.25">
      <c r="O1433" s="1">
        <v>17884</v>
      </c>
      <c r="P1433" s="3" t="s">
        <v>715</v>
      </c>
      <c r="Q1433" s="1" t="s">
        <v>692</v>
      </c>
    </row>
    <row r="1434" spans="15:17" x14ac:dyDescent="0.25">
      <c r="O1434" s="1">
        <v>17885</v>
      </c>
      <c r="P1434" s="3" t="s">
        <v>715</v>
      </c>
      <c r="Q1434" s="1" t="s">
        <v>692</v>
      </c>
    </row>
    <row r="1435" spans="15:17" x14ac:dyDescent="0.25">
      <c r="O1435" s="1">
        <v>17886</v>
      </c>
      <c r="P1435" s="3" t="s">
        <v>715</v>
      </c>
      <c r="Q1435" s="1" t="s">
        <v>692</v>
      </c>
    </row>
    <row r="1436" spans="15:17" x14ac:dyDescent="0.25">
      <c r="O1436" s="1">
        <v>17887</v>
      </c>
      <c r="P1436" s="3" t="s">
        <v>715</v>
      </c>
      <c r="Q1436" s="1" t="s">
        <v>692</v>
      </c>
    </row>
    <row r="1437" spans="15:17" x14ac:dyDescent="0.25">
      <c r="O1437" s="1">
        <v>17888</v>
      </c>
      <c r="P1437" s="3" t="s">
        <v>715</v>
      </c>
      <c r="Q1437" s="1" t="s">
        <v>692</v>
      </c>
    </row>
    <row r="1438" spans="15:17" x14ac:dyDescent="0.25">
      <c r="O1438" s="1">
        <v>17889</v>
      </c>
      <c r="P1438" s="3" t="s">
        <v>715</v>
      </c>
      <c r="Q1438" s="1" t="s">
        <v>692</v>
      </c>
    </row>
    <row r="1439" spans="15:17" x14ac:dyDescent="0.25">
      <c r="O1439" s="1">
        <v>17901</v>
      </c>
      <c r="P1439" s="3" t="s">
        <v>718</v>
      </c>
      <c r="Q1439" s="1" t="s">
        <v>652</v>
      </c>
    </row>
    <row r="1440" spans="15:17" x14ac:dyDescent="0.25">
      <c r="O1440" s="1">
        <v>17920</v>
      </c>
      <c r="P1440" s="3" t="s">
        <v>715</v>
      </c>
      <c r="Q1440" s="1" t="s">
        <v>692</v>
      </c>
    </row>
    <row r="1441" spans="15:17" x14ac:dyDescent="0.25">
      <c r="O1441" s="1">
        <v>17921</v>
      </c>
      <c r="P1441" s="3" t="s">
        <v>718</v>
      </c>
      <c r="Q1441" s="1" t="s">
        <v>652</v>
      </c>
    </row>
    <row r="1442" spans="15:17" x14ac:dyDescent="0.25">
      <c r="O1442" s="1">
        <v>17922</v>
      </c>
      <c r="P1442" s="3" t="s">
        <v>718</v>
      </c>
      <c r="Q1442" s="1" t="s">
        <v>652</v>
      </c>
    </row>
    <row r="1443" spans="15:17" x14ac:dyDescent="0.25">
      <c r="O1443" s="1">
        <v>17923</v>
      </c>
      <c r="P1443" s="3" t="s">
        <v>718</v>
      </c>
      <c r="Q1443" s="1" t="s">
        <v>652</v>
      </c>
    </row>
    <row r="1444" spans="15:17" x14ac:dyDescent="0.25">
      <c r="O1444" s="1">
        <v>17925</v>
      </c>
      <c r="P1444" s="3" t="s">
        <v>718</v>
      </c>
      <c r="Q1444" s="1" t="s">
        <v>652</v>
      </c>
    </row>
    <row r="1445" spans="15:17" x14ac:dyDescent="0.25">
      <c r="O1445" s="1">
        <v>17929</v>
      </c>
      <c r="P1445" s="3" t="s">
        <v>718</v>
      </c>
      <c r="Q1445" s="1" t="s">
        <v>652</v>
      </c>
    </row>
    <row r="1446" spans="15:17" x14ac:dyDescent="0.25">
      <c r="O1446" s="1">
        <v>17930</v>
      </c>
      <c r="P1446" s="3" t="s">
        <v>718</v>
      </c>
      <c r="Q1446" s="1" t="s">
        <v>652</v>
      </c>
    </row>
    <row r="1447" spans="15:17" x14ac:dyDescent="0.25">
      <c r="O1447" s="1">
        <v>17931</v>
      </c>
      <c r="P1447" s="3" t="s">
        <v>718</v>
      </c>
      <c r="Q1447" s="1" t="s">
        <v>652</v>
      </c>
    </row>
    <row r="1448" spans="15:17" x14ac:dyDescent="0.25">
      <c r="O1448" s="1">
        <v>17932</v>
      </c>
      <c r="P1448" s="3" t="s">
        <v>718</v>
      </c>
      <c r="Q1448" s="1" t="s">
        <v>652</v>
      </c>
    </row>
    <row r="1449" spans="15:17" x14ac:dyDescent="0.25">
      <c r="O1449" s="1">
        <v>17933</v>
      </c>
      <c r="P1449" s="3" t="s">
        <v>718</v>
      </c>
      <c r="Q1449" s="1" t="s">
        <v>652</v>
      </c>
    </row>
    <row r="1450" spans="15:17" x14ac:dyDescent="0.25">
      <c r="O1450" s="1">
        <v>17934</v>
      </c>
      <c r="P1450" s="3" t="s">
        <v>718</v>
      </c>
      <c r="Q1450" s="1" t="s">
        <v>652</v>
      </c>
    </row>
    <row r="1451" spans="15:17" x14ac:dyDescent="0.25">
      <c r="O1451" s="1">
        <v>17935</v>
      </c>
      <c r="P1451" s="3" t="s">
        <v>718</v>
      </c>
      <c r="Q1451" s="1" t="s">
        <v>652</v>
      </c>
    </row>
    <row r="1452" spans="15:17" x14ac:dyDescent="0.25">
      <c r="O1452" s="1">
        <v>17936</v>
      </c>
      <c r="P1452" s="3" t="s">
        <v>718</v>
      </c>
      <c r="Q1452" s="1" t="s">
        <v>652</v>
      </c>
    </row>
    <row r="1453" spans="15:17" x14ac:dyDescent="0.25">
      <c r="O1453" s="1">
        <v>17938</v>
      </c>
      <c r="P1453" s="3" t="s">
        <v>718</v>
      </c>
      <c r="Q1453" s="1" t="s">
        <v>652</v>
      </c>
    </row>
    <row r="1454" spans="15:17" x14ac:dyDescent="0.25">
      <c r="O1454" s="1">
        <v>17941</v>
      </c>
      <c r="P1454" s="3" t="s">
        <v>718</v>
      </c>
      <c r="Q1454" s="1" t="s">
        <v>652</v>
      </c>
    </row>
    <row r="1455" spans="15:17" x14ac:dyDescent="0.25">
      <c r="O1455" s="1">
        <v>17942</v>
      </c>
      <c r="P1455" s="3" t="s">
        <v>718</v>
      </c>
      <c r="Q1455" s="1" t="s">
        <v>652</v>
      </c>
    </row>
    <row r="1456" spans="15:17" x14ac:dyDescent="0.25">
      <c r="O1456" s="1">
        <v>17943</v>
      </c>
      <c r="P1456" s="3" t="s">
        <v>718</v>
      </c>
      <c r="Q1456" s="1" t="s">
        <v>652</v>
      </c>
    </row>
    <row r="1457" spans="15:17" x14ac:dyDescent="0.25">
      <c r="O1457" s="1">
        <v>17944</v>
      </c>
      <c r="P1457" s="3" t="s">
        <v>718</v>
      </c>
      <c r="Q1457" s="1" t="s">
        <v>652</v>
      </c>
    </row>
    <row r="1458" spans="15:17" x14ac:dyDescent="0.25">
      <c r="O1458" s="1">
        <v>17945</v>
      </c>
      <c r="P1458" s="3" t="s">
        <v>715</v>
      </c>
      <c r="Q1458" s="1" t="s">
        <v>692</v>
      </c>
    </row>
    <row r="1459" spans="15:17" x14ac:dyDescent="0.25">
      <c r="O1459" s="1">
        <v>17946</v>
      </c>
      <c r="P1459" s="3" t="s">
        <v>718</v>
      </c>
      <c r="Q1459" s="1" t="s">
        <v>652</v>
      </c>
    </row>
    <row r="1460" spans="15:17" x14ac:dyDescent="0.25">
      <c r="O1460" s="1">
        <v>17948</v>
      </c>
      <c r="P1460" s="3" t="s">
        <v>718</v>
      </c>
      <c r="Q1460" s="1" t="s">
        <v>652</v>
      </c>
    </row>
    <row r="1461" spans="15:17" x14ac:dyDescent="0.25">
      <c r="O1461" s="1">
        <v>17949</v>
      </c>
      <c r="P1461" s="3" t="s">
        <v>718</v>
      </c>
      <c r="Q1461" s="1" t="s">
        <v>652</v>
      </c>
    </row>
    <row r="1462" spans="15:17" x14ac:dyDescent="0.25">
      <c r="O1462" s="1">
        <v>17951</v>
      </c>
      <c r="P1462" s="3" t="s">
        <v>718</v>
      </c>
      <c r="Q1462" s="1" t="s">
        <v>652</v>
      </c>
    </row>
    <row r="1463" spans="15:17" x14ac:dyDescent="0.25">
      <c r="O1463" s="1">
        <v>17952</v>
      </c>
      <c r="P1463" s="3" t="s">
        <v>718</v>
      </c>
      <c r="Q1463" s="1" t="s">
        <v>652</v>
      </c>
    </row>
    <row r="1464" spans="15:17" x14ac:dyDescent="0.25">
      <c r="O1464" s="1">
        <v>17953</v>
      </c>
      <c r="P1464" s="3" t="s">
        <v>718</v>
      </c>
      <c r="Q1464" s="1" t="s">
        <v>652</v>
      </c>
    </row>
    <row r="1465" spans="15:17" x14ac:dyDescent="0.25">
      <c r="O1465" s="1">
        <v>17954</v>
      </c>
      <c r="P1465" s="3" t="s">
        <v>718</v>
      </c>
      <c r="Q1465" s="1" t="s">
        <v>652</v>
      </c>
    </row>
    <row r="1466" spans="15:17" x14ac:dyDescent="0.25">
      <c r="O1466" s="1">
        <v>17957</v>
      </c>
      <c r="P1466" s="3" t="s">
        <v>718</v>
      </c>
      <c r="Q1466" s="1" t="s">
        <v>652</v>
      </c>
    </row>
    <row r="1467" spans="15:17" x14ac:dyDescent="0.25">
      <c r="O1467" s="1">
        <v>17959</v>
      </c>
      <c r="P1467" s="3" t="s">
        <v>718</v>
      </c>
      <c r="Q1467" s="1" t="s">
        <v>652</v>
      </c>
    </row>
    <row r="1468" spans="15:17" x14ac:dyDescent="0.25">
      <c r="O1468" s="1">
        <v>17960</v>
      </c>
      <c r="P1468" s="3" t="s">
        <v>718</v>
      </c>
      <c r="Q1468" s="1" t="s">
        <v>652</v>
      </c>
    </row>
    <row r="1469" spans="15:17" x14ac:dyDescent="0.25">
      <c r="O1469" s="1">
        <v>17961</v>
      </c>
      <c r="P1469" s="3" t="s">
        <v>718</v>
      </c>
      <c r="Q1469" s="1" t="s">
        <v>652</v>
      </c>
    </row>
    <row r="1470" spans="15:17" x14ac:dyDescent="0.25">
      <c r="O1470" s="1">
        <v>17963</v>
      </c>
      <c r="P1470" s="3" t="s">
        <v>718</v>
      </c>
      <c r="Q1470" s="1" t="s">
        <v>652</v>
      </c>
    </row>
    <row r="1471" spans="15:17" x14ac:dyDescent="0.25">
      <c r="O1471" s="1">
        <v>17964</v>
      </c>
      <c r="P1471" s="3" t="s">
        <v>718</v>
      </c>
      <c r="Q1471" s="1" t="s">
        <v>652</v>
      </c>
    </row>
    <row r="1472" spans="15:17" x14ac:dyDescent="0.25">
      <c r="O1472" s="1">
        <v>17965</v>
      </c>
      <c r="P1472" s="3" t="s">
        <v>718</v>
      </c>
      <c r="Q1472" s="1" t="s">
        <v>652</v>
      </c>
    </row>
    <row r="1473" spans="15:17" x14ac:dyDescent="0.25">
      <c r="O1473" s="1">
        <v>17966</v>
      </c>
      <c r="P1473" s="3" t="s">
        <v>718</v>
      </c>
      <c r="Q1473" s="1" t="s">
        <v>652</v>
      </c>
    </row>
    <row r="1474" spans="15:17" x14ac:dyDescent="0.25">
      <c r="O1474" s="1">
        <v>17967</v>
      </c>
      <c r="P1474" s="3" t="s">
        <v>718</v>
      </c>
      <c r="Q1474" s="1" t="s">
        <v>652</v>
      </c>
    </row>
    <row r="1475" spans="15:17" x14ac:dyDescent="0.25">
      <c r="O1475" s="1">
        <v>17968</v>
      </c>
      <c r="P1475" s="3" t="s">
        <v>718</v>
      </c>
      <c r="Q1475" s="1" t="s">
        <v>652</v>
      </c>
    </row>
    <row r="1476" spans="15:17" x14ac:dyDescent="0.25">
      <c r="O1476" s="1">
        <v>17970</v>
      </c>
      <c r="P1476" s="3" t="s">
        <v>718</v>
      </c>
      <c r="Q1476" s="1" t="s">
        <v>652</v>
      </c>
    </row>
    <row r="1477" spans="15:17" x14ac:dyDescent="0.25">
      <c r="O1477" s="1">
        <v>17972</v>
      </c>
      <c r="P1477" s="3" t="s">
        <v>718</v>
      </c>
      <c r="Q1477" s="1" t="s">
        <v>652</v>
      </c>
    </row>
    <row r="1478" spans="15:17" x14ac:dyDescent="0.25">
      <c r="O1478" s="1">
        <v>17974</v>
      </c>
      <c r="P1478" s="3" t="s">
        <v>718</v>
      </c>
      <c r="Q1478" s="1" t="s">
        <v>652</v>
      </c>
    </row>
    <row r="1479" spans="15:17" x14ac:dyDescent="0.25">
      <c r="O1479" s="1">
        <v>17976</v>
      </c>
      <c r="P1479" s="3" t="s">
        <v>718</v>
      </c>
      <c r="Q1479" s="1" t="s">
        <v>652</v>
      </c>
    </row>
    <row r="1480" spans="15:17" x14ac:dyDescent="0.25">
      <c r="O1480" s="1">
        <v>17978</v>
      </c>
      <c r="P1480" s="3" t="s">
        <v>718</v>
      </c>
      <c r="Q1480" s="1" t="s">
        <v>652</v>
      </c>
    </row>
    <row r="1481" spans="15:17" x14ac:dyDescent="0.25">
      <c r="O1481" s="1">
        <v>17979</v>
      </c>
      <c r="P1481" s="3" t="s">
        <v>718</v>
      </c>
      <c r="Q1481" s="1" t="s">
        <v>652</v>
      </c>
    </row>
    <row r="1482" spans="15:17" x14ac:dyDescent="0.25">
      <c r="O1482" s="1">
        <v>17980</v>
      </c>
      <c r="P1482" s="3" t="s">
        <v>718</v>
      </c>
      <c r="Q1482" s="1" t="s">
        <v>652</v>
      </c>
    </row>
    <row r="1483" spans="15:17" x14ac:dyDescent="0.25">
      <c r="O1483" s="1">
        <v>17981</v>
      </c>
      <c r="P1483" s="3" t="s">
        <v>718</v>
      </c>
      <c r="Q1483" s="1" t="s">
        <v>652</v>
      </c>
    </row>
    <row r="1484" spans="15:17" x14ac:dyDescent="0.25">
      <c r="O1484" s="1">
        <v>17982</v>
      </c>
      <c r="P1484" s="3" t="s">
        <v>718</v>
      </c>
      <c r="Q1484" s="1" t="s">
        <v>652</v>
      </c>
    </row>
    <row r="1485" spans="15:17" x14ac:dyDescent="0.25">
      <c r="O1485" s="1">
        <v>17983</v>
      </c>
      <c r="P1485" s="3" t="s">
        <v>718</v>
      </c>
      <c r="Q1485" s="1" t="s">
        <v>652</v>
      </c>
    </row>
    <row r="1486" spans="15:17" x14ac:dyDescent="0.25">
      <c r="O1486" s="1">
        <v>17985</v>
      </c>
      <c r="P1486" s="3" t="s">
        <v>718</v>
      </c>
      <c r="Q1486" s="1" t="s">
        <v>652</v>
      </c>
    </row>
    <row r="1487" spans="15:17" x14ac:dyDescent="0.25">
      <c r="O1487" s="1">
        <v>18001</v>
      </c>
      <c r="P1487" s="3" t="s">
        <v>718</v>
      </c>
      <c r="Q1487" s="1" t="s">
        <v>652</v>
      </c>
    </row>
    <row r="1488" spans="15:17" x14ac:dyDescent="0.25">
      <c r="O1488" s="1">
        <v>18002</v>
      </c>
      <c r="P1488" s="3" t="s">
        <v>718</v>
      </c>
      <c r="Q1488" s="1" t="s">
        <v>652</v>
      </c>
    </row>
    <row r="1489" spans="15:17" x14ac:dyDescent="0.25">
      <c r="O1489" s="1">
        <v>18003</v>
      </c>
      <c r="P1489" s="3" t="s">
        <v>718</v>
      </c>
      <c r="Q1489" s="1" t="s">
        <v>652</v>
      </c>
    </row>
    <row r="1490" spans="15:17" x14ac:dyDescent="0.25">
      <c r="O1490" s="1">
        <v>18010</v>
      </c>
      <c r="P1490" s="3" t="s">
        <v>718</v>
      </c>
      <c r="Q1490" s="1" t="s">
        <v>652</v>
      </c>
    </row>
    <row r="1491" spans="15:17" x14ac:dyDescent="0.25">
      <c r="O1491" s="1">
        <v>18011</v>
      </c>
      <c r="P1491" s="3" t="s">
        <v>718</v>
      </c>
      <c r="Q1491" s="1" t="s">
        <v>652</v>
      </c>
    </row>
    <row r="1492" spans="15:17" x14ac:dyDescent="0.25">
      <c r="O1492" s="1">
        <v>18012</v>
      </c>
      <c r="P1492" s="3" t="s">
        <v>718</v>
      </c>
      <c r="Q1492" s="1" t="s">
        <v>652</v>
      </c>
    </row>
    <row r="1493" spans="15:17" x14ac:dyDescent="0.25">
      <c r="O1493" s="1">
        <v>18013</v>
      </c>
      <c r="P1493" s="3" t="s">
        <v>718</v>
      </c>
      <c r="Q1493" s="1" t="s">
        <v>652</v>
      </c>
    </row>
    <row r="1494" spans="15:17" x14ac:dyDescent="0.25">
      <c r="O1494" s="1">
        <v>18014</v>
      </c>
      <c r="P1494" s="3" t="s">
        <v>718</v>
      </c>
      <c r="Q1494" s="1" t="s">
        <v>652</v>
      </c>
    </row>
    <row r="1495" spans="15:17" x14ac:dyDescent="0.25">
      <c r="O1495" s="1">
        <v>18015</v>
      </c>
      <c r="P1495" s="3" t="s">
        <v>718</v>
      </c>
      <c r="Q1495" s="1" t="s">
        <v>652</v>
      </c>
    </row>
    <row r="1496" spans="15:17" x14ac:dyDescent="0.25">
      <c r="O1496" s="1">
        <v>18016</v>
      </c>
      <c r="P1496" s="3" t="s">
        <v>718</v>
      </c>
      <c r="Q1496" s="1" t="s">
        <v>652</v>
      </c>
    </row>
    <row r="1497" spans="15:17" x14ac:dyDescent="0.25">
      <c r="O1497" s="1">
        <v>18017</v>
      </c>
      <c r="P1497" s="3" t="s">
        <v>718</v>
      </c>
      <c r="Q1497" s="1" t="s">
        <v>652</v>
      </c>
    </row>
    <row r="1498" spans="15:17" x14ac:dyDescent="0.25">
      <c r="O1498" s="1">
        <v>18018</v>
      </c>
      <c r="P1498" s="3" t="s">
        <v>718</v>
      </c>
      <c r="Q1498" s="1" t="s">
        <v>652</v>
      </c>
    </row>
    <row r="1499" spans="15:17" x14ac:dyDescent="0.25">
      <c r="O1499" s="1">
        <v>18020</v>
      </c>
      <c r="P1499" s="3" t="s">
        <v>718</v>
      </c>
      <c r="Q1499" s="1" t="s">
        <v>652</v>
      </c>
    </row>
    <row r="1500" spans="15:17" x14ac:dyDescent="0.25">
      <c r="O1500" s="1">
        <v>18025</v>
      </c>
      <c r="P1500" s="3" t="s">
        <v>718</v>
      </c>
      <c r="Q1500" s="1" t="s">
        <v>652</v>
      </c>
    </row>
    <row r="1501" spans="15:17" x14ac:dyDescent="0.25">
      <c r="O1501" s="1">
        <v>18030</v>
      </c>
      <c r="P1501" s="3" t="s">
        <v>718</v>
      </c>
      <c r="Q1501" s="1" t="s">
        <v>652</v>
      </c>
    </row>
    <row r="1502" spans="15:17" x14ac:dyDescent="0.25">
      <c r="O1502" s="1">
        <v>18031</v>
      </c>
      <c r="P1502" s="3" t="s">
        <v>718</v>
      </c>
      <c r="Q1502" s="1" t="s">
        <v>652</v>
      </c>
    </row>
    <row r="1503" spans="15:17" x14ac:dyDescent="0.25">
      <c r="O1503" s="1">
        <v>18032</v>
      </c>
      <c r="P1503" s="3" t="s">
        <v>718</v>
      </c>
      <c r="Q1503" s="1" t="s">
        <v>652</v>
      </c>
    </row>
    <row r="1504" spans="15:17" x14ac:dyDescent="0.25">
      <c r="O1504" s="1">
        <v>18034</v>
      </c>
      <c r="P1504" s="3" t="s">
        <v>718</v>
      </c>
      <c r="Q1504" s="1" t="s">
        <v>652</v>
      </c>
    </row>
    <row r="1505" spans="15:17" x14ac:dyDescent="0.25">
      <c r="O1505" s="1">
        <v>18035</v>
      </c>
      <c r="P1505" s="3" t="s">
        <v>718</v>
      </c>
      <c r="Q1505" s="1" t="s">
        <v>652</v>
      </c>
    </row>
    <row r="1506" spans="15:17" x14ac:dyDescent="0.25">
      <c r="O1506" s="1">
        <v>18036</v>
      </c>
      <c r="P1506" s="3" t="s">
        <v>718</v>
      </c>
      <c r="Q1506" s="1" t="s">
        <v>652</v>
      </c>
    </row>
    <row r="1507" spans="15:17" x14ac:dyDescent="0.25">
      <c r="O1507" s="1">
        <v>18037</v>
      </c>
      <c r="P1507" s="3" t="s">
        <v>718</v>
      </c>
      <c r="Q1507" s="1" t="s">
        <v>652</v>
      </c>
    </row>
    <row r="1508" spans="15:17" x14ac:dyDescent="0.25">
      <c r="O1508" s="1">
        <v>18038</v>
      </c>
      <c r="P1508" s="3" t="s">
        <v>718</v>
      </c>
      <c r="Q1508" s="1" t="s">
        <v>652</v>
      </c>
    </row>
    <row r="1509" spans="15:17" x14ac:dyDescent="0.25">
      <c r="O1509" s="1">
        <v>18039</v>
      </c>
      <c r="P1509" s="3" t="s">
        <v>717</v>
      </c>
      <c r="Q1509" s="1" t="s">
        <v>682</v>
      </c>
    </row>
    <row r="1510" spans="15:17" x14ac:dyDescent="0.25">
      <c r="O1510" s="1">
        <v>18040</v>
      </c>
      <c r="P1510" s="3" t="s">
        <v>718</v>
      </c>
      <c r="Q1510" s="1" t="s">
        <v>652</v>
      </c>
    </row>
    <row r="1511" spans="15:17" x14ac:dyDescent="0.25">
      <c r="O1511" s="1">
        <v>18041</v>
      </c>
      <c r="P1511" s="3" t="s">
        <v>717</v>
      </c>
      <c r="Q1511" s="1" t="s">
        <v>682</v>
      </c>
    </row>
    <row r="1512" spans="15:17" x14ac:dyDescent="0.25">
      <c r="O1512" s="1">
        <v>18042</v>
      </c>
      <c r="P1512" s="3" t="s">
        <v>718</v>
      </c>
      <c r="Q1512" s="1" t="s">
        <v>652</v>
      </c>
    </row>
    <row r="1513" spans="15:17" x14ac:dyDescent="0.25">
      <c r="O1513" s="1">
        <v>18043</v>
      </c>
      <c r="P1513" s="3" t="s">
        <v>718</v>
      </c>
      <c r="Q1513" s="1" t="s">
        <v>652</v>
      </c>
    </row>
    <row r="1514" spans="15:17" x14ac:dyDescent="0.25">
      <c r="O1514" s="1">
        <v>18044</v>
      </c>
      <c r="P1514" s="3" t="s">
        <v>718</v>
      </c>
      <c r="Q1514" s="1" t="s">
        <v>652</v>
      </c>
    </row>
    <row r="1515" spans="15:17" x14ac:dyDescent="0.25">
      <c r="O1515" s="1">
        <v>18045</v>
      </c>
      <c r="P1515" s="3" t="s">
        <v>718</v>
      </c>
      <c r="Q1515" s="1" t="s">
        <v>652</v>
      </c>
    </row>
    <row r="1516" spans="15:17" x14ac:dyDescent="0.25">
      <c r="O1516" s="1">
        <v>18046</v>
      </c>
      <c r="P1516" s="3" t="s">
        <v>718</v>
      </c>
      <c r="Q1516" s="1" t="s">
        <v>652</v>
      </c>
    </row>
    <row r="1517" spans="15:17" x14ac:dyDescent="0.25">
      <c r="O1517" s="1">
        <v>18049</v>
      </c>
      <c r="P1517" s="3" t="s">
        <v>718</v>
      </c>
      <c r="Q1517" s="1" t="s">
        <v>652</v>
      </c>
    </row>
    <row r="1518" spans="15:17" x14ac:dyDescent="0.25">
      <c r="O1518" s="1">
        <v>18050</v>
      </c>
      <c r="P1518" s="3" t="s">
        <v>718</v>
      </c>
      <c r="Q1518" s="1" t="s">
        <v>652</v>
      </c>
    </row>
    <row r="1519" spans="15:17" x14ac:dyDescent="0.25">
      <c r="O1519" s="1">
        <v>18051</v>
      </c>
      <c r="P1519" s="3" t="s">
        <v>718</v>
      </c>
      <c r="Q1519" s="1" t="s">
        <v>652</v>
      </c>
    </row>
    <row r="1520" spans="15:17" x14ac:dyDescent="0.25">
      <c r="O1520" s="1">
        <v>18052</v>
      </c>
      <c r="P1520" s="3" t="s">
        <v>718</v>
      </c>
      <c r="Q1520" s="1" t="s">
        <v>652</v>
      </c>
    </row>
    <row r="1521" spans="15:17" x14ac:dyDescent="0.25">
      <c r="O1521" s="1">
        <v>18053</v>
      </c>
      <c r="P1521" s="3" t="s">
        <v>718</v>
      </c>
      <c r="Q1521" s="1" t="s">
        <v>652</v>
      </c>
    </row>
    <row r="1522" spans="15:17" x14ac:dyDescent="0.25">
      <c r="O1522" s="1">
        <v>18054</v>
      </c>
      <c r="P1522" s="3" t="s">
        <v>717</v>
      </c>
      <c r="Q1522" s="1" t="s">
        <v>682</v>
      </c>
    </row>
    <row r="1523" spans="15:17" x14ac:dyDescent="0.25">
      <c r="O1523" s="1">
        <v>18055</v>
      </c>
      <c r="P1523" s="3" t="s">
        <v>718</v>
      </c>
      <c r="Q1523" s="1" t="s">
        <v>652</v>
      </c>
    </row>
    <row r="1524" spans="15:17" x14ac:dyDescent="0.25">
      <c r="O1524" s="1">
        <v>18056</v>
      </c>
      <c r="P1524" s="3" t="s">
        <v>717</v>
      </c>
      <c r="Q1524" s="1" t="s">
        <v>682</v>
      </c>
    </row>
    <row r="1525" spans="15:17" x14ac:dyDescent="0.25">
      <c r="O1525" s="1">
        <v>18058</v>
      </c>
      <c r="P1525" s="3" t="s">
        <v>716</v>
      </c>
      <c r="Q1525" s="1" t="s">
        <v>689</v>
      </c>
    </row>
    <row r="1526" spans="15:17" x14ac:dyDescent="0.25">
      <c r="O1526" s="1">
        <v>18059</v>
      </c>
      <c r="P1526" s="3" t="s">
        <v>718</v>
      </c>
      <c r="Q1526" s="1" t="s">
        <v>652</v>
      </c>
    </row>
    <row r="1527" spans="15:17" x14ac:dyDescent="0.25">
      <c r="O1527" s="1">
        <v>18060</v>
      </c>
      <c r="P1527" s="3" t="s">
        <v>718</v>
      </c>
      <c r="Q1527" s="1" t="s">
        <v>652</v>
      </c>
    </row>
    <row r="1528" spans="15:17" x14ac:dyDescent="0.25">
      <c r="O1528" s="1">
        <v>18062</v>
      </c>
      <c r="P1528" s="3" t="s">
        <v>718</v>
      </c>
      <c r="Q1528" s="1" t="s">
        <v>652</v>
      </c>
    </row>
    <row r="1529" spans="15:17" x14ac:dyDescent="0.25">
      <c r="O1529" s="1">
        <v>18063</v>
      </c>
      <c r="P1529" s="3" t="s">
        <v>718</v>
      </c>
      <c r="Q1529" s="1" t="s">
        <v>652</v>
      </c>
    </row>
    <row r="1530" spans="15:17" x14ac:dyDescent="0.25">
      <c r="O1530" s="1">
        <v>18064</v>
      </c>
      <c r="P1530" s="3" t="s">
        <v>718</v>
      </c>
      <c r="Q1530" s="1" t="s">
        <v>652</v>
      </c>
    </row>
    <row r="1531" spans="15:17" x14ac:dyDescent="0.25">
      <c r="O1531" s="1">
        <v>18065</v>
      </c>
      <c r="P1531" s="3" t="s">
        <v>718</v>
      </c>
      <c r="Q1531" s="1" t="s">
        <v>652</v>
      </c>
    </row>
    <row r="1532" spans="15:17" x14ac:dyDescent="0.25">
      <c r="O1532" s="1">
        <v>18066</v>
      </c>
      <c r="P1532" s="3" t="s">
        <v>718</v>
      </c>
      <c r="Q1532" s="1" t="s">
        <v>652</v>
      </c>
    </row>
    <row r="1533" spans="15:17" x14ac:dyDescent="0.25">
      <c r="O1533" s="1">
        <v>18067</v>
      </c>
      <c r="P1533" s="3" t="s">
        <v>718</v>
      </c>
      <c r="Q1533" s="1" t="s">
        <v>652</v>
      </c>
    </row>
    <row r="1534" spans="15:17" x14ac:dyDescent="0.25">
      <c r="O1534" s="1">
        <v>18068</v>
      </c>
      <c r="P1534" s="3" t="s">
        <v>718</v>
      </c>
      <c r="Q1534" s="1" t="s">
        <v>652</v>
      </c>
    </row>
    <row r="1535" spans="15:17" x14ac:dyDescent="0.25">
      <c r="O1535" s="1">
        <v>18069</v>
      </c>
      <c r="P1535" s="3" t="s">
        <v>718</v>
      </c>
      <c r="Q1535" s="1" t="s">
        <v>652</v>
      </c>
    </row>
    <row r="1536" spans="15:17" x14ac:dyDescent="0.25">
      <c r="O1536" s="1">
        <v>18070</v>
      </c>
      <c r="P1536" s="3" t="s">
        <v>717</v>
      </c>
      <c r="Q1536" s="1" t="s">
        <v>682</v>
      </c>
    </row>
    <row r="1537" spans="15:17" x14ac:dyDescent="0.25">
      <c r="O1537" s="1">
        <v>18071</v>
      </c>
      <c r="P1537" s="3" t="s">
        <v>718</v>
      </c>
      <c r="Q1537" s="1" t="s">
        <v>652</v>
      </c>
    </row>
    <row r="1538" spans="15:17" x14ac:dyDescent="0.25">
      <c r="O1538" s="1">
        <v>18072</v>
      </c>
      <c r="P1538" s="3" t="s">
        <v>718</v>
      </c>
      <c r="Q1538" s="1" t="s">
        <v>652</v>
      </c>
    </row>
    <row r="1539" spans="15:17" x14ac:dyDescent="0.25">
      <c r="O1539" s="1">
        <v>18073</v>
      </c>
      <c r="P1539" s="3" t="s">
        <v>717</v>
      </c>
      <c r="Q1539" s="1" t="s">
        <v>682</v>
      </c>
    </row>
    <row r="1540" spans="15:17" x14ac:dyDescent="0.25">
      <c r="O1540" s="1">
        <v>18074</v>
      </c>
      <c r="P1540" s="3" t="s">
        <v>717</v>
      </c>
      <c r="Q1540" s="1" t="s">
        <v>682</v>
      </c>
    </row>
    <row r="1541" spans="15:17" x14ac:dyDescent="0.25">
      <c r="O1541" s="1">
        <v>18076</v>
      </c>
      <c r="P1541" s="3" t="s">
        <v>717</v>
      </c>
      <c r="Q1541" s="1" t="s">
        <v>682</v>
      </c>
    </row>
    <row r="1542" spans="15:17" x14ac:dyDescent="0.25">
      <c r="O1542" s="1">
        <v>18077</v>
      </c>
      <c r="P1542" s="3" t="s">
        <v>717</v>
      </c>
      <c r="Q1542" s="1" t="s">
        <v>682</v>
      </c>
    </row>
    <row r="1543" spans="15:17" x14ac:dyDescent="0.25">
      <c r="O1543" s="1">
        <v>18078</v>
      </c>
      <c r="P1543" s="3" t="s">
        <v>718</v>
      </c>
      <c r="Q1543" s="1" t="s">
        <v>652</v>
      </c>
    </row>
    <row r="1544" spans="15:17" x14ac:dyDescent="0.25">
      <c r="O1544" s="1">
        <v>18079</v>
      </c>
      <c r="P1544" s="3" t="s">
        <v>718</v>
      </c>
      <c r="Q1544" s="1" t="s">
        <v>652</v>
      </c>
    </row>
    <row r="1545" spans="15:17" x14ac:dyDescent="0.25">
      <c r="O1545" s="1">
        <v>18080</v>
      </c>
      <c r="P1545" s="3" t="s">
        <v>718</v>
      </c>
      <c r="Q1545" s="1" t="s">
        <v>652</v>
      </c>
    </row>
    <row r="1546" spans="15:17" x14ac:dyDescent="0.25">
      <c r="O1546" s="1">
        <v>18081</v>
      </c>
      <c r="P1546" s="3" t="s">
        <v>717</v>
      </c>
      <c r="Q1546" s="1" t="s">
        <v>682</v>
      </c>
    </row>
    <row r="1547" spans="15:17" x14ac:dyDescent="0.25">
      <c r="O1547" s="1">
        <v>18083</v>
      </c>
      <c r="P1547" s="3" t="s">
        <v>718</v>
      </c>
      <c r="Q1547" s="1" t="s">
        <v>652</v>
      </c>
    </row>
    <row r="1548" spans="15:17" x14ac:dyDescent="0.25">
      <c r="O1548" s="1">
        <v>18084</v>
      </c>
      <c r="P1548" s="3" t="s">
        <v>717</v>
      </c>
      <c r="Q1548" s="1" t="s">
        <v>682</v>
      </c>
    </row>
    <row r="1549" spans="15:17" x14ac:dyDescent="0.25">
      <c r="O1549" s="1">
        <v>18085</v>
      </c>
      <c r="P1549" s="3" t="s">
        <v>718</v>
      </c>
      <c r="Q1549" s="1" t="s">
        <v>652</v>
      </c>
    </row>
    <row r="1550" spans="15:17" x14ac:dyDescent="0.25">
      <c r="O1550" s="1">
        <v>18086</v>
      </c>
      <c r="P1550" s="3" t="s">
        <v>718</v>
      </c>
      <c r="Q1550" s="1" t="s">
        <v>652</v>
      </c>
    </row>
    <row r="1551" spans="15:17" x14ac:dyDescent="0.25">
      <c r="O1551" s="1">
        <v>18087</v>
      </c>
      <c r="P1551" s="3" t="s">
        <v>718</v>
      </c>
      <c r="Q1551" s="1" t="s">
        <v>652</v>
      </c>
    </row>
    <row r="1552" spans="15:17" x14ac:dyDescent="0.25">
      <c r="O1552" s="1">
        <v>18088</v>
      </c>
      <c r="P1552" s="3" t="s">
        <v>718</v>
      </c>
      <c r="Q1552" s="1" t="s">
        <v>652</v>
      </c>
    </row>
    <row r="1553" spans="15:17" x14ac:dyDescent="0.25">
      <c r="O1553" s="1">
        <v>18091</v>
      </c>
      <c r="P1553" s="3" t="s">
        <v>718</v>
      </c>
      <c r="Q1553" s="1" t="s">
        <v>652</v>
      </c>
    </row>
    <row r="1554" spans="15:17" x14ac:dyDescent="0.25">
      <c r="O1554" s="1">
        <v>18092</v>
      </c>
      <c r="P1554" s="3" t="s">
        <v>718</v>
      </c>
      <c r="Q1554" s="1" t="s">
        <v>652</v>
      </c>
    </row>
    <row r="1555" spans="15:17" x14ac:dyDescent="0.25">
      <c r="O1555" s="1">
        <v>18098</v>
      </c>
      <c r="P1555" s="3" t="s">
        <v>718</v>
      </c>
      <c r="Q1555" s="1" t="s">
        <v>652</v>
      </c>
    </row>
    <row r="1556" spans="15:17" x14ac:dyDescent="0.25">
      <c r="O1556" s="1">
        <v>18099</v>
      </c>
      <c r="P1556" s="3" t="s">
        <v>718</v>
      </c>
      <c r="Q1556" s="1" t="s">
        <v>652</v>
      </c>
    </row>
    <row r="1557" spans="15:17" x14ac:dyDescent="0.25">
      <c r="O1557" s="1">
        <v>18101</v>
      </c>
      <c r="P1557" s="3" t="s">
        <v>718</v>
      </c>
      <c r="Q1557" s="1" t="s">
        <v>652</v>
      </c>
    </row>
    <row r="1558" spans="15:17" x14ac:dyDescent="0.25">
      <c r="O1558" s="1">
        <v>18102</v>
      </c>
      <c r="P1558" s="3" t="s">
        <v>718</v>
      </c>
      <c r="Q1558" s="1" t="s">
        <v>652</v>
      </c>
    </row>
    <row r="1559" spans="15:17" x14ac:dyDescent="0.25">
      <c r="O1559" s="1">
        <v>18103</v>
      </c>
      <c r="P1559" s="3" t="s">
        <v>718</v>
      </c>
      <c r="Q1559" s="1" t="s">
        <v>652</v>
      </c>
    </row>
    <row r="1560" spans="15:17" x14ac:dyDescent="0.25">
      <c r="O1560" s="1">
        <v>18104</v>
      </c>
      <c r="P1560" s="3" t="s">
        <v>718</v>
      </c>
      <c r="Q1560" s="1" t="s">
        <v>652</v>
      </c>
    </row>
    <row r="1561" spans="15:17" x14ac:dyDescent="0.25">
      <c r="O1561" s="1">
        <v>18105</v>
      </c>
      <c r="P1561" s="3" t="s">
        <v>718</v>
      </c>
      <c r="Q1561" s="1" t="s">
        <v>652</v>
      </c>
    </row>
    <row r="1562" spans="15:17" x14ac:dyDescent="0.25">
      <c r="O1562" s="1">
        <v>18106</v>
      </c>
      <c r="P1562" s="3" t="s">
        <v>718</v>
      </c>
      <c r="Q1562" s="1" t="s">
        <v>652</v>
      </c>
    </row>
    <row r="1563" spans="15:17" x14ac:dyDescent="0.25">
      <c r="O1563" s="1">
        <v>18109</v>
      </c>
      <c r="P1563" s="3" t="s">
        <v>718</v>
      </c>
      <c r="Q1563" s="1" t="s">
        <v>652</v>
      </c>
    </row>
    <row r="1564" spans="15:17" x14ac:dyDescent="0.25">
      <c r="O1564" s="1">
        <v>18175</v>
      </c>
      <c r="P1564" s="3" t="s">
        <v>718</v>
      </c>
      <c r="Q1564" s="1" t="s">
        <v>652</v>
      </c>
    </row>
    <row r="1565" spans="15:17" x14ac:dyDescent="0.25">
      <c r="O1565" s="1">
        <v>18195</v>
      </c>
      <c r="P1565" s="3" t="s">
        <v>718</v>
      </c>
      <c r="Q1565" s="1" t="s">
        <v>652</v>
      </c>
    </row>
    <row r="1566" spans="15:17" x14ac:dyDescent="0.25">
      <c r="O1566" s="1">
        <v>18201</v>
      </c>
      <c r="P1566" s="3" t="s">
        <v>716</v>
      </c>
      <c r="Q1566" s="1" t="s">
        <v>689</v>
      </c>
    </row>
    <row r="1567" spans="15:17" x14ac:dyDescent="0.25">
      <c r="O1567" s="1">
        <v>18202</v>
      </c>
      <c r="P1567" s="3" t="s">
        <v>716</v>
      </c>
      <c r="Q1567" s="1" t="s">
        <v>689</v>
      </c>
    </row>
    <row r="1568" spans="15:17" x14ac:dyDescent="0.25">
      <c r="O1568" s="1">
        <v>18210</v>
      </c>
      <c r="P1568" s="3" t="s">
        <v>718</v>
      </c>
      <c r="Q1568" s="1" t="s">
        <v>652</v>
      </c>
    </row>
    <row r="1569" spans="15:17" x14ac:dyDescent="0.25">
      <c r="O1569" s="1">
        <v>18211</v>
      </c>
      <c r="P1569" s="3" t="s">
        <v>718</v>
      </c>
      <c r="Q1569" s="1" t="s">
        <v>652</v>
      </c>
    </row>
    <row r="1570" spans="15:17" x14ac:dyDescent="0.25">
      <c r="O1570" s="1">
        <v>18212</v>
      </c>
      <c r="P1570" s="3" t="s">
        <v>718</v>
      </c>
      <c r="Q1570" s="1" t="s">
        <v>652</v>
      </c>
    </row>
    <row r="1571" spans="15:17" x14ac:dyDescent="0.25">
      <c r="O1571" s="1">
        <v>18214</v>
      </c>
      <c r="P1571" s="3" t="s">
        <v>718</v>
      </c>
      <c r="Q1571" s="1" t="s">
        <v>652</v>
      </c>
    </row>
    <row r="1572" spans="15:17" x14ac:dyDescent="0.25">
      <c r="O1572" s="1">
        <v>18216</v>
      </c>
      <c r="P1572" s="3" t="s">
        <v>718</v>
      </c>
      <c r="Q1572" s="1" t="s">
        <v>652</v>
      </c>
    </row>
    <row r="1573" spans="15:17" x14ac:dyDescent="0.25">
      <c r="O1573" s="1">
        <v>18218</v>
      </c>
      <c r="P1573" s="3" t="s">
        <v>718</v>
      </c>
      <c r="Q1573" s="1" t="s">
        <v>652</v>
      </c>
    </row>
    <row r="1574" spans="15:17" x14ac:dyDescent="0.25">
      <c r="O1574" s="1">
        <v>18219</v>
      </c>
      <c r="P1574" s="3" t="s">
        <v>716</v>
      </c>
      <c r="Q1574" s="1" t="s">
        <v>689</v>
      </c>
    </row>
    <row r="1575" spans="15:17" x14ac:dyDescent="0.25">
      <c r="O1575" s="1">
        <v>18220</v>
      </c>
      <c r="P1575" s="3" t="s">
        <v>718</v>
      </c>
      <c r="Q1575" s="1" t="s">
        <v>652</v>
      </c>
    </row>
    <row r="1576" spans="15:17" x14ac:dyDescent="0.25">
      <c r="O1576" s="1">
        <v>18221</v>
      </c>
      <c r="P1576" s="3" t="s">
        <v>716</v>
      </c>
      <c r="Q1576" s="1" t="s">
        <v>689</v>
      </c>
    </row>
    <row r="1577" spans="15:17" x14ac:dyDescent="0.25">
      <c r="O1577" s="1">
        <v>18222</v>
      </c>
      <c r="P1577" s="3" t="s">
        <v>716</v>
      </c>
      <c r="Q1577" s="1" t="s">
        <v>689</v>
      </c>
    </row>
    <row r="1578" spans="15:17" x14ac:dyDescent="0.25">
      <c r="O1578" s="1">
        <v>18223</v>
      </c>
      <c r="P1578" s="3" t="s">
        <v>716</v>
      </c>
      <c r="Q1578" s="1" t="s">
        <v>689</v>
      </c>
    </row>
    <row r="1579" spans="15:17" x14ac:dyDescent="0.25">
      <c r="O1579" s="1">
        <v>18224</v>
      </c>
      <c r="P1579" s="3" t="s">
        <v>716</v>
      </c>
      <c r="Q1579" s="1" t="s">
        <v>689</v>
      </c>
    </row>
    <row r="1580" spans="15:17" x14ac:dyDescent="0.25">
      <c r="O1580" s="1">
        <v>18225</v>
      </c>
      <c r="P1580" s="3" t="s">
        <v>716</v>
      </c>
      <c r="Q1580" s="1" t="s">
        <v>689</v>
      </c>
    </row>
    <row r="1581" spans="15:17" x14ac:dyDescent="0.25">
      <c r="O1581" s="1">
        <v>18229</v>
      </c>
      <c r="P1581" s="3" t="s">
        <v>718</v>
      </c>
      <c r="Q1581" s="1" t="s">
        <v>652</v>
      </c>
    </row>
    <row r="1582" spans="15:17" x14ac:dyDescent="0.25">
      <c r="O1582" s="1">
        <v>18230</v>
      </c>
      <c r="P1582" s="3" t="s">
        <v>718</v>
      </c>
      <c r="Q1582" s="1" t="s">
        <v>652</v>
      </c>
    </row>
    <row r="1583" spans="15:17" x14ac:dyDescent="0.25">
      <c r="O1583" s="1">
        <v>18231</v>
      </c>
      <c r="P1583" s="3" t="s">
        <v>718</v>
      </c>
      <c r="Q1583" s="1" t="s">
        <v>652</v>
      </c>
    </row>
    <row r="1584" spans="15:17" x14ac:dyDescent="0.25">
      <c r="O1584" s="1">
        <v>18232</v>
      </c>
      <c r="P1584" s="3" t="s">
        <v>718</v>
      </c>
      <c r="Q1584" s="1" t="s">
        <v>652</v>
      </c>
    </row>
    <row r="1585" spans="15:17" x14ac:dyDescent="0.25">
      <c r="O1585" s="1">
        <v>18234</v>
      </c>
      <c r="P1585" s="3" t="s">
        <v>716</v>
      </c>
      <c r="Q1585" s="1" t="s">
        <v>689</v>
      </c>
    </row>
    <row r="1586" spans="15:17" x14ac:dyDescent="0.25">
      <c r="O1586" s="1">
        <v>18235</v>
      </c>
      <c r="P1586" s="3" t="s">
        <v>718</v>
      </c>
      <c r="Q1586" s="1" t="s">
        <v>652</v>
      </c>
    </row>
    <row r="1587" spans="15:17" x14ac:dyDescent="0.25">
      <c r="O1587" s="1">
        <v>18237</v>
      </c>
      <c r="P1587" s="3" t="s">
        <v>718</v>
      </c>
      <c r="Q1587" s="1" t="s">
        <v>652</v>
      </c>
    </row>
    <row r="1588" spans="15:17" x14ac:dyDescent="0.25">
      <c r="O1588" s="1">
        <v>18239</v>
      </c>
      <c r="P1588" s="3" t="s">
        <v>716</v>
      </c>
      <c r="Q1588" s="1" t="s">
        <v>689</v>
      </c>
    </row>
    <row r="1589" spans="15:17" x14ac:dyDescent="0.25">
      <c r="O1589" s="1">
        <v>18240</v>
      </c>
      <c r="P1589" s="3" t="s">
        <v>718</v>
      </c>
      <c r="Q1589" s="1" t="s">
        <v>652</v>
      </c>
    </row>
    <row r="1590" spans="15:17" x14ac:dyDescent="0.25">
      <c r="O1590" s="1">
        <v>18241</v>
      </c>
      <c r="P1590" s="3" t="s">
        <v>718</v>
      </c>
      <c r="Q1590" s="1" t="s">
        <v>652</v>
      </c>
    </row>
    <row r="1591" spans="15:17" x14ac:dyDescent="0.25">
      <c r="O1591" s="1">
        <v>18242</v>
      </c>
      <c r="P1591" s="3" t="s">
        <v>718</v>
      </c>
      <c r="Q1591" s="1" t="s">
        <v>652</v>
      </c>
    </row>
    <row r="1592" spans="15:17" x14ac:dyDescent="0.25">
      <c r="O1592" s="1">
        <v>18244</v>
      </c>
      <c r="P1592" s="3" t="s">
        <v>718</v>
      </c>
      <c r="Q1592" s="1" t="s">
        <v>652</v>
      </c>
    </row>
    <row r="1593" spans="15:17" x14ac:dyDescent="0.25">
      <c r="O1593" s="1">
        <v>18245</v>
      </c>
      <c r="P1593" s="3" t="s">
        <v>718</v>
      </c>
      <c r="Q1593" s="1" t="s">
        <v>652</v>
      </c>
    </row>
    <row r="1594" spans="15:17" x14ac:dyDescent="0.25">
      <c r="O1594" s="1">
        <v>18246</v>
      </c>
      <c r="P1594" s="3" t="s">
        <v>716</v>
      </c>
      <c r="Q1594" s="1" t="s">
        <v>689</v>
      </c>
    </row>
    <row r="1595" spans="15:17" x14ac:dyDescent="0.25">
      <c r="O1595" s="1">
        <v>18247</v>
      </c>
      <c r="P1595" s="3" t="s">
        <v>716</v>
      </c>
      <c r="Q1595" s="1" t="s">
        <v>689</v>
      </c>
    </row>
    <row r="1596" spans="15:17" x14ac:dyDescent="0.25">
      <c r="O1596" s="1">
        <v>18248</v>
      </c>
      <c r="P1596" s="3" t="s">
        <v>718</v>
      </c>
      <c r="Q1596" s="1" t="s">
        <v>652</v>
      </c>
    </row>
    <row r="1597" spans="15:17" x14ac:dyDescent="0.25">
      <c r="O1597" s="1">
        <v>18249</v>
      </c>
      <c r="P1597" s="3" t="s">
        <v>716</v>
      </c>
      <c r="Q1597" s="1" t="s">
        <v>689</v>
      </c>
    </row>
    <row r="1598" spans="15:17" x14ac:dyDescent="0.25">
      <c r="O1598" s="1">
        <v>18250</v>
      </c>
      <c r="P1598" s="3" t="s">
        <v>718</v>
      </c>
      <c r="Q1598" s="1" t="s">
        <v>652</v>
      </c>
    </row>
    <row r="1599" spans="15:17" x14ac:dyDescent="0.25">
      <c r="O1599" s="1">
        <v>18251</v>
      </c>
      <c r="P1599" s="3" t="s">
        <v>716</v>
      </c>
      <c r="Q1599" s="1" t="s">
        <v>689</v>
      </c>
    </row>
    <row r="1600" spans="15:17" x14ac:dyDescent="0.25">
      <c r="O1600" s="1">
        <v>18252</v>
      </c>
      <c r="P1600" s="3" t="s">
        <v>718</v>
      </c>
      <c r="Q1600" s="1" t="s">
        <v>652</v>
      </c>
    </row>
    <row r="1601" spans="15:17" x14ac:dyDescent="0.25">
      <c r="O1601" s="1">
        <v>18254</v>
      </c>
      <c r="P1601" s="3" t="s">
        <v>718</v>
      </c>
      <c r="Q1601" s="1" t="s">
        <v>652</v>
      </c>
    </row>
    <row r="1602" spans="15:17" x14ac:dyDescent="0.25">
      <c r="O1602" s="1">
        <v>18255</v>
      </c>
      <c r="P1602" s="3" t="s">
        <v>718</v>
      </c>
      <c r="Q1602" s="1" t="s">
        <v>652</v>
      </c>
    </row>
    <row r="1603" spans="15:17" x14ac:dyDescent="0.25">
      <c r="O1603" s="1">
        <v>18256</v>
      </c>
      <c r="P1603" s="3" t="s">
        <v>716</v>
      </c>
      <c r="Q1603" s="1" t="s">
        <v>689</v>
      </c>
    </row>
    <row r="1604" spans="15:17" x14ac:dyDescent="0.25">
      <c r="O1604" s="1">
        <v>18301</v>
      </c>
      <c r="P1604" s="3" t="s">
        <v>716</v>
      </c>
      <c r="Q1604" s="1" t="s">
        <v>689</v>
      </c>
    </row>
    <row r="1605" spans="15:17" x14ac:dyDescent="0.25">
      <c r="O1605" s="1">
        <v>18302</v>
      </c>
      <c r="P1605" s="3" t="s">
        <v>716</v>
      </c>
      <c r="Q1605" s="1" t="s">
        <v>689</v>
      </c>
    </row>
    <row r="1606" spans="15:17" x14ac:dyDescent="0.25">
      <c r="O1606" s="1">
        <v>18320</v>
      </c>
      <c r="P1606" s="3" t="s">
        <v>716</v>
      </c>
      <c r="Q1606" s="1" t="s">
        <v>689</v>
      </c>
    </row>
    <row r="1607" spans="15:17" x14ac:dyDescent="0.25">
      <c r="O1607" s="1">
        <v>18321</v>
      </c>
      <c r="P1607" s="3" t="s">
        <v>716</v>
      </c>
      <c r="Q1607" s="1" t="s">
        <v>689</v>
      </c>
    </row>
    <row r="1608" spans="15:17" x14ac:dyDescent="0.25">
      <c r="O1608" s="1">
        <v>18322</v>
      </c>
      <c r="P1608" s="3" t="s">
        <v>716</v>
      </c>
      <c r="Q1608" s="1" t="s">
        <v>689</v>
      </c>
    </row>
    <row r="1609" spans="15:17" x14ac:dyDescent="0.25">
      <c r="O1609" s="1">
        <v>18323</v>
      </c>
      <c r="P1609" s="3" t="s">
        <v>716</v>
      </c>
      <c r="Q1609" s="1" t="s">
        <v>689</v>
      </c>
    </row>
    <row r="1610" spans="15:17" x14ac:dyDescent="0.25">
      <c r="O1610" s="1">
        <v>18324</v>
      </c>
      <c r="P1610" s="3" t="s">
        <v>716</v>
      </c>
      <c r="Q1610" s="1" t="s">
        <v>689</v>
      </c>
    </row>
    <row r="1611" spans="15:17" x14ac:dyDescent="0.25">
      <c r="O1611" s="1">
        <v>18325</v>
      </c>
      <c r="P1611" s="3" t="s">
        <v>716</v>
      </c>
      <c r="Q1611" s="1" t="s">
        <v>689</v>
      </c>
    </row>
    <row r="1612" spans="15:17" x14ac:dyDescent="0.25">
      <c r="O1612" s="1">
        <v>18326</v>
      </c>
      <c r="P1612" s="3" t="s">
        <v>716</v>
      </c>
      <c r="Q1612" s="1" t="s">
        <v>689</v>
      </c>
    </row>
    <row r="1613" spans="15:17" x14ac:dyDescent="0.25">
      <c r="O1613" s="1">
        <v>18327</v>
      </c>
      <c r="P1613" s="3" t="s">
        <v>716</v>
      </c>
      <c r="Q1613" s="1" t="s">
        <v>689</v>
      </c>
    </row>
    <row r="1614" spans="15:17" x14ac:dyDescent="0.25">
      <c r="O1614" s="1">
        <v>18328</v>
      </c>
      <c r="P1614" s="3" t="s">
        <v>716</v>
      </c>
      <c r="Q1614" s="1" t="s">
        <v>689</v>
      </c>
    </row>
    <row r="1615" spans="15:17" x14ac:dyDescent="0.25">
      <c r="O1615" s="1">
        <v>18330</v>
      </c>
      <c r="P1615" s="3" t="s">
        <v>716</v>
      </c>
      <c r="Q1615" s="1" t="s">
        <v>689</v>
      </c>
    </row>
    <row r="1616" spans="15:17" x14ac:dyDescent="0.25">
      <c r="O1616" s="1">
        <v>18331</v>
      </c>
      <c r="P1616" s="3" t="s">
        <v>716</v>
      </c>
      <c r="Q1616" s="1" t="s">
        <v>689</v>
      </c>
    </row>
    <row r="1617" spans="15:17" x14ac:dyDescent="0.25">
      <c r="O1617" s="1">
        <v>18332</v>
      </c>
      <c r="P1617" s="3" t="s">
        <v>716</v>
      </c>
      <c r="Q1617" s="1" t="s">
        <v>689</v>
      </c>
    </row>
    <row r="1618" spans="15:17" x14ac:dyDescent="0.25">
      <c r="O1618" s="1">
        <v>18333</v>
      </c>
      <c r="P1618" s="3" t="s">
        <v>716</v>
      </c>
      <c r="Q1618" s="1" t="s">
        <v>689</v>
      </c>
    </row>
    <row r="1619" spans="15:17" x14ac:dyDescent="0.25">
      <c r="O1619" s="1">
        <v>18334</v>
      </c>
      <c r="P1619" s="3" t="s">
        <v>716</v>
      </c>
      <c r="Q1619" s="1" t="s">
        <v>689</v>
      </c>
    </row>
    <row r="1620" spans="15:17" x14ac:dyDescent="0.25">
      <c r="O1620" s="1">
        <v>18335</v>
      </c>
      <c r="P1620" s="3" t="s">
        <v>716</v>
      </c>
      <c r="Q1620" s="1" t="s">
        <v>689</v>
      </c>
    </row>
    <row r="1621" spans="15:17" x14ac:dyDescent="0.25">
      <c r="O1621" s="1">
        <v>18336</v>
      </c>
      <c r="P1621" s="3" t="s">
        <v>716</v>
      </c>
      <c r="Q1621" s="1" t="s">
        <v>689</v>
      </c>
    </row>
    <row r="1622" spans="15:17" x14ac:dyDescent="0.25">
      <c r="O1622" s="1">
        <v>18337</v>
      </c>
      <c r="P1622" s="3" t="s">
        <v>716</v>
      </c>
      <c r="Q1622" s="1" t="s">
        <v>689</v>
      </c>
    </row>
    <row r="1623" spans="15:17" x14ac:dyDescent="0.25">
      <c r="O1623" s="1">
        <v>18340</v>
      </c>
      <c r="P1623" s="3" t="s">
        <v>716</v>
      </c>
      <c r="Q1623" s="1" t="s">
        <v>689</v>
      </c>
    </row>
    <row r="1624" spans="15:17" x14ac:dyDescent="0.25">
      <c r="O1624" s="1">
        <v>18341</v>
      </c>
      <c r="P1624" s="3" t="s">
        <v>716</v>
      </c>
      <c r="Q1624" s="1" t="s">
        <v>689</v>
      </c>
    </row>
    <row r="1625" spans="15:17" x14ac:dyDescent="0.25">
      <c r="O1625" s="1">
        <v>18342</v>
      </c>
      <c r="P1625" s="3" t="s">
        <v>716</v>
      </c>
      <c r="Q1625" s="1" t="s">
        <v>689</v>
      </c>
    </row>
    <row r="1626" spans="15:17" x14ac:dyDescent="0.25">
      <c r="O1626" s="1">
        <v>18343</v>
      </c>
      <c r="P1626" s="3" t="s">
        <v>718</v>
      </c>
      <c r="Q1626" s="1" t="s">
        <v>652</v>
      </c>
    </row>
    <row r="1627" spans="15:17" x14ac:dyDescent="0.25">
      <c r="O1627" s="1">
        <v>18344</v>
      </c>
      <c r="P1627" s="3" t="s">
        <v>716</v>
      </c>
      <c r="Q1627" s="1" t="s">
        <v>689</v>
      </c>
    </row>
    <row r="1628" spans="15:17" x14ac:dyDescent="0.25">
      <c r="O1628" s="1">
        <v>18346</v>
      </c>
      <c r="P1628" s="3" t="s">
        <v>716</v>
      </c>
      <c r="Q1628" s="1" t="s">
        <v>689</v>
      </c>
    </row>
    <row r="1629" spans="15:17" x14ac:dyDescent="0.25">
      <c r="O1629" s="1">
        <v>18347</v>
      </c>
      <c r="P1629" s="3" t="s">
        <v>716</v>
      </c>
      <c r="Q1629" s="1" t="s">
        <v>689</v>
      </c>
    </row>
    <row r="1630" spans="15:17" x14ac:dyDescent="0.25">
      <c r="O1630" s="1">
        <v>18348</v>
      </c>
      <c r="P1630" s="3" t="s">
        <v>716</v>
      </c>
      <c r="Q1630" s="1" t="s">
        <v>689</v>
      </c>
    </row>
    <row r="1631" spans="15:17" x14ac:dyDescent="0.25">
      <c r="O1631" s="1">
        <v>18349</v>
      </c>
      <c r="P1631" s="3" t="s">
        <v>716</v>
      </c>
      <c r="Q1631" s="1" t="s">
        <v>689</v>
      </c>
    </row>
    <row r="1632" spans="15:17" x14ac:dyDescent="0.25">
      <c r="O1632" s="1">
        <v>18350</v>
      </c>
      <c r="P1632" s="3" t="s">
        <v>716</v>
      </c>
      <c r="Q1632" s="1" t="s">
        <v>689</v>
      </c>
    </row>
    <row r="1633" spans="15:17" x14ac:dyDescent="0.25">
      <c r="O1633" s="1">
        <v>18351</v>
      </c>
      <c r="P1633" s="3" t="s">
        <v>718</v>
      </c>
      <c r="Q1633" s="1" t="s">
        <v>652</v>
      </c>
    </row>
    <row r="1634" spans="15:17" x14ac:dyDescent="0.25">
      <c r="O1634" s="1">
        <v>18352</v>
      </c>
      <c r="P1634" s="3" t="s">
        <v>716</v>
      </c>
      <c r="Q1634" s="1" t="s">
        <v>689</v>
      </c>
    </row>
    <row r="1635" spans="15:17" x14ac:dyDescent="0.25">
      <c r="O1635" s="1">
        <v>18353</v>
      </c>
      <c r="P1635" s="3" t="s">
        <v>716</v>
      </c>
      <c r="Q1635" s="1" t="s">
        <v>689</v>
      </c>
    </row>
    <row r="1636" spans="15:17" x14ac:dyDescent="0.25">
      <c r="O1636" s="1">
        <v>18354</v>
      </c>
      <c r="P1636" s="3" t="s">
        <v>716</v>
      </c>
      <c r="Q1636" s="1" t="s">
        <v>689</v>
      </c>
    </row>
    <row r="1637" spans="15:17" x14ac:dyDescent="0.25">
      <c r="O1637" s="1">
        <v>18355</v>
      </c>
      <c r="P1637" s="3" t="s">
        <v>716</v>
      </c>
      <c r="Q1637" s="1" t="s">
        <v>689</v>
      </c>
    </row>
    <row r="1638" spans="15:17" x14ac:dyDescent="0.25">
      <c r="O1638" s="1">
        <v>18356</v>
      </c>
      <c r="P1638" s="3" t="s">
        <v>716</v>
      </c>
      <c r="Q1638" s="1" t="s">
        <v>689</v>
      </c>
    </row>
    <row r="1639" spans="15:17" x14ac:dyDescent="0.25">
      <c r="O1639" s="1">
        <v>18357</v>
      </c>
      <c r="P1639" s="3" t="s">
        <v>716</v>
      </c>
      <c r="Q1639" s="1" t="s">
        <v>689</v>
      </c>
    </row>
    <row r="1640" spans="15:17" x14ac:dyDescent="0.25">
      <c r="O1640" s="1">
        <v>18360</v>
      </c>
      <c r="P1640" s="3" t="s">
        <v>716</v>
      </c>
      <c r="Q1640" s="1" t="s">
        <v>689</v>
      </c>
    </row>
    <row r="1641" spans="15:17" x14ac:dyDescent="0.25">
      <c r="O1641" s="1">
        <v>18370</v>
      </c>
      <c r="P1641" s="3" t="s">
        <v>716</v>
      </c>
      <c r="Q1641" s="1" t="s">
        <v>689</v>
      </c>
    </row>
    <row r="1642" spans="15:17" x14ac:dyDescent="0.25">
      <c r="O1642" s="1">
        <v>18371</v>
      </c>
      <c r="P1642" s="3" t="s">
        <v>716</v>
      </c>
      <c r="Q1642" s="1" t="s">
        <v>689</v>
      </c>
    </row>
    <row r="1643" spans="15:17" x14ac:dyDescent="0.25">
      <c r="O1643" s="1">
        <v>18372</v>
      </c>
      <c r="P1643" s="3" t="s">
        <v>716</v>
      </c>
      <c r="Q1643" s="1" t="s">
        <v>689</v>
      </c>
    </row>
    <row r="1644" spans="15:17" x14ac:dyDescent="0.25">
      <c r="O1644" s="1">
        <v>18373</v>
      </c>
      <c r="P1644" s="3" t="s">
        <v>716</v>
      </c>
      <c r="Q1644" s="1" t="s">
        <v>689</v>
      </c>
    </row>
    <row r="1645" spans="15:17" x14ac:dyDescent="0.25">
      <c r="O1645" s="1">
        <v>18401</v>
      </c>
      <c r="P1645" s="3" t="s">
        <v>719</v>
      </c>
      <c r="Q1645" s="1" t="s">
        <v>660</v>
      </c>
    </row>
    <row r="1646" spans="15:17" x14ac:dyDescent="0.25">
      <c r="O1646" s="1">
        <v>18403</v>
      </c>
      <c r="P1646" s="3" t="s">
        <v>716</v>
      </c>
      <c r="Q1646" s="1" t="s">
        <v>689</v>
      </c>
    </row>
    <row r="1647" spans="15:17" x14ac:dyDescent="0.25">
      <c r="O1647" s="1">
        <v>18405</v>
      </c>
      <c r="P1647" s="3" t="s">
        <v>719</v>
      </c>
      <c r="Q1647" s="1" t="s">
        <v>660</v>
      </c>
    </row>
    <row r="1648" spans="15:17" x14ac:dyDescent="0.25">
      <c r="O1648" s="1">
        <v>18407</v>
      </c>
      <c r="P1648" s="3" t="s">
        <v>716</v>
      </c>
      <c r="Q1648" s="1" t="s">
        <v>689</v>
      </c>
    </row>
    <row r="1649" spans="15:17" x14ac:dyDescent="0.25">
      <c r="O1649" s="1">
        <v>18410</v>
      </c>
      <c r="P1649" s="3" t="s">
        <v>716</v>
      </c>
      <c r="Q1649" s="1" t="s">
        <v>689</v>
      </c>
    </row>
    <row r="1650" spans="15:17" x14ac:dyDescent="0.25">
      <c r="O1650" s="1">
        <v>18411</v>
      </c>
      <c r="P1650" s="3" t="s">
        <v>716</v>
      </c>
      <c r="Q1650" s="1" t="s">
        <v>689</v>
      </c>
    </row>
    <row r="1651" spans="15:17" x14ac:dyDescent="0.25">
      <c r="O1651" s="1">
        <v>18413</v>
      </c>
      <c r="P1651" s="3" t="s">
        <v>719</v>
      </c>
      <c r="Q1651" s="1" t="s">
        <v>660</v>
      </c>
    </row>
    <row r="1652" spans="15:17" x14ac:dyDescent="0.25">
      <c r="O1652" s="1">
        <v>18414</v>
      </c>
      <c r="P1652" s="3" t="s">
        <v>716</v>
      </c>
      <c r="Q1652" s="1" t="s">
        <v>689</v>
      </c>
    </row>
    <row r="1653" spans="15:17" x14ac:dyDescent="0.25">
      <c r="O1653" s="1">
        <v>18415</v>
      </c>
      <c r="P1653" s="3" t="s">
        <v>719</v>
      </c>
      <c r="Q1653" s="1" t="s">
        <v>660</v>
      </c>
    </row>
    <row r="1654" spans="15:17" x14ac:dyDescent="0.25">
      <c r="O1654" s="1">
        <v>18416</v>
      </c>
      <c r="P1654" s="3" t="s">
        <v>716</v>
      </c>
      <c r="Q1654" s="1" t="s">
        <v>689</v>
      </c>
    </row>
    <row r="1655" spans="15:17" x14ac:dyDescent="0.25">
      <c r="O1655" s="1">
        <v>18417</v>
      </c>
      <c r="P1655" s="3" t="s">
        <v>719</v>
      </c>
      <c r="Q1655" s="1" t="s">
        <v>660</v>
      </c>
    </row>
    <row r="1656" spans="15:17" x14ac:dyDescent="0.25">
      <c r="O1656" s="1">
        <v>18419</v>
      </c>
      <c r="P1656" s="3" t="s">
        <v>716</v>
      </c>
      <c r="Q1656" s="1" t="s">
        <v>689</v>
      </c>
    </row>
    <row r="1657" spans="15:17" x14ac:dyDescent="0.25">
      <c r="O1657" s="1">
        <v>18420</v>
      </c>
      <c r="P1657" s="3" t="s">
        <v>716</v>
      </c>
      <c r="Q1657" s="1" t="s">
        <v>689</v>
      </c>
    </row>
    <row r="1658" spans="15:17" x14ac:dyDescent="0.25">
      <c r="O1658" s="1">
        <v>18421</v>
      </c>
      <c r="P1658" s="3" t="s">
        <v>719</v>
      </c>
      <c r="Q1658" s="1" t="s">
        <v>660</v>
      </c>
    </row>
    <row r="1659" spans="15:17" x14ac:dyDescent="0.25">
      <c r="O1659" s="1">
        <v>18424</v>
      </c>
      <c r="P1659" s="3" t="s">
        <v>716</v>
      </c>
      <c r="Q1659" s="1" t="s">
        <v>689</v>
      </c>
    </row>
    <row r="1660" spans="15:17" x14ac:dyDescent="0.25">
      <c r="O1660" s="1">
        <v>18425</v>
      </c>
      <c r="P1660" s="3" t="s">
        <v>716</v>
      </c>
      <c r="Q1660" s="1" t="s">
        <v>689</v>
      </c>
    </row>
    <row r="1661" spans="15:17" x14ac:dyDescent="0.25">
      <c r="O1661" s="1">
        <v>18426</v>
      </c>
      <c r="P1661" s="3" t="s">
        <v>716</v>
      </c>
      <c r="Q1661" s="1" t="s">
        <v>689</v>
      </c>
    </row>
    <row r="1662" spans="15:17" x14ac:dyDescent="0.25">
      <c r="O1662" s="1">
        <v>18427</v>
      </c>
      <c r="P1662" s="3" t="s">
        <v>719</v>
      </c>
      <c r="Q1662" s="1" t="s">
        <v>660</v>
      </c>
    </row>
    <row r="1663" spans="15:17" x14ac:dyDescent="0.25">
      <c r="O1663" s="1">
        <v>18428</v>
      </c>
      <c r="P1663" s="3" t="s">
        <v>716</v>
      </c>
      <c r="Q1663" s="1" t="s">
        <v>689</v>
      </c>
    </row>
    <row r="1664" spans="15:17" x14ac:dyDescent="0.25">
      <c r="O1664" s="1">
        <v>18430</v>
      </c>
      <c r="P1664" s="3" t="s">
        <v>719</v>
      </c>
      <c r="Q1664" s="1" t="s">
        <v>660</v>
      </c>
    </row>
    <row r="1665" spans="15:17" x14ac:dyDescent="0.25">
      <c r="O1665" s="1">
        <v>18431</v>
      </c>
      <c r="P1665" s="3" t="s">
        <v>719</v>
      </c>
      <c r="Q1665" s="1" t="s">
        <v>660</v>
      </c>
    </row>
    <row r="1666" spans="15:17" x14ac:dyDescent="0.25">
      <c r="O1666" s="1">
        <v>18433</v>
      </c>
      <c r="P1666" s="3" t="s">
        <v>716</v>
      </c>
      <c r="Q1666" s="1" t="s">
        <v>689</v>
      </c>
    </row>
    <row r="1667" spans="15:17" x14ac:dyDescent="0.25">
      <c r="O1667" s="1">
        <v>18434</v>
      </c>
      <c r="P1667" s="3" t="s">
        <v>716</v>
      </c>
      <c r="Q1667" s="1" t="s">
        <v>689</v>
      </c>
    </row>
    <row r="1668" spans="15:17" x14ac:dyDescent="0.25">
      <c r="O1668" s="1">
        <v>18435</v>
      </c>
      <c r="P1668" s="3" t="s">
        <v>716</v>
      </c>
      <c r="Q1668" s="1" t="s">
        <v>689</v>
      </c>
    </row>
    <row r="1669" spans="15:17" x14ac:dyDescent="0.25">
      <c r="O1669" s="1">
        <v>18436</v>
      </c>
      <c r="P1669" s="3" t="s">
        <v>719</v>
      </c>
      <c r="Q1669" s="1" t="s">
        <v>660</v>
      </c>
    </row>
    <row r="1670" spans="15:17" x14ac:dyDescent="0.25">
      <c r="O1670" s="1">
        <v>18437</v>
      </c>
      <c r="P1670" s="3" t="s">
        <v>719</v>
      </c>
      <c r="Q1670" s="1" t="s">
        <v>660</v>
      </c>
    </row>
    <row r="1671" spans="15:17" x14ac:dyDescent="0.25">
      <c r="O1671" s="1">
        <v>18438</v>
      </c>
      <c r="P1671" s="3" t="s">
        <v>719</v>
      </c>
      <c r="Q1671" s="1" t="s">
        <v>660</v>
      </c>
    </row>
    <row r="1672" spans="15:17" x14ac:dyDescent="0.25">
      <c r="O1672" s="1">
        <v>18439</v>
      </c>
      <c r="P1672" s="3" t="s">
        <v>719</v>
      </c>
      <c r="Q1672" s="1" t="s">
        <v>660</v>
      </c>
    </row>
    <row r="1673" spans="15:17" x14ac:dyDescent="0.25">
      <c r="O1673" s="1">
        <v>18440</v>
      </c>
      <c r="P1673" s="3" t="s">
        <v>716</v>
      </c>
      <c r="Q1673" s="1" t="s">
        <v>689</v>
      </c>
    </row>
    <row r="1674" spans="15:17" x14ac:dyDescent="0.25">
      <c r="O1674" s="1">
        <v>18441</v>
      </c>
      <c r="P1674" s="3" t="s">
        <v>719</v>
      </c>
      <c r="Q1674" s="1" t="s">
        <v>660</v>
      </c>
    </row>
    <row r="1675" spans="15:17" x14ac:dyDescent="0.25">
      <c r="O1675" s="1">
        <v>18443</v>
      </c>
      <c r="P1675" s="3" t="s">
        <v>719</v>
      </c>
      <c r="Q1675" s="1" t="s">
        <v>660</v>
      </c>
    </row>
    <row r="1676" spans="15:17" x14ac:dyDescent="0.25">
      <c r="O1676" s="1">
        <v>18444</v>
      </c>
      <c r="P1676" s="3" t="s">
        <v>716</v>
      </c>
      <c r="Q1676" s="1" t="s">
        <v>689</v>
      </c>
    </row>
    <row r="1677" spans="15:17" x14ac:dyDescent="0.25">
      <c r="O1677" s="1">
        <v>18445</v>
      </c>
      <c r="P1677" s="3" t="s">
        <v>719</v>
      </c>
      <c r="Q1677" s="1" t="s">
        <v>660</v>
      </c>
    </row>
    <row r="1678" spans="15:17" x14ac:dyDescent="0.25">
      <c r="O1678" s="1">
        <v>18446</v>
      </c>
      <c r="P1678" s="3" t="s">
        <v>716</v>
      </c>
      <c r="Q1678" s="1" t="s">
        <v>689</v>
      </c>
    </row>
    <row r="1679" spans="15:17" x14ac:dyDescent="0.25">
      <c r="O1679" s="1">
        <v>18447</v>
      </c>
      <c r="P1679" s="3" t="s">
        <v>716</v>
      </c>
      <c r="Q1679" s="1" t="s">
        <v>689</v>
      </c>
    </row>
    <row r="1680" spans="15:17" x14ac:dyDescent="0.25">
      <c r="O1680" s="1">
        <v>18448</v>
      </c>
      <c r="P1680" s="3" t="s">
        <v>716</v>
      </c>
      <c r="Q1680" s="1" t="s">
        <v>689</v>
      </c>
    </row>
    <row r="1681" spans="15:17" x14ac:dyDescent="0.25">
      <c r="O1681" s="1">
        <v>18449</v>
      </c>
      <c r="P1681" s="3" t="s">
        <v>719</v>
      </c>
      <c r="Q1681" s="1" t="s">
        <v>660</v>
      </c>
    </row>
    <row r="1682" spans="15:17" x14ac:dyDescent="0.25">
      <c r="O1682" s="1">
        <v>18451</v>
      </c>
      <c r="P1682" s="3" t="s">
        <v>716</v>
      </c>
      <c r="Q1682" s="1" t="s">
        <v>689</v>
      </c>
    </row>
    <row r="1683" spans="15:17" x14ac:dyDescent="0.25">
      <c r="O1683" s="1">
        <v>18452</v>
      </c>
      <c r="P1683" s="3" t="s">
        <v>716</v>
      </c>
      <c r="Q1683" s="1" t="s">
        <v>689</v>
      </c>
    </row>
    <row r="1684" spans="15:17" x14ac:dyDescent="0.25">
      <c r="O1684" s="1">
        <v>18453</v>
      </c>
      <c r="P1684" s="3" t="s">
        <v>719</v>
      </c>
      <c r="Q1684" s="1" t="s">
        <v>660</v>
      </c>
    </row>
    <row r="1685" spans="15:17" x14ac:dyDescent="0.25">
      <c r="O1685" s="1">
        <v>18454</v>
      </c>
      <c r="P1685" s="3" t="s">
        <v>719</v>
      </c>
      <c r="Q1685" s="1" t="s">
        <v>660</v>
      </c>
    </row>
    <row r="1686" spans="15:17" x14ac:dyDescent="0.25">
      <c r="O1686" s="1">
        <v>18455</v>
      </c>
      <c r="P1686" s="3" t="s">
        <v>719</v>
      </c>
      <c r="Q1686" s="1" t="s">
        <v>660</v>
      </c>
    </row>
    <row r="1687" spans="15:17" x14ac:dyDescent="0.25">
      <c r="O1687" s="1">
        <v>18456</v>
      </c>
      <c r="P1687" s="3" t="s">
        <v>719</v>
      </c>
      <c r="Q1687" s="1" t="s">
        <v>660</v>
      </c>
    </row>
    <row r="1688" spans="15:17" x14ac:dyDescent="0.25">
      <c r="O1688" s="1">
        <v>18457</v>
      </c>
      <c r="P1688" s="3" t="s">
        <v>716</v>
      </c>
      <c r="Q1688" s="1" t="s">
        <v>689</v>
      </c>
    </row>
    <row r="1689" spans="15:17" x14ac:dyDescent="0.25">
      <c r="O1689" s="1">
        <v>18458</v>
      </c>
      <c r="P1689" s="3" t="s">
        <v>716</v>
      </c>
      <c r="Q1689" s="1" t="s">
        <v>689</v>
      </c>
    </row>
    <row r="1690" spans="15:17" x14ac:dyDescent="0.25">
      <c r="O1690" s="1">
        <v>18459</v>
      </c>
      <c r="P1690" s="3" t="s">
        <v>719</v>
      </c>
      <c r="Q1690" s="1" t="s">
        <v>660</v>
      </c>
    </row>
    <row r="1691" spans="15:17" x14ac:dyDescent="0.25">
      <c r="O1691" s="1">
        <v>18460</v>
      </c>
      <c r="P1691" s="3" t="s">
        <v>719</v>
      </c>
      <c r="Q1691" s="1" t="s">
        <v>660</v>
      </c>
    </row>
    <row r="1692" spans="15:17" x14ac:dyDescent="0.25">
      <c r="O1692" s="1">
        <v>18461</v>
      </c>
      <c r="P1692" s="3" t="s">
        <v>719</v>
      </c>
      <c r="Q1692" s="1" t="s">
        <v>660</v>
      </c>
    </row>
    <row r="1693" spans="15:17" x14ac:dyDescent="0.25">
      <c r="O1693" s="1">
        <v>18462</v>
      </c>
      <c r="P1693" s="3" t="s">
        <v>719</v>
      </c>
      <c r="Q1693" s="1" t="s">
        <v>660</v>
      </c>
    </row>
    <row r="1694" spans="15:17" x14ac:dyDescent="0.25">
      <c r="O1694" s="1">
        <v>18463</v>
      </c>
      <c r="P1694" s="3" t="s">
        <v>719</v>
      </c>
      <c r="Q1694" s="1" t="s">
        <v>660</v>
      </c>
    </row>
    <row r="1695" spans="15:17" x14ac:dyDescent="0.25">
      <c r="O1695" s="1">
        <v>18464</v>
      </c>
      <c r="P1695" s="3" t="s">
        <v>716</v>
      </c>
      <c r="Q1695" s="1" t="s">
        <v>689</v>
      </c>
    </row>
    <row r="1696" spans="15:17" x14ac:dyDescent="0.25">
      <c r="O1696" s="1">
        <v>18465</v>
      </c>
      <c r="P1696" s="3" t="s">
        <v>719</v>
      </c>
      <c r="Q1696" s="1" t="s">
        <v>660</v>
      </c>
    </row>
    <row r="1697" spans="15:17" x14ac:dyDescent="0.25">
      <c r="O1697" s="1">
        <v>18466</v>
      </c>
      <c r="P1697" s="3" t="s">
        <v>716</v>
      </c>
      <c r="Q1697" s="1" t="s">
        <v>689</v>
      </c>
    </row>
    <row r="1698" spans="15:17" x14ac:dyDescent="0.25">
      <c r="O1698" s="1">
        <v>18469</v>
      </c>
      <c r="P1698" s="3" t="s">
        <v>719</v>
      </c>
      <c r="Q1698" s="1" t="s">
        <v>660</v>
      </c>
    </row>
    <row r="1699" spans="15:17" x14ac:dyDescent="0.25">
      <c r="O1699" s="1">
        <v>18470</v>
      </c>
      <c r="P1699" s="3" t="s">
        <v>719</v>
      </c>
      <c r="Q1699" s="1" t="s">
        <v>660</v>
      </c>
    </row>
    <row r="1700" spans="15:17" x14ac:dyDescent="0.25">
      <c r="O1700" s="1">
        <v>18471</v>
      </c>
      <c r="P1700" s="3" t="s">
        <v>716</v>
      </c>
      <c r="Q1700" s="1" t="s">
        <v>689</v>
      </c>
    </row>
    <row r="1701" spans="15:17" x14ac:dyDescent="0.25">
      <c r="O1701" s="1">
        <v>18472</v>
      </c>
      <c r="P1701" s="3" t="s">
        <v>719</v>
      </c>
      <c r="Q1701" s="1" t="s">
        <v>660</v>
      </c>
    </row>
    <row r="1702" spans="15:17" x14ac:dyDescent="0.25">
      <c r="O1702" s="1">
        <v>18473</v>
      </c>
      <c r="P1702" s="3" t="s">
        <v>719</v>
      </c>
      <c r="Q1702" s="1" t="s">
        <v>660</v>
      </c>
    </row>
    <row r="1703" spans="15:17" x14ac:dyDescent="0.25">
      <c r="O1703" s="1">
        <v>18501</v>
      </c>
      <c r="P1703" s="3" t="s">
        <v>716</v>
      </c>
      <c r="Q1703" s="1" t="s">
        <v>689</v>
      </c>
    </row>
    <row r="1704" spans="15:17" x14ac:dyDescent="0.25">
      <c r="O1704" s="1">
        <v>18502</v>
      </c>
      <c r="P1704" s="3" t="s">
        <v>716</v>
      </c>
      <c r="Q1704" s="1" t="s">
        <v>689</v>
      </c>
    </row>
    <row r="1705" spans="15:17" x14ac:dyDescent="0.25">
      <c r="O1705" s="1">
        <v>18503</v>
      </c>
      <c r="P1705" s="3" t="s">
        <v>716</v>
      </c>
      <c r="Q1705" s="1" t="s">
        <v>689</v>
      </c>
    </row>
    <row r="1706" spans="15:17" x14ac:dyDescent="0.25">
      <c r="O1706" s="1">
        <v>18504</v>
      </c>
      <c r="P1706" s="3" t="s">
        <v>716</v>
      </c>
      <c r="Q1706" s="1" t="s">
        <v>689</v>
      </c>
    </row>
    <row r="1707" spans="15:17" x14ac:dyDescent="0.25">
      <c r="O1707" s="1">
        <v>18505</v>
      </c>
      <c r="P1707" s="3" t="s">
        <v>716</v>
      </c>
      <c r="Q1707" s="1" t="s">
        <v>689</v>
      </c>
    </row>
    <row r="1708" spans="15:17" x14ac:dyDescent="0.25">
      <c r="O1708" s="1">
        <v>18507</v>
      </c>
      <c r="P1708" s="3" t="s">
        <v>716</v>
      </c>
      <c r="Q1708" s="1" t="s">
        <v>689</v>
      </c>
    </row>
    <row r="1709" spans="15:17" x14ac:dyDescent="0.25">
      <c r="O1709" s="1">
        <v>18508</v>
      </c>
      <c r="P1709" s="3" t="s">
        <v>716</v>
      </c>
      <c r="Q1709" s="1" t="s">
        <v>689</v>
      </c>
    </row>
    <row r="1710" spans="15:17" x14ac:dyDescent="0.25">
      <c r="O1710" s="1">
        <v>18509</v>
      </c>
      <c r="P1710" s="3" t="s">
        <v>716</v>
      </c>
      <c r="Q1710" s="1" t="s">
        <v>689</v>
      </c>
    </row>
    <row r="1711" spans="15:17" x14ac:dyDescent="0.25">
      <c r="O1711" s="1">
        <v>18510</v>
      </c>
      <c r="P1711" s="3" t="s">
        <v>716</v>
      </c>
      <c r="Q1711" s="1" t="s">
        <v>689</v>
      </c>
    </row>
    <row r="1712" spans="15:17" x14ac:dyDescent="0.25">
      <c r="O1712" s="1">
        <v>18512</v>
      </c>
      <c r="P1712" s="3" t="s">
        <v>716</v>
      </c>
      <c r="Q1712" s="1" t="s">
        <v>689</v>
      </c>
    </row>
    <row r="1713" spans="15:17" x14ac:dyDescent="0.25">
      <c r="O1713" s="1">
        <v>18514</v>
      </c>
      <c r="P1713" s="3" t="s">
        <v>716</v>
      </c>
      <c r="Q1713" s="1" t="s">
        <v>689</v>
      </c>
    </row>
    <row r="1714" spans="15:17" x14ac:dyDescent="0.25">
      <c r="O1714" s="1">
        <v>18515</v>
      </c>
      <c r="P1714" s="3" t="s">
        <v>716</v>
      </c>
      <c r="Q1714" s="1" t="s">
        <v>689</v>
      </c>
    </row>
    <row r="1715" spans="15:17" x14ac:dyDescent="0.25">
      <c r="O1715" s="1">
        <v>18517</v>
      </c>
      <c r="P1715" s="3" t="s">
        <v>716</v>
      </c>
      <c r="Q1715" s="1" t="s">
        <v>689</v>
      </c>
    </row>
    <row r="1716" spans="15:17" x14ac:dyDescent="0.25">
      <c r="O1716" s="1">
        <v>18518</v>
      </c>
      <c r="P1716" s="3" t="s">
        <v>716</v>
      </c>
      <c r="Q1716" s="1" t="s">
        <v>689</v>
      </c>
    </row>
    <row r="1717" spans="15:17" x14ac:dyDescent="0.25">
      <c r="O1717" s="1">
        <v>18519</v>
      </c>
      <c r="P1717" s="3" t="s">
        <v>716</v>
      </c>
      <c r="Q1717" s="1" t="s">
        <v>689</v>
      </c>
    </row>
    <row r="1718" spans="15:17" x14ac:dyDescent="0.25">
      <c r="O1718" s="1">
        <v>18522</v>
      </c>
      <c r="P1718" s="3" t="s">
        <v>716</v>
      </c>
      <c r="Q1718" s="1" t="s">
        <v>689</v>
      </c>
    </row>
    <row r="1719" spans="15:17" x14ac:dyDescent="0.25">
      <c r="O1719" s="1">
        <v>18540</v>
      </c>
      <c r="P1719" s="3" t="s">
        <v>716</v>
      </c>
      <c r="Q1719" s="1" t="s">
        <v>689</v>
      </c>
    </row>
    <row r="1720" spans="15:17" x14ac:dyDescent="0.25">
      <c r="O1720" s="1">
        <v>18577</v>
      </c>
      <c r="P1720" s="3" t="s">
        <v>716</v>
      </c>
      <c r="Q1720" s="1" t="s">
        <v>689</v>
      </c>
    </row>
    <row r="1721" spans="15:17" x14ac:dyDescent="0.25">
      <c r="O1721" s="1">
        <v>18601</v>
      </c>
      <c r="P1721" s="3" t="s">
        <v>716</v>
      </c>
      <c r="Q1721" s="1" t="s">
        <v>689</v>
      </c>
    </row>
    <row r="1722" spans="15:17" x14ac:dyDescent="0.25">
      <c r="O1722" s="1">
        <v>18602</v>
      </c>
      <c r="P1722" s="3" t="s">
        <v>716</v>
      </c>
      <c r="Q1722" s="1" t="s">
        <v>689</v>
      </c>
    </row>
    <row r="1723" spans="15:17" x14ac:dyDescent="0.25">
      <c r="O1723" s="1">
        <v>18603</v>
      </c>
      <c r="P1723" s="3" t="s">
        <v>715</v>
      </c>
      <c r="Q1723" s="1" t="s">
        <v>692</v>
      </c>
    </row>
    <row r="1724" spans="15:17" x14ac:dyDescent="0.25">
      <c r="O1724" s="1">
        <v>18610</v>
      </c>
      <c r="P1724" s="3" t="s">
        <v>716</v>
      </c>
      <c r="Q1724" s="1" t="s">
        <v>689</v>
      </c>
    </row>
    <row r="1725" spans="15:17" x14ac:dyDescent="0.25">
      <c r="O1725" s="1">
        <v>18611</v>
      </c>
      <c r="P1725" s="3" t="s">
        <v>716</v>
      </c>
      <c r="Q1725" s="1" t="s">
        <v>689</v>
      </c>
    </row>
    <row r="1726" spans="15:17" x14ac:dyDescent="0.25">
      <c r="O1726" s="1">
        <v>18612</v>
      </c>
      <c r="P1726" s="3" t="s">
        <v>716</v>
      </c>
      <c r="Q1726" s="1" t="s">
        <v>689</v>
      </c>
    </row>
    <row r="1727" spans="15:17" x14ac:dyDescent="0.25">
      <c r="O1727" s="1">
        <v>18614</v>
      </c>
      <c r="P1727" s="3" t="s">
        <v>716</v>
      </c>
      <c r="Q1727" s="1" t="s">
        <v>689</v>
      </c>
    </row>
    <row r="1728" spans="15:17" x14ac:dyDescent="0.25">
      <c r="O1728" s="1">
        <v>18615</v>
      </c>
      <c r="P1728" s="3" t="s">
        <v>716</v>
      </c>
      <c r="Q1728" s="1" t="s">
        <v>689</v>
      </c>
    </row>
    <row r="1729" spans="15:17" x14ac:dyDescent="0.25">
      <c r="O1729" s="1">
        <v>18616</v>
      </c>
      <c r="P1729" s="3" t="s">
        <v>716</v>
      </c>
      <c r="Q1729" s="1" t="s">
        <v>689</v>
      </c>
    </row>
    <row r="1730" spans="15:17" x14ac:dyDescent="0.25">
      <c r="O1730" s="1">
        <v>18617</v>
      </c>
      <c r="P1730" s="3" t="s">
        <v>716</v>
      </c>
      <c r="Q1730" s="1" t="s">
        <v>689</v>
      </c>
    </row>
    <row r="1731" spans="15:17" x14ac:dyDescent="0.25">
      <c r="O1731" s="1">
        <v>18618</v>
      </c>
      <c r="P1731" s="3" t="s">
        <v>716</v>
      </c>
      <c r="Q1731" s="1" t="s">
        <v>689</v>
      </c>
    </row>
    <row r="1732" spans="15:17" x14ac:dyDescent="0.25">
      <c r="O1732" s="1">
        <v>18619</v>
      </c>
      <c r="P1732" s="3" t="s">
        <v>716</v>
      </c>
      <c r="Q1732" s="1" t="s">
        <v>689</v>
      </c>
    </row>
    <row r="1733" spans="15:17" x14ac:dyDescent="0.25">
      <c r="O1733" s="1">
        <v>18621</v>
      </c>
      <c r="P1733" s="3" t="s">
        <v>716</v>
      </c>
      <c r="Q1733" s="1" t="s">
        <v>689</v>
      </c>
    </row>
    <row r="1734" spans="15:17" x14ac:dyDescent="0.25">
      <c r="O1734" s="1">
        <v>18622</v>
      </c>
      <c r="P1734" s="3" t="s">
        <v>716</v>
      </c>
      <c r="Q1734" s="1" t="s">
        <v>689</v>
      </c>
    </row>
    <row r="1735" spans="15:17" x14ac:dyDescent="0.25">
      <c r="O1735" s="1">
        <v>18623</v>
      </c>
      <c r="P1735" s="3" t="s">
        <v>716</v>
      </c>
      <c r="Q1735" s="1" t="s">
        <v>689</v>
      </c>
    </row>
    <row r="1736" spans="15:17" x14ac:dyDescent="0.25">
      <c r="O1736" s="1">
        <v>18624</v>
      </c>
      <c r="P1736" s="3" t="s">
        <v>718</v>
      </c>
      <c r="Q1736" s="1" t="s">
        <v>652</v>
      </c>
    </row>
    <row r="1737" spans="15:17" x14ac:dyDescent="0.25">
      <c r="O1737" s="1">
        <v>18625</v>
      </c>
      <c r="P1737" s="3" t="s">
        <v>716</v>
      </c>
      <c r="Q1737" s="1" t="s">
        <v>689</v>
      </c>
    </row>
    <row r="1738" spans="15:17" x14ac:dyDescent="0.25">
      <c r="O1738" s="1">
        <v>18626</v>
      </c>
      <c r="P1738" s="3" t="s">
        <v>716</v>
      </c>
      <c r="Q1738" s="1" t="s">
        <v>689</v>
      </c>
    </row>
    <row r="1739" spans="15:17" x14ac:dyDescent="0.25">
      <c r="O1739" s="1">
        <v>18627</v>
      </c>
      <c r="P1739" s="3" t="s">
        <v>716</v>
      </c>
      <c r="Q1739" s="1" t="s">
        <v>689</v>
      </c>
    </row>
    <row r="1740" spans="15:17" x14ac:dyDescent="0.25">
      <c r="O1740" s="1">
        <v>18628</v>
      </c>
      <c r="P1740" s="3" t="s">
        <v>716</v>
      </c>
      <c r="Q1740" s="1" t="s">
        <v>689</v>
      </c>
    </row>
    <row r="1741" spans="15:17" x14ac:dyDescent="0.25">
      <c r="O1741" s="1">
        <v>18629</v>
      </c>
      <c r="P1741" s="3" t="s">
        <v>716</v>
      </c>
      <c r="Q1741" s="1" t="s">
        <v>689</v>
      </c>
    </row>
    <row r="1742" spans="15:17" x14ac:dyDescent="0.25">
      <c r="O1742" s="1">
        <v>18630</v>
      </c>
      <c r="P1742" s="3" t="s">
        <v>716</v>
      </c>
      <c r="Q1742" s="1" t="s">
        <v>689</v>
      </c>
    </row>
    <row r="1743" spans="15:17" x14ac:dyDescent="0.25">
      <c r="O1743" s="1">
        <v>18631</v>
      </c>
      <c r="P1743" s="3" t="s">
        <v>715</v>
      </c>
      <c r="Q1743" s="1" t="s">
        <v>692</v>
      </c>
    </row>
    <row r="1744" spans="15:17" x14ac:dyDescent="0.25">
      <c r="O1744" s="1">
        <v>18632</v>
      </c>
      <c r="P1744" s="3" t="s">
        <v>716</v>
      </c>
      <c r="Q1744" s="1" t="s">
        <v>689</v>
      </c>
    </row>
    <row r="1745" spans="15:17" x14ac:dyDescent="0.25">
      <c r="O1745" s="1">
        <v>18634</v>
      </c>
      <c r="P1745" s="3" t="s">
        <v>716</v>
      </c>
      <c r="Q1745" s="1" t="s">
        <v>689</v>
      </c>
    </row>
    <row r="1746" spans="15:17" x14ac:dyDescent="0.25">
      <c r="O1746" s="1">
        <v>18635</v>
      </c>
      <c r="P1746" s="3" t="s">
        <v>716</v>
      </c>
      <c r="Q1746" s="1" t="s">
        <v>689</v>
      </c>
    </row>
    <row r="1747" spans="15:17" x14ac:dyDescent="0.25">
      <c r="O1747" s="1">
        <v>18636</v>
      </c>
      <c r="P1747" s="3" t="s">
        <v>716</v>
      </c>
      <c r="Q1747" s="1" t="s">
        <v>689</v>
      </c>
    </row>
    <row r="1748" spans="15:17" x14ac:dyDescent="0.25">
      <c r="O1748" s="1">
        <v>18640</v>
      </c>
      <c r="P1748" s="3" t="s">
        <v>716</v>
      </c>
      <c r="Q1748" s="1" t="s">
        <v>689</v>
      </c>
    </row>
    <row r="1749" spans="15:17" x14ac:dyDescent="0.25">
      <c r="O1749" s="1">
        <v>18641</v>
      </c>
      <c r="P1749" s="3" t="s">
        <v>716</v>
      </c>
      <c r="Q1749" s="1" t="s">
        <v>689</v>
      </c>
    </row>
    <row r="1750" spans="15:17" x14ac:dyDescent="0.25">
      <c r="O1750" s="1">
        <v>18642</v>
      </c>
      <c r="P1750" s="3" t="s">
        <v>716</v>
      </c>
      <c r="Q1750" s="1" t="s">
        <v>689</v>
      </c>
    </row>
    <row r="1751" spans="15:17" x14ac:dyDescent="0.25">
      <c r="O1751" s="1">
        <v>18643</v>
      </c>
      <c r="P1751" s="3" t="s">
        <v>716</v>
      </c>
      <c r="Q1751" s="1" t="s">
        <v>689</v>
      </c>
    </row>
    <row r="1752" spans="15:17" x14ac:dyDescent="0.25">
      <c r="O1752" s="1">
        <v>18644</v>
      </c>
      <c r="P1752" s="3" t="s">
        <v>716</v>
      </c>
      <c r="Q1752" s="1" t="s">
        <v>689</v>
      </c>
    </row>
    <row r="1753" spans="15:17" x14ac:dyDescent="0.25">
      <c r="O1753" s="1">
        <v>18651</v>
      </c>
      <c r="P1753" s="3" t="s">
        <v>716</v>
      </c>
      <c r="Q1753" s="1" t="s">
        <v>689</v>
      </c>
    </row>
    <row r="1754" spans="15:17" x14ac:dyDescent="0.25">
      <c r="O1754" s="1">
        <v>18653</v>
      </c>
      <c r="P1754" s="3" t="s">
        <v>716</v>
      </c>
      <c r="Q1754" s="1" t="s">
        <v>689</v>
      </c>
    </row>
    <row r="1755" spans="15:17" x14ac:dyDescent="0.25">
      <c r="O1755" s="1">
        <v>18654</v>
      </c>
      <c r="P1755" s="3" t="s">
        <v>716</v>
      </c>
      <c r="Q1755" s="1" t="s">
        <v>689</v>
      </c>
    </row>
    <row r="1756" spans="15:17" x14ac:dyDescent="0.25">
      <c r="O1756" s="1">
        <v>18655</v>
      </c>
      <c r="P1756" s="3" t="s">
        <v>716</v>
      </c>
      <c r="Q1756" s="1" t="s">
        <v>689</v>
      </c>
    </row>
    <row r="1757" spans="15:17" x14ac:dyDescent="0.25">
      <c r="O1757" s="1">
        <v>18656</v>
      </c>
      <c r="P1757" s="3" t="s">
        <v>716</v>
      </c>
      <c r="Q1757" s="1" t="s">
        <v>689</v>
      </c>
    </row>
    <row r="1758" spans="15:17" x14ac:dyDescent="0.25">
      <c r="O1758" s="1">
        <v>18657</v>
      </c>
      <c r="P1758" s="3" t="s">
        <v>716</v>
      </c>
      <c r="Q1758" s="1" t="s">
        <v>689</v>
      </c>
    </row>
    <row r="1759" spans="15:17" x14ac:dyDescent="0.25">
      <c r="O1759" s="1">
        <v>18660</v>
      </c>
      <c r="P1759" s="3" t="s">
        <v>716</v>
      </c>
      <c r="Q1759" s="1" t="s">
        <v>689</v>
      </c>
    </row>
    <row r="1760" spans="15:17" x14ac:dyDescent="0.25">
      <c r="O1760" s="1">
        <v>18661</v>
      </c>
      <c r="P1760" s="3" t="s">
        <v>716</v>
      </c>
      <c r="Q1760" s="1" t="s">
        <v>689</v>
      </c>
    </row>
    <row r="1761" spans="15:17" x14ac:dyDescent="0.25">
      <c r="O1761" s="1">
        <v>18690</v>
      </c>
      <c r="P1761" s="3" t="s">
        <v>716</v>
      </c>
      <c r="Q1761" s="1" t="s">
        <v>689</v>
      </c>
    </row>
    <row r="1762" spans="15:17" x14ac:dyDescent="0.25">
      <c r="O1762" s="1">
        <v>18701</v>
      </c>
      <c r="P1762" s="3" t="s">
        <v>716</v>
      </c>
      <c r="Q1762" s="1" t="s">
        <v>689</v>
      </c>
    </row>
    <row r="1763" spans="15:17" x14ac:dyDescent="0.25">
      <c r="O1763" s="1">
        <v>18702</v>
      </c>
      <c r="P1763" s="3" t="s">
        <v>716</v>
      </c>
      <c r="Q1763" s="1" t="s">
        <v>689</v>
      </c>
    </row>
    <row r="1764" spans="15:17" x14ac:dyDescent="0.25">
      <c r="O1764" s="1">
        <v>18703</v>
      </c>
      <c r="P1764" s="3" t="s">
        <v>716</v>
      </c>
      <c r="Q1764" s="1" t="s">
        <v>689</v>
      </c>
    </row>
    <row r="1765" spans="15:17" x14ac:dyDescent="0.25">
      <c r="O1765" s="1">
        <v>18704</v>
      </c>
      <c r="P1765" s="3" t="s">
        <v>716</v>
      </c>
      <c r="Q1765" s="1" t="s">
        <v>689</v>
      </c>
    </row>
    <row r="1766" spans="15:17" x14ac:dyDescent="0.25">
      <c r="O1766" s="1">
        <v>18705</v>
      </c>
      <c r="P1766" s="3" t="s">
        <v>716</v>
      </c>
      <c r="Q1766" s="1" t="s">
        <v>689</v>
      </c>
    </row>
    <row r="1767" spans="15:17" x14ac:dyDescent="0.25">
      <c r="O1767" s="1">
        <v>18706</v>
      </c>
      <c r="P1767" s="3" t="s">
        <v>716</v>
      </c>
      <c r="Q1767" s="1" t="s">
        <v>689</v>
      </c>
    </row>
    <row r="1768" spans="15:17" x14ac:dyDescent="0.25">
      <c r="O1768" s="1">
        <v>18707</v>
      </c>
      <c r="P1768" s="3" t="s">
        <v>716</v>
      </c>
      <c r="Q1768" s="1" t="s">
        <v>689</v>
      </c>
    </row>
    <row r="1769" spans="15:17" x14ac:dyDescent="0.25">
      <c r="O1769" s="1">
        <v>18708</v>
      </c>
      <c r="P1769" s="3" t="s">
        <v>716</v>
      </c>
      <c r="Q1769" s="1" t="s">
        <v>689</v>
      </c>
    </row>
    <row r="1770" spans="15:17" x14ac:dyDescent="0.25">
      <c r="O1770" s="1">
        <v>18709</v>
      </c>
      <c r="P1770" s="3" t="s">
        <v>716</v>
      </c>
      <c r="Q1770" s="1" t="s">
        <v>689</v>
      </c>
    </row>
    <row r="1771" spans="15:17" x14ac:dyDescent="0.25">
      <c r="O1771" s="1">
        <v>18710</v>
      </c>
      <c r="P1771" s="3" t="s">
        <v>716</v>
      </c>
      <c r="Q1771" s="1" t="s">
        <v>689</v>
      </c>
    </row>
    <row r="1772" spans="15:17" x14ac:dyDescent="0.25">
      <c r="O1772" s="1">
        <v>18711</v>
      </c>
      <c r="P1772" s="3" t="s">
        <v>716</v>
      </c>
      <c r="Q1772" s="1" t="s">
        <v>689</v>
      </c>
    </row>
    <row r="1773" spans="15:17" x14ac:dyDescent="0.25">
      <c r="O1773" s="1">
        <v>18761</v>
      </c>
      <c r="P1773" s="3" t="s">
        <v>716</v>
      </c>
      <c r="Q1773" s="1" t="s">
        <v>689</v>
      </c>
    </row>
    <row r="1774" spans="15:17" x14ac:dyDescent="0.25">
      <c r="O1774" s="1">
        <v>18762</v>
      </c>
      <c r="P1774" s="3" t="s">
        <v>716</v>
      </c>
      <c r="Q1774" s="1" t="s">
        <v>689</v>
      </c>
    </row>
    <row r="1775" spans="15:17" x14ac:dyDescent="0.25">
      <c r="O1775" s="1">
        <v>18763</v>
      </c>
      <c r="P1775" s="3" t="s">
        <v>716</v>
      </c>
      <c r="Q1775" s="1" t="s">
        <v>689</v>
      </c>
    </row>
    <row r="1776" spans="15:17" x14ac:dyDescent="0.25">
      <c r="O1776" s="1">
        <v>18764</v>
      </c>
      <c r="P1776" s="3" t="s">
        <v>716</v>
      </c>
      <c r="Q1776" s="1" t="s">
        <v>689</v>
      </c>
    </row>
    <row r="1777" spans="15:17" x14ac:dyDescent="0.25">
      <c r="O1777" s="1">
        <v>18765</v>
      </c>
      <c r="P1777" s="3" t="s">
        <v>716</v>
      </c>
      <c r="Q1777" s="1" t="s">
        <v>689</v>
      </c>
    </row>
    <row r="1778" spans="15:17" x14ac:dyDescent="0.25">
      <c r="O1778" s="1">
        <v>18766</v>
      </c>
      <c r="P1778" s="3" t="s">
        <v>716</v>
      </c>
      <c r="Q1778" s="1" t="s">
        <v>689</v>
      </c>
    </row>
    <row r="1779" spans="15:17" x14ac:dyDescent="0.25">
      <c r="O1779" s="1">
        <v>18767</v>
      </c>
      <c r="P1779" s="3" t="s">
        <v>716</v>
      </c>
      <c r="Q1779" s="1" t="s">
        <v>689</v>
      </c>
    </row>
    <row r="1780" spans="15:17" x14ac:dyDescent="0.25">
      <c r="O1780" s="1">
        <v>18768</v>
      </c>
      <c r="P1780" s="3" t="s">
        <v>716</v>
      </c>
      <c r="Q1780" s="1" t="s">
        <v>689</v>
      </c>
    </row>
    <row r="1781" spans="15:17" x14ac:dyDescent="0.25">
      <c r="O1781" s="1">
        <v>18769</v>
      </c>
      <c r="P1781" s="3" t="s">
        <v>716</v>
      </c>
      <c r="Q1781" s="1" t="s">
        <v>689</v>
      </c>
    </row>
    <row r="1782" spans="15:17" x14ac:dyDescent="0.25">
      <c r="O1782" s="1">
        <v>18773</v>
      </c>
      <c r="P1782" s="3" t="s">
        <v>716</v>
      </c>
      <c r="Q1782" s="1" t="s">
        <v>689</v>
      </c>
    </row>
    <row r="1783" spans="15:17" x14ac:dyDescent="0.25">
      <c r="O1783" s="1">
        <v>18774</v>
      </c>
      <c r="P1783" s="3" t="s">
        <v>716</v>
      </c>
      <c r="Q1783" s="1" t="s">
        <v>689</v>
      </c>
    </row>
    <row r="1784" spans="15:17" x14ac:dyDescent="0.25">
      <c r="O1784" s="1">
        <v>18801</v>
      </c>
      <c r="P1784" s="3" t="s">
        <v>719</v>
      </c>
      <c r="Q1784" s="1" t="s">
        <v>660</v>
      </c>
    </row>
    <row r="1785" spans="15:17" x14ac:dyDescent="0.25">
      <c r="O1785" s="1">
        <v>18810</v>
      </c>
      <c r="P1785" s="3" t="s">
        <v>716</v>
      </c>
      <c r="Q1785" s="1" t="s">
        <v>689</v>
      </c>
    </row>
    <row r="1786" spans="15:17" x14ac:dyDescent="0.25">
      <c r="O1786" s="1">
        <v>18812</v>
      </c>
      <c r="P1786" s="3" t="s">
        <v>719</v>
      </c>
      <c r="Q1786" s="1" t="s">
        <v>660</v>
      </c>
    </row>
    <row r="1787" spans="15:17" x14ac:dyDescent="0.25">
      <c r="O1787" s="1">
        <v>18813</v>
      </c>
      <c r="P1787" s="3" t="s">
        <v>719</v>
      </c>
      <c r="Q1787" s="1" t="s">
        <v>660</v>
      </c>
    </row>
    <row r="1788" spans="15:17" x14ac:dyDescent="0.25">
      <c r="O1788" s="1">
        <v>18814</v>
      </c>
      <c r="P1788" s="3" t="s">
        <v>716</v>
      </c>
      <c r="Q1788" s="1" t="s">
        <v>689</v>
      </c>
    </row>
    <row r="1789" spans="15:17" x14ac:dyDescent="0.25">
      <c r="O1789" s="1">
        <v>18815</v>
      </c>
      <c r="P1789" s="3" t="s">
        <v>716</v>
      </c>
      <c r="Q1789" s="1" t="s">
        <v>689</v>
      </c>
    </row>
    <row r="1790" spans="15:17" x14ac:dyDescent="0.25">
      <c r="O1790" s="1">
        <v>18816</v>
      </c>
      <c r="P1790" s="3" t="s">
        <v>719</v>
      </c>
      <c r="Q1790" s="1" t="s">
        <v>660</v>
      </c>
    </row>
    <row r="1791" spans="15:17" x14ac:dyDescent="0.25">
      <c r="O1791" s="1">
        <v>18817</v>
      </c>
      <c r="P1791" s="3" t="s">
        <v>716</v>
      </c>
      <c r="Q1791" s="1" t="s">
        <v>689</v>
      </c>
    </row>
    <row r="1792" spans="15:17" x14ac:dyDescent="0.25">
      <c r="O1792" s="1">
        <v>18818</v>
      </c>
      <c r="P1792" s="3" t="s">
        <v>719</v>
      </c>
      <c r="Q1792" s="1" t="s">
        <v>660</v>
      </c>
    </row>
    <row r="1793" spans="15:17" x14ac:dyDescent="0.25">
      <c r="O1793" s="1">
        <v>18820</v>
      </c>
      <c r="P1793" s="3" t="s">
        <v>719</v>
      </c>
      <c r="Q1793" s="1" t="s">
        <v>660</v>
      </c>
    </row>
    <row r="1794" spans="15:17" x14ac:dyDescent="0.25">
      <c r="O1794" s="1">
        <v>18821</v>
      </c>
      <c r="P1794" s="3" t="s">
        <v>719</v>
      </c>
      <c r="Q1794" s="1" t="s">
        <v>660</v>
      </c>
    </row>
    <row r="1795" spans="15:17" x14ac:dyDescent="0.25">
      <c r="O1795" s="1">
        <v>18822</v>
      </c>
      <c r="P1795" s="3" t="s">
        <v>719</v>
      </c>
      <c r="Q1795" s="1" t="s">
        <v>660</v>
      </c>
    </row>
    <row r="1796" spans="15:17" x14ac:dyDescent="0.25">
      <c r="O1796" s="1">
        <v>18823</v>
      </c>
      <c r="P1796" s="3" t="s">
        <v>719</v>
      </c>
      <c r="Q1796" s="1" t="s">
        <v>660</v>
      </c>
    </row>
    <row r="1797" spans="15:17" x14ac:dyDescent="0.25">
      <c r="O1797" s="1">
        <v>18824</v>
      </c>
      <c r="P1797" s="3" t="s">
        <v>719</v>
      </c>
      <c r="Q1797" s="1" t="s">
        <v>660</v>
      </c>
    </row>
    <row r="1798" spans="15:17" x14ac:dyDescent="0.25">
      <c r="O1798" s="1">
        <v>18825</v>
      </c>
      <c r="P1798" s="3" t="s">
        <v>719</v>
      </c>
      <c r="Q1798" s="1" t="s">
        <v>660</v>
      </c>
    </row>
    <row r="1799" spans="15:17" x14ac:dyDescent="0.25">
      <c r="O1799" s="1">
        <v>18826</v>
      </c>
      <c r="P1799" s="3" t="s">
        <v>719</v>
      </c>
      <c r="Q1799" s="1" t="s">
        <v>660</v>
      </c>
    </row>
    <row r="1800" spans="15:17" x14ac:dyDescent="0.25">
      <c r="O1800" s="1">
        <v>18827</v>
      </c>
      <c r="P1800" s="3" t="s">
        <v>719</v>
      </c>
      <c r="Q1800" s="1" t="s">
        <v>660</v>
      </c>
    </row>
    <row r="1801" spans="15:17" x14ac:dyDescent="0.25">
      <c r="O1801" s="1">
        <v>18828</v>
      </c>
      <c r="P1801" s="3" t="s">
        <v>719</v>
      </c>
      <c r="Q1801" s="1" t="s">
        <v>660</v>
      </c>
    </row>
    <row r="1802" spans="15:17" x14ac:dyDescent="0.25">
      <c r="O1802" s="1">
        <v>18829</v>
      </c>
      <c r="P1802" s="3" t="s">
        <v>716</v>
      </c>
      <c r="Q1802" s="1" t="s">
        <v>689</v>
      </c>
    </row>
    <row r="1803" spans="15:17" x14ac:dyDescent="0.25">
      <c r="O1803" s="1">
        <v>18830</v>
      </c>
      <c r="P1803" s="3" t="s">
        <v>719</v>
      </c>
      <c r="Q1803" s="1" t="s">
        <v>660</v>
      </c>
    </row>
    <row r="1804" spans="15:17" x14ac:dyDescent="0.25">
      <c r="O1804" s="1">
        <v>18831</v>
      </c>
      <c r="P1804" s="3" t="s">
        <v>716</v>
      </c>
      <c r="Q1804" s="1" t="s">
        <v>689</v>
      </c>
    </row>
    <row r="1805" spans="15:17" x14ac:dyDescent="0.25">
      <c r="O1805" s="1">
        <v>18832</v>
      </c>
      <c r="P1805" s="3" t="s">
        <v>716</v>
      </c>
      <c r="Q1805" s="1" t="s">
        <v>689</v>
      </c>
    </row>
    <row r="1806" spans="15:17" x14ac:dyDescent="0.25">
      <c r="O1806" s="1">
        <v>18833</v>
      </c>
      <c r="P1806" s="3" t="s">
        <v>716</v>
      </c>
      <c r="Q1806" s="1" t="s">
        <v>689</v>
      </c>
    </row>
    <row r="1807" spans="15:17" x14ac:dyDescent="0.25">
      <c r="O1807" s="1">
        <v>18834</v>
      </c>
      <c r="P1807" s="3" t="s">
        <v>719</v>
      </c>
      <c r="Q1807" s="1" t="s">
        <v>660</v>
      </c>
    </row>
    <row r="1808" spans="15:17" x14ac:dyDescent="0.25">
      <c r="O1808" s="1">
        <v>18837</v>
      </c>
      <c r="P1808" s="3" t="s">
        <v>716</v>
      </c>
      <c r="Q1808" s="1" t="s">
        <v>689</v>
      </c>
    </row>
    <row r="1809" spans="15:17" x14ac:dyDescent="0.25">
      <c r="O1809" s="1">
        <v>18840</v>
      </c>
      <c r="P1809" s="3" t="s">
        <v>716</v>
      </c>
      <c r="Q1809" s="1" t="s">
        <v>689</v>
      </c>
    </row>
    <row r="1810" spans="15:17" x14ac:dyDescent="0.25">
      <c r="O1810" s="1">
        <v>18842</v>
      </c>
      <c r="P1810" s="3" t="s">
        <v>719</v>
      </c>
      <c r="Q1810" s="1" t="s">
        <v>660</v>
      </c>
    </row>
    <row r="1811" spans="15:17" x14ac:dyDescent="0.25">
      <c r="O1811" s="1">
        <v>18843</v>
      </c>
      <c r="P1811" s="3" t="s">
        <v>719</v>
      </c>
      <c r="Q1811" s="1" t="s">
        <v>660</v>
      </c>
    </row>
    <row r="1812" spans="15:17" x14ac:dyDescent="0.25">
      <c r="O1812" s="1">
        <v>18844</v>
      </c>
      <c r="P1812" s="3" t="s">
        <v>719</v>
      </c>
      <c r="Q1812" s="1" t="s">
        <v>660</v>
      </c>
    </row>
    <row r="1813" spans="15:17" x14ac:dyDescent="0.25">
      <c r="O1813" s="1">
        <v>18845</v>
      </c>
      <c r="P1813" s="3" t="s">
        <v>716</v>
      </c>
      <c r="Q1813" s="1" t="s">
        <v>689</v>
      </c>
    </row>
    <row r="1814" spans="15:17" x14ac:dyDescent="0.25">
      <c r="O1814" s="1">
        <v>18846</v>
      </c>
      <c r="P1814" s="3" t="s">
        <v>716</v>
      </c>
      <c r="Q1814" s="1" t="s">
        <v>689</v>
      </c>
    </row>
    <row r="1815" spans="15:17" x14ac:dyDescent="0.25">
      <c r="O1815" s="1">
        <v>18847</v>
      </c>
      <c r="P1815" s="3" t="s">
        <v>719</v>
      </c>
      <c r="Q1815" s="1" t="s">
        <v>660</v>
      </c>
    </row>
    <row r="1816" spans="15:17" x14ac:dyDescent="0.25">
      <c r="O1816" s="1">
        <v>18848</v>
      </c>
      <c r="P1816" s="3" t="s">
        <v>716</v>
      </c>
      <c r="Q1816" s="1" t="s">
        <v>689</v>
      </c>
    </row>
    <row r="1817" spans="15:17" x14ac:dyDescent="0.25">
      <c r="O1817" s="1">
        <v>18850</v>
      </c>
      <c r="P1817" s="3" t="s">
        <v>716</v>
      </c>
      <c r="Q1817" s="1" t="s">
        <v>689</v>
      </c>
    </row>
    <row r="1818" spans="15:17" x14ac:dyDescent="0.25">
      <c r="O1818" s="1">
        <v>18851</v>
      </c>
      <c r="P1818" s="3" t="s">
        <v>716</v>
      </c>
      <c r="Q1818" s="1" t="s">
        <v>689</v>
      </c>
    </row>
    <row r="1819" spans="15:17" x14ac:dyDescent="0.25">
      <c r="O1819" s="1">
        <v>18853</v>
      </c>
      <c r="P1819" s="3" t="s">
        <v>716</v>
      </c>
      <c r="Q1819" s="1" t="s">
        <v>689</v>
      </c>
    </row>
    <row r="1820" spans="15:17" x14ac:dyDescent="0.25">
      <c r="O1820" s="1">
        <v>18854</v>
      </c>
      <c r="P1820" s="3" t="s">
        <v>716</v>
      </c>
      <c r="Q1820" s="1" t="s">
        <v>689</v>
      </c>
    </row>
    <row r="1821" spans="15:17" x14ac:dyDescent="0.25">
      <c r="O1821" s="1">
        <v>18901</v>
      </c>
      <c r="P1821" s="3" t="s">
        <v>717</v>
      </c>
      <c r="Q1821" s="1" t="s">
        <v>682</v>
      </c>
    </row>
    <row r="1822" spans="15:17" x14ac:dyDescent="0.25">
      <c r="O1822" s="1">
        <v>18902</v>
      </c>
      <c r="P1822" s="3" t="s">
        <v>717</v>
      </c>
      <c r="Q1822" s="1" t="s">
        <v>682</v>
      </c>
    </row>
    <row r="1823" spans="15:17" x14ac:dyDescent="0.25">
      <c r="O1823" s="1">
        <v>18910</v>
      </c>
      <c r="P1823" s="3" t="s">
        <v>717</v>
      </c>
      <c r="Q1823" s="1" t="s">
        <v>682</v>
      </c>
    </row>
    <row r="1824" spans="15:17" x14ac:dyDescent="0.25">
      <c r="O1824" s="1">
        <v>18911</v>
      </c>
      <c r="P1824" s="3" t="s">
        <v>717</v>
      </c>
      <c r="Q1824" s="1" t="s">
        <v>682</v>
      </c>
    </row>
    <row r="1825" spans="15:17" x14ac:dyDescent="0.25">
      <c r="O1825" s="1">
        <v>18912</v>
      </c>
      <c r="P1825" s="3" t="s">
        <v>717</v>
      </c>
      <c r="Q1825" s="1" t="s">
        <v>682</v>
      </c>
    </row>
    <row r="1826" spans="15:17" x14ac:dyDescent="0.25">
      <c r="O1826" s="1">
        <v>18913</v>
      </c>
      <c r="P1826" s="3" t="s">
        <v>717</v>
      </c>
      <c r="Q1826" s="1" t="s">
        <v>682</v>
      </c>
    </row>
    <row r="1827" spans="15:17" x14ac:dyDescent="0.25">
      <c r="O1827" s="1">
        <v>18914</v>
      </c>
      <c r="P1827" s="3" t="s">
        <v>717</v>
      </c>
      <c r="Q1827" s="1" t="s">
        <v>682</v>
      </c>
    </row>
    <row r="1828" spans="15:17" x14ac:dyDescent="0.25">
      <c r="O1828" s="1">
        <v>18915</v>
      </c>
      <c r="P1828" s="3" t="s">
        <v>717</v>
      </c>
      <c r="Q1828" s="1" t="s">
        <v>682</v>
      </c>
    </row>
    <row r="1829" spans="15:17" x14ac:dyDescent="0.25">
      <c r="O1829" s="1">
        <v>18916</v>
      </c>
      <c r="P1829" s="3" t="s">
        <v>717</v>
      </c>
      <c r="Q1829" s="1" t="s">
        <v>682</v>
      </c>
    </row>
    <row r="1830" spans="15:17" x14ac:dyDescent="0.25">
      <c r="O1830" s="1">
        <v>18917</v>
      </c>
      <c r="P1830" s="3" t="s">
        <v>717</v>
      </c>
      <c r="Q1830" s="1" t="s">
        <v>682</v>
      </c>
    </row>
    <row r="1831" spans="15:17" x14ac:dyDescent="0.25">
      <c r="O1831" s="1">
        <v>18918</v>
      </c>
      <c r="P1831" s="3" t="s">
        <v>717</v>
      </c>
      <c r="Q1831" s="1" t="s">
        <v>682</v>
      </c>
    </row>
    <row r="1832" spans="15:17" x14ac:dyDescent="0.25">
      <c r="O1832" s="1">
        <v>18920</v>
      </c>
      <c r="P1832" s="3" t="s">
        <v>717</v>
      </c>
      <c r="Q1832" s="1" t="s">
        <v>682</v>
      </c>
    </row>
    <row r="1833" spans="15:17" x14ac:dyDescent="0.25">
      <c r="O1833" s="1">
        <v>18921</v>
      </c>
      <c r="P1833" s="3" t="s">
        <v>717</v>
      </c>
      <c r="Q1833" s="1" t="s">
        <v>682</v>
      </c>
    </row>
    <row r="1834" spans="15:17" x14ac:dyDescent="0.25">
      <c r="O1834" s="1">
        <v>18922</v>
      </c>
      <c r="P1834" s="3" t="s">
        <v>717</v>
      </c>
      <c r="Q1834" s="1" t="s">
        <v>682</v>
      </c>
    </row>
    <row r="1835" spans="15:17" x14ac:dyDescent="0.25">
      <c r="O1835" s="1">
        <v>18923</v>
      </c>
      <c r="P1835" s="3" t="s">
        <v>717</v>
      </c>
      <c r="Q1835" s="1" t="s">
        <v>682</v>
      </c>
    </row>
    <row r="1836" spans="15:17" x14ac:dyDescent="0.25">
      <c r="O1836" s="1">
        <v>18924</v>
      </c>
      <c r="P1836" s="3" t="s">
        <v>717</v>
      </c>
      <c r="Q1836" s="1" t="s">
        <v>682</v>
      </c>
    </row>
    <row r="1837" spans="15:17" x14ac:dyDescent="0.25">
      <c r="O1837" s="1">
        <v>18925</v>
      </c>
      <c r="P1837" s="3" t="s">
        <v>717</v>
      </c>
      <c r="Q1837" s="1" t="s">
        <v>682</v>
      </c>
    </row>
    <row r="1838" spans="15:17" x14ac:dyDescent="0.25">
      <c r="O1838" s="1">
        <v>18926</v>
      </c>
      <c r="P1838" s="3" t="s">
        <v>717</v>
      </c>
      <c r="Q1838" s="1" t="s">
        <v>682</v>
      </c>
    </row>
    <row r="1839" spans="15:17" x14ac:dyDescent="0.25">
      <c r="O1839" s="1">
        <v>18927</v>
      </c>
      <c r="P1839" s="3" t="s">
        <v>717</v>
      </c>
      <c r="Q1839" s="1" t="s">
        <v>682</v>
      </c>
    </row>
    <row r="1840" spans="15:17" x14ac:dyDescent="0.25">
      <c r="O1840" s="1">
        <v>18928</v>
      </c>
      <c r="P1840" s="3" t="s">
        <v>717</v>
      </c>
      <c r="Q1840" s="1" t="s">
        <v>682</v>
      </c>
    </row>
    <row r="1841" spans="15:17" x14ac:dyDescent="0.25">
      <c r="O1841" s="1">
        <v>18929</v>
      </c>
      <c r="P1841" s="3" t="s">
        <v>717</v>
      </c>
      <c r="Q1841" s="1" t="s">
        <v>682</v>
      </c>
    </row>
    <row r="1842" spans="15:17" x14ac:dyDescent="0.25">
      <c r="O1842" s="1">
        <v>18930</v>
      </c>
      <c r="P1842" s="3" t="s">
        <v>717</v>
      </c>
      <c r="Q1842" s="1" t="s">
        <v>682</v>
      </c>
    </row>
    <row r="1843" spans="15:17" x14ac:dyDescent="0.25">
      <c r="O1843" s="1">
        <v>18931</v>
      </c>
      <c r="P1843" s="3" t="s">
        <v>717</v>
      </c>
      <c r="Q1843" s="1" t="s">
        <v>682</v>
      </c>
    </row>
    <row r="1844" spans="15:17" x14ac:dyDescent="0.25">
      <c r="O1844" s="1">
        <v>18932</v>
      </c>
      <c r="P1844" s="3" t="s">
        <v>717</v>
      </c>
      <c r="Q1844" s="1" t="s">
        <v>682</v>
      </c>
    </row>
    <row r="1845" spans="15:17" x14ac:dyDescent="0.25">
      <c r="O1845" s="1">
        <v>18933</v>
      </c>
      <c r="P1845" s="3" t="s">
        <v>717</v>
      </c>
      <c r="Q1845" s="1" t="s">
        <v>682</v>
      </c>
    </row>
    <row r="1846" spans="15:17" x14ac:dyDescent="0.25">
      <c r="O1846" s="1">
        <v>18934</v>
      </c>
      <c r="P1846" s="3" t="s">
        <v>717</v>
      </c>
      <c r="Q1846" s="1" t="s">
        <v>682</v>
      </c>
    </row>
    <row r="1847" spans="15:17" x14ac:dyDescent="0.25">
      <c r="O1847" s="1">
        <v>18935</v>
      </c>
      <c r="P1847" s="3" t="s">
        <v>717</v>
      </c>
      <c r="Q1847" s="1" t="s">
        <v>682</v>
      </c>
    </row>
    <row r="1848" spans="15:17" x14ac:dyDescent="0.25">
      <c r="O1848" s="1">
        <v>18936</v>
      </c>
      <c r="P1848" s="3" t="s">
        <v>717</v>
      </c>
      <c r="Q1848" s="1" t="s">
        <v>682</v>
      </c>
    </row>
    <row r="1849" spans="15:17" x14ac:dyDescent="0.25">
      <c r="O1849" s="1">
        <v>18938</v>
      </c>
      <c r="P1849" s="3" t="s">
        <v>717</v>
      </c>
      <c r="Q1849" s="1" t="s">
        <v>682</v>
      </c>
    </row>
    <row r="1850" spans="15:17" x14ac:dyDescent="0.25">
      <c r="O1850" s="1">
        <v>18940</v>
      </c>
      <c r="P1850" s="3" t="s">
        <v>717</v>
      </c>
      <c r="Q1850" s="1" t="s">
        <v>682</v>
      </c>
    </row>
    <row r="1851" spans="15:17" x14ac:dyDescent="0.25">
      <c r="O1851" s="1">
        <v>18942</v>
      </c>
      <c r="P1851" s="3" t="s">
        <v>717</v>
      </c>
      <c r="Q1851" s="1" t="s">
        <v>682</v>
      </c>
    </row>
    <row r="1852" spans="15:17" x14ac:dyDescent="0.25">
      <c r="O1852" s="1">
        <v>18943</v>
      </c>
      <c r="P1852" s="3" t="s">
        <v>717</v>
      </c>
      <c r="Q1852" s="1" t="s">
        <v>682</v>
      </c>
    </row>
    <row r="1853" spans="15:17" x14ac:dyDescent="0.25">
      <c r="O1853" s="1">
        <v>18944</v>
      </c>
      <c r="P1853" s="3" t="s">
        <v>717</v>
      </c>
      <c r="Q1853" s="1" t="s">
        <v>682</v>
      </c>
    </row>
    <row r="1854" spans="15:17" x14ac:dyDescent="0.25">
      <c r="O1854" s="1">
        <v>18946</v>
      </c>
      <c r="P1854" s="3" t="s">
        <v>717</v>
      </c>
      <c r="Q1854" s="1" t="s">
        <v>682</v>
      </c>
    </row>
    <row r="1855" spans="15:17" x14ac:dyDescent="0.25">
      <c r="O1855" s="1">
        <v>18947</v>
      </c>
      <c r="P1855" s="3" t="s">
        <v>717</v>
      </c>
      <c r="Q1855" s="1" t="s">
        <v>682</v>
      </c>
    </row>
    <row r="1856" spans="15:17" x14ac:dyDescent="0.25">
      <c r="O1856" s="1">
        <v>18949</v>
      </c>
      <c r="P1856" s="3" t="s">
        <v>717</v>
      </c>
      <c r="Q1856" s="1" t="s">
        <v>682</v>
      </c>
    </row>
    <row r="1857" spans="15:17" x14ac:dyDescent="0.25">
      <c r="O1857" s="1">
        <v>18950</v>
      </c>
      <c r="P1857" s="3" t="s">
        <v>717</v>
      </c>
      <c r="Q1857" s="1" t="s">
        <v>682</v>
      </c>
    </row>
    <row r="1858" spans="15:17" x14ac:dyDescent="0.25">
      <c r="O1858" s="1">
        <v>18951</v>
      </c>
      <c r="P1858" s="3" t="s">
        <v>717</v>
      </c>
      <c r="Q1858" s="1" t="s">
        <v>682</v>
      </c>
    </row>
    <row r="1859" spans="15:17" x14ac:dyDescent="0.25">
      <c r="O1859" s="1">
        <v>18953</v>
      </c>
      <c r="P1859" s="3" t="s">
        <v>717</v>
      </c>
      <c r="Q1859" s="1" t="s">
        <v>682</v>
      </c>
    </row>
    <row r="1860" spans="15:17" x14ac:dyDescent="0.25">
      <c r="O1860" s="1">
        <v>18954</v>
      </c>
      <c r="P1860" s="3" t="s">
        <v>717</v>
      </c>
      <c r="Q1860" s="1" t="s">
        <v>682</v>
      </c>
    </row>
    <row r="1861" spans="15:17" x14ac:dyDescent="0.25">
      <c r="O1861" s="1">
        <v>18955</v>
      </c>
      <c r="P1861" s="3" t="s">
        <v>717</v>
      </c>
      <c r="Q1861" s="1" t="s">
        <v>682</v>
      </c>
    </row>
    <row r="1862" spans="15:17" x14ac:dyDescent="0.25">
      <c r="O1862" s="1">
        <v>18956</v>
      </c>
      <c r="P1862" s="3" t="s">
        <v>717</v>
      </c>
      <c r="Q1862" s="1" t="s">
        <v>682</v>
      </c>
    </row>
    <row r="1863" spans="15:17" x14ac:dyDescent="0.25">
      <c r="O1863" s="1">
        <v>18957</v>
      </c>
      <c r="P1863" s="3" t="s">
        <v>717</v>
      </c>
      <c r="Q1863" s="1" t="s">
        <v>682</v>
      </c>
    </row>
    <row r="1864" spans="15:17" x14ac:dyDescent="0.25">
      <c r="O1864" s="1">
        <v>18958</v>
      </c>
      <c r="P1864" s="3" t="s">
        <v>717</v>
      </c>
      <c r="Q1864" s="1" t="s">
        <v>682</v>
      </c>
    </row>
    <row r="1865" spans="15:17" x14ac:dyDescent="0.25">
      <c r="O1865" s="1">
        <v>18960</v>
      </c>
      <c r="P1865" s="3" t="s">
        <v>717</v>
      </c>
      <c r="Q1865" s="1" t="s">
        <v>682</v>
      </c>
    </row>
    <row r="1866" spans="15:17" x14ac:dyDescent="0.25">
      <c r="O1866" s="1">
        <v>18962</v>
      </c>
      <c r="P1866" s="3" t="s">
        <v>717</v>
      </c>
      <c r="Q1866" s="1" t="s">
        <v>682</v>
      </c>
    </row>
    <row r="1867" spans="15:17" x14ac:dyDescent="0.25">
      <c r="O1867" s="1">
        <v>18963</v>
      </c>
      <c r="P1867" s="3" t="s">
        <v>717</v>
      </c>
      <c r="Q1867" s="1" t="s">
        <v>682</v>
      </c>
    </row>
    <row r="1868" spans="15:17" x14ac:dyDescent="0.25">
      <c r="O1868" s="1">
        <v>18964</v>
      </c>
      <c r="P1868" s="3" t="s">
        <v>717</v>
      </c>
      <c r="Q1868" s="1" t="s">
        <v>682</v>
      </c>
    </row>
    <row r="1869" spans="15:17" x14ac:dyDescent="0.25">
      <c r="O1869" s="1">
        <v>18966</v>
      </c>
      <c r="P1869" s="3" t="s">
        <v>717</v>
      </c>
      <c r="Q1869" s="1" t="s">
        <v>682</v>
      </c>
    </row>
    <row r="1870" spans="15:17" x14ac:dyDescent="0.25">
      <c r="O1870" s="1">
        <v>18968</v>
      </c>
      <c r="P1870" s="3" t="s">
        <v>717</v>
      </c>
      <c r="Q1870" s="1" t="s">
        <v>682</v>
      </c>
    </row>
    <row r="1871" spans="15:17" x14ac:dyDescent="0.25">
      <c r="O1871" s="1">
        <v>18969</v>
      </c>
      <c r="P1871" s="3" t="s">
        <v>717</v>
      </c>
      <c r="Q1871" s="1" t="s">
        <v>682</v>
      </c>
    </row>
    <row r="1872" spans="15:17" x14ac:dyDescent="0.25">
      <c r="O1872" s="1">
        <v>18970</v>
      </c>
      <c r="P1872" s="3" t="s">
        <v>717</v>
      </c>
      <c r="Q1872" s="1" t="s">
        <v>682</v>
      </c>
    </row>
    <row r="1873" spans="15:17" x14ac:dyDescent="0.25">
      <c r="O1873" s="1">
        <v>18971</v>
      </c>
      <c r="P1873" s="3" t="s">
        <v>717</v>
      </c>
      <c r="Q1873" s="1" t="s">
        <v>682</v>
      </c>
    </row>
    <row r="1874" spans="15:17" x14ac:dyDescent="0.25">
      <c r="O1874" s="1">
        <v>18972</v>
      </c>
      <c r="P1874" s="3" t="s">
        <v>717</v>
      </c>
      <c r="Q1874" s="1" t="s">
        <v>682</v>
      </c>
    </row>
    <row r="1875" spans="15:17" x14ac:dyDescent="0.25">
      <c r="O1875" s="1">
        <v>18974</v>
      </c>
      <c r="P1875" s="3" t="s">
        <v>717</v>
      </c>
      <c r="Q1875" s="1" t="s">
        <v>682</v>
      </c>
    </row>
    <row r="1876" spans="15:17" x14ac:dyDescent="0.25">
      <c r="O1876" s="1">
        <v>18976</v>
      </c>
      <c r="P1876" s="3" t="s">
        <v>717</v>
      </c>
      <c r="Q1876" s="1" t="s">
        <v>682</v>
      </c>
    </row>
    <row r="1877" spans="15:17" x14ac:dyDescent="0.25">
      <c r="O1877" s="1">
        <v>18977</v>
      </c>
      <c r="P1877" s="3" t="s">
        <v>717</v>
      </c>
      <c r="Q1877" s="1" t="s">
        <v>682</v>
      </c>
    </row>
    <row r="1878" spans="15:17" x14ac:dyDescent="0.25">
      <c r="O1878" s="1">
        <v>18979</v>
      </c>
      <c r="P1878" s="3" t="s">
        <v>717</v>
      </c>
      <c r="Q1878" s="1" t="s">
        <v>682</v>
      </c>
    </row>
    <row r="1879" spans="15:17" x14ac:dyDescent="0.25">
      <c r="O1879" s="1">
        <v>18980</v>
      </c>
      <c r="P1879" s="3" t="s">
        <v>717</v>
      </c>
      <c r="Q1879" s="1" t="s">
        <v>682</v>
      </c>
    </row>
    <row r="1880" spans="15:17" x14ac:dyDescent="0.25">
      <c r="O1880" s="1">
        <v>18981</v>
      </c>
      <c r="P1880" s="3" t="s">
        <v>717</v>
      </c>
      <c r="Q1880" s="1" t="s">
        <v>682</v>
      </c>
    </row>
    <row r="1881" spans="15:17" x14ac:dyDescent="0.25">
      <c r="O1881" s="1">
        <v>18991</v>
      </c>
      <c r="P1881" s="3" t="s">
        <v>717</v>
      </c>
      <c r="Q1881" s="1" t="s">
        <v>682</v>
      </c>
    </row>
    <row r="1882" spans="15:17" x14ac:dyDescent="0.25">
      <c r="O1882" s="1">
        <v>19001</v>
      </c>
      <c r="P1882" s="3" t="s">
        <v>717</v>
      </c>
      <c r="Q1882" s="1" t="s">
        <v>682</v>
      </c>
    </row>
    <row r="1883" spans="15:17" x14ac:dyDescent="0.25">
      <c r="O1883" s="1">
        <v>19002</v>
      </c>
      <c r="P1883" s="3" t="s">
        <v>717</v>
      </c>
      <c r="Q1883" s="1" t="s">
        <v>682</v>
      </c>
    </row>
    <row r="1884" spans="15:17" x14ac:dyDescent="0.25">
      <c r="O1884" s="1">
        <v>19003</v>
      </c>
      <c r="P1884" s="3" t="s">
        <v>717</v>
      </c>
      <c r="Q1884" s="1" t="s">
        <v>682</v>
      </c>
    </row>
    <row r="1885" spans="15:17" x14ac:dyDescent="0.25">
      <c r="O1885" s="1">
        <v>19004</v>
      </c>
      <c r="P1885" s="3" t="s">
        <v>717</v>
      </c>
      <c r="Q1885" s="1" t="s">
        <v>682</v>
      </c>
    </row>
    <row r="1886" spans="15:17" x14ac:dyDescent="0.25">
      <c r="O1886" s="1">
        <v>19006</v>
      </c>
      <c r="P1886" s="3" t="s">
        <v>717</v>
      </c>
      <c r="Q1886" s="1" t="s">
        <v>682</v>
      </c>
    </row>
    <row r="1887" spans="15:17" x14ac:dyDescent="0.25">
      <c r="O1887" s="1">
        <v>19007</v>
      </c>
      <c r="P1887" s="3" t="s">
        <v>717</v>
      </c>
      <c r="Q1887" s="1" t="s">
        <v>682</v>
      </c>
    </row>
    <row r="1888" spans="15:17" x14ac:dyDescent="0.25">
      <c r="O1888" s="1">
        <v>19008</v>
      </c>
      <c r="P1888" s="3" t="s">
        <v>717</v>
      </c>
      <c r="Q1888" s="1" t="s">
        <v>682</v>
      </c>
    </row>
    <row r="1889" spans="15:17" x14ac:dyDescent="0.25">
      <c r="O1889" s="1">
        <v>19009</v>
      </c>
      <c r="P1889" s="3" t="s">
        <v>717</v>
      </c>
      <c r="Q1889" s="1" t="s">
        <v>682</v>
      </c>
    </row>
    <row r="1890" spans="15:17" x14ac:dyDescent="0.25">
      <c r="O1890" s="1">
        <v>19010</v>
      </c>
      <c r="P1890" s="3" t="s">
        <v>717</v>
      </c>
      <c r="Q1890" s="1" t="s">
        <v>682</v>
      </c>
    </row>
    <row r="1891" spans="15:17" x14ac:dyDescent="0.25">
      <c r="O1891" s="1">
        <v>19012</v>
      </c>
      <c r="P1891" s="3" t="s">
        <v>717</v>
      </c>
      <c r="Q1891" s="1" t="s">
        <v>682</v>
      </c>
    </row>
    <row r="1892" spans="15:17" x14ac:dyDescent="0.25">
      <c r="O1892" s="1">
        <v>19013</v>
      </c>
      <c r="P1892" s="3" t="s">
        <v>717</v>
      </c>
      <c r="Q1892" s="1" t="s">
        <v>682</v>
      </c>
    </row>
    <row r="1893" spans="15:17" x14ac:dyDescent="0.25">
      <c r="O1893" s="1">
        <v>19014</v>
      </c>
      <c r="P1893" s="3" t="s">
        <v>717</v>
      </c>
      <c r="Q1893" s="1" t="s">
        <v>682</v>
      </c>
    </row>
    <row r="1894" spans="15:17" x14ac:dyDescent="0.25">
      <c r="O1894" s="1">
        <v>19015</v>
      </c>
      <c r="P1894" s="3" t="s">
        <v>717</v>
      </c>
      <c r="Q1894" s="1" t="s">
        <v>682</v>
      </c>
    </row>
    <row r="1895" spans="15:17" x14ac:dyDescent="0.25">
      <c r="O1895" s="1">
        <v>19016</v>
      </c>
      <c r="P1895" s="3" t="s">
        <v>717</v>
      </c>
      <c r="Q1895" s="1" t="s">
        <v>682</v>
      </c>
    </row>
    <row r="1896" spans="15:17" x14ac:dyDescent="0.25">
      <c r="O1896" s="1">
        <v>19017</v>
      </c>
      <c r="P1896" s="3" t="s">
        <v>717</v>
      </c>
      <c r="Q1896" s="1" t="s">
        <v>682</v>
      </c>
    </row>
    <row r="1897" spans="15:17" x14ac:dyDescent="0.25">
      <c r="O1897" s="1">
        <v>19018</v>
      </c>
      <c r="P1897" s="3" t="s">
        <v>717</v>
      </c>
      <c r="Q1897" s="1" t="s">
        <v>682</v>
      </c>
    </row>
    <row r="1898" spans="15:17" x14ac:dyDescent="0.25">
      <c r="O1898" s="1">
        <v>19019</v>
      </c>
      <c r="P1898" s="3" t="s">
        <v>717</v>
      </c>
      <c r="Q1898" s="1" t="s">
        <v>682</v>
      </c>
    </row>
    <row r="1899" spans="15:17" x14ac:dyDescent="0.25">
      <c r="O1899" s="1">
        <v>19020</v>
      </c>
      <c r="P1899" s="3" t="s">
        <v>717</v>
      </c>
      <c r="Q1899" s="1" t="s">
        <v>682</v>
      </c>
    </row>
    <row r="1900" spans="15:17" x14ac:dyDescent="0.25">
      <c r="O1900" s="1">
        <v>19021</v>
      </c>
      <c r="P1900" s="3" t="s">
        <v>717</v>
      </c>
      <c r="Q1900" s="1" t="s">
        <v>682</v>
      </c>
    </row>
    <row r="1901" spans="15:17" x14ac:dyDescent="0.25">
      <c r="O1901" s="1">
        <v>19022</v>
      </c>
      <c r="P1901" s="3" t="s">
        <v>717</v>
      </c>
      <c r="Q1901" s="1" t="s">
        <v>682</v>
      </c>
    </row>
    <row r="1902" spans="15:17" x14ac:dyDescent="0.25">
      <c r="O1902" s="1">
        <v>19023</v>
      </c>
      <c r="P1902" s="3" t="s">
        <v>717</v>
      </c>
      <c r="Q1902" s="1" t="s">
        <v>682</v>
      </c>
    </row>
    <row r="1903" spans="15:17" x14ac:dyDescent="0.25">
      <c r="O1903" s="1">
        <v>19025</v>
      </c>
      <c r="P1903" s="3" t="s">
        <v>717</v>
      </c>
      <c r="Q1903" s="1" t="s">
        <v>682</v>
      </c>
    </row>
    <row r="1904" spans="15:17" x14ac:dyDescent="0.25">
      <c r="O1904" s="1">
        <v>19026</v>
      </c>
      <c r="P1904" s="3" t="s">
        <v>717</v>
      </c>
      <c r="Q1904" s="1" t="s">
        <v>682</v>
      </c>
    </row>
    <row r="1905" spans="15:17" x14ac:dyDescent="0.25">
      <c r="O1905" s="1">
        <v>19027</v>
      </c>
      <c r="P1905" s="3" t="s">
        <v>717</v>
      </c>
      <c r="Q1905" s="1" t="s">
        <v>682</v>
      </c>
    </row>
    <row r="1906" spans="15:17" x14ac:dyDescent="0.25">
      <c r="O1906" s="1">
        <v>19028</v>
      </c>
      <c r="P1906" s="3" t="s">
        <v>717</v>
      </c>
      <c r="Q1906" s="1" t="s">
        <v>682</v>
      </c>
    </row>
    <row r="1907" spans="15:17" x14ac:dyDescent="0.25">
      <c r="O1907" s="1">
        <v>19029</v>
      </c>
      <c r="P1907" s="3" t="s">
        <v>717</v>
      </c>
      <c r="Q1907" s="1" t="s">
        <v>682</v>
      </c>
    </row>
    <row r="1908" spans="15:17" x14ac:dyDescent="0.25">
      <c r="O1908" s="1">
        <v>19030</v>
      </c>
      <c r="P1908" s="3" t="s">
        <v>717</v>
      </c>
      <c r="Q1908" s="1" t="s">
        <v>682</v>
      </c>
    </row>
    <row r="1909" spans="15:17" x14ac:dyDescent="0.25">
      <c r="O1909" s="1">
        <v>19031</v>
      </c>
      <c r="P1909" s="3" t="s">
        <v>717</v>
      </c>
      <c r="Q1909" s="1" t="s">
        <v>682</v>
      </c>
    </row>
    <row r="1910" spans="15:17" x14ac:dyDescent="0.25">
      <c r="O1910" s="1">
        <v>19032</v>
      </c>
      <c r="P1910" s="3" t="s">
        <v>717</v>
      </c>
      <c r="Q1910" s="1" t="s">
        <v>682</v>
      </c>
    </row>
    <row r="1911" spans="15:17" x14ac:dyDescent="0.25">
      <c r="O1911" s="1">
        <v>19033</v>
      </c>
      <c r="P1911" s="3" t="s">
        <v>717</v>
      </c>
      <c r="Q1911" s="1" t="s">
        <v>682</v>
      </c>
    </row>
    <row r="1912" spans="15:17" x14ac:dyDescent="0.25">
      <c r="O1912" s="1">
        <v>19034</v>
      </c>
      <c r="P1912" s="3" t="s">
        <v>717</v>
      </c>
      <c r="Q1912" s="1" t="s">
        <v>682</v>
      </c>
    </row>
    <row r="1913" spans="15:17" x14ac:dyDescent="0.25">
      <c r="O1913" s="1">
        <v>19035</v>
      </c>
      <c r="P1913" s="3" t="s">
        <v>717</v>
      </c>
      <c r="Q1913" s="1" t="s">
        <v>682</v>
      </c>
    </row>
    <row r="1914" spans="15:17" x14ac:dyDescent="0.25">
      <c r="O1914" s="1">
        <v>19036</v>
      </c>
      <c r="P1914" s="3" t="s">
        <v>717</v>
      </c>
      <c r="Q1914" s="1" t="s">
        <v>682</v>
      </c>
    </row>
    <row r="1915" spans="15:17" x14ac:dyDescent="0.25">
      <c r="O1915" s="1">
        <v>19037</v>
      </c>
      <c r="P1915" s="3" t="s">
        <v>717</v>
      </c>
      <c r="Q1915" s="1" t="s">
        <v>682</v>
      </c>
    </row>
    <row r="1916" spans="15:17" x14ac:dyDescent="0.25">
      <c r="O1916" s="1">
        <v>19038</v>
      </c>
      <c r="P1916" s="3" t="s">
        <v>717</v>
      </c>
      <c r="Q1916" s="1" t="s">
        <v>682</v>
      </c>
    </row>
    <row r="1917" spans="15:17" x14ac:dyDescent="0.25">
      <c r="O1917" s="1">
        <v>19039</v>
      </c>
      <c r="P1917" s="3" t="s">
        <v>717</v>
      </c>
      <c r="Q1917" s="1" t="s">
        <v>682</v>
      </c>
    </row>
    <row r="1918" spans="15:17" x14ac:dyDescent="0.25">
      <c r="O1918" s="1">
        <v>19040</v>
      </c>
      <c r="P1918" s="3" t="s">
        <v>717</v>
      </c>
      <c r="Q1918" s="1" t="s">
        <v>682</v>
      </c>
    </row>
    <row r="1919" spans="15:17" x14ac:dyDescent="0.25">
      <c r="O1919" s="1">
        <v>19041</v>
      </c>
      <c r="P1919" s="3" t="s">
        <v>717</v>
      </c>
      <c r="Q1919" s="1" t="s">
        <v>682</v>
      </c>
    </row>
    <row r="1920" spans="15:17" x14ac:dyDescent="0.25">
      <c r="O1920" s="1">
        <v>19043</v>
      </c>
      <c r="P1920" s="3" t="s">
        <v>717</v>
      </c>
      <c r="Q1920" s="1" t="s">
        <v>682</v>
      </c>
    </row>
    <row r="1921" spans="15:17" x14ac:dyDescent="0.25">
      <c r="O1921" s="1">
        <v>19044</v>
      </c>
      <c r="P1921" s="3" t="s">
        <v>717</v>
      </c>
      <c r="Q1921" s="1" t="s">
        <v>682</v>
      </c>
    </row>
    <row r="1922" spans="15:17" x14ac:dyDescent="0.25">
      <c r="O1922" s="1">
        <v>19046</v>
      </c>
      <c r="P1922" s="3" t="s">
        <v>717</v>
      </c>
      <c r="Q1922" s="1" t="s">
        <v>682</v>
      </c>
    </row>
    <row r="1923" spans="15:17" x14ac:dyDescent="0.25">
      <c r="O1923" s="1">
        <v>19047</v>
      </c>
      <c r="P1923" s="3" t="s">
        <v>717</v>
      </c>
      <c r="Q1923" s="1" t="s">
        <v>682</v>
      </c>
    </row>
    <row r="1924" spans="15:17" x14ac:dyDescent="0.25">
      <c r="O1924" s="1">
        <v>19048</v>
      </c>
      <c r="P1924" s="3" t="s">
        <v>717</v>
      </c>
      <c r="Q1924" s="1" t="s">
        <v>682</v>
      </c>
    </row>
    <row r="1925" spans="15:17" x14ac:dyDescent="0.25">
      <c r="O1925" s="1">
        <v>19049</v>
      </c>
      <c r="P1925" s="3" t="s">
        <v>717</v>
      </c>
      <c r="Q1925" s="1" t="s">
        <v>682</v>
      </c>
    </row>
    <row r="1926" spans="15:17" x14ac:dyDescent="0.25">
      <c r="O1926" s="1">
        <v>19050</v>
      </c>
      <c r="P1926" s="3" t="s">
        <v>717</v>
      </c>
      <c r="Q1926" s="1" t="s">
        <v>682</v>
      </c>
    </row>
    <row r="1927" spans="15:17" x14ac:dyDescent="0.25">
      <c r="O1927" s="1">
        <v>19052</v>
      </c>
      <c r="P1927" s="3" t="s">
        <v>717</v>
      </c>
      <c r="Q1927" s="1" t="s">
        <v>682</v>
      </c>
    </row>
    <row r="1928" spans="15:17" x14ac:dyDescent="0.25">
      <c r="O1928" s="1">
        <v>19053</v>
      </c>
      <c r="P1928" s="3" t="s">
        <v>717</v>
      </c>
      <c r="Q1928" s="1" t="s">
        <v>682</v>
      </c>
    </row>
    <row r="1929" spans="15:17" x14ac:dyDescent="0.25">
      <c r="O1929" s="1">
        <v>19054</v>
      </c>
      <c r="P1929" s="3" t="s">
        <v>717</v>
      </c>
      <c r="Q1929" s="1" t="s">
        <v>682</v>
      </c>
    </row>
    <row r="1930" spans="15:17" x14ac:dyDescent="0.25">
      <c r="O1930" s="1">
        <v>19055</v>
      </c>
      <c r="P1930" s="3" t="s">
        <v>717</v>
      </c>
      <c r="Q1930" s="1" t="s">
        <v>682</v>
      </c>
    </row>
    <row r="1931" spans="15:17" x14ac:dyDescent="0.25">
      <c r="O1931" s="1">
        <v>19056</v>
      </c>
      <c r="P1931" s="3" t="s">
        <v>717</v>
      </c>
      <c r="Q1931" s="1" t="s">
        <v>682</v>
      </c>
    </row>
    <row r="1932" spans="15:17" x14ac:dyDescent="0.25">
      <c r="O1932" s="1">
        <v>19057</v>
      </c>
      <c r="P1932" s="3" t="s">
        <v>717</v>
      </c>
      <c r="Q1932" s="1" t="s">
        <v>682</v>
      </c>
    </row>
    <row r="1933" spans="15:17" x14ac:dyDescent="0.25">
      <c r="O1933" s="1">
        <v>19058</v>
      </c>
      <c r="P1933" s="3" t="s">
        <v>717</v>
      </c>
      <c r="Q1933" s="1" t="s">
        <v>682</v>
      </c>
    </row>
    <row r="1934" spans="15:17" x14ac:dyDescent="0.25">
      <c r="O1934" s="1">
        <v>19059</v>
      </c>
      <c r="P1934" s="3" t="s">
        <v>717</v>
      </c>
      <c r="Q1934" s="1" t="s">
        <v>682</v>
      </c>
    </row>
    <row r="1935" spans="15:17" x14ac:dyDescent="0.25">
      <c r="O1935" s="1">
        <v>19060</v>
      </c>
      <c r="P1935" s="3" t="s">
        <v>717</v>
      </c>
      <c r="Q1935" s="1" t="s">
        <v>682</v>
      </c>
    </row>
    <row r="1936" spans="15:17" x14ac:dyDescent="0.25">
      <c r="O1936" s="1">
        <v>19061</v>
      </c>
      <c r="P1936" s="3" t="s">
        <v>717</v>
      </c>
      <c r="Q1936" s="1" t="s">
        <v>682</v>
      </c>
    </row>
    <row r="1937" spans="15:17" x14ac:dyDescent="0.25">
      <c r="O1937" s="1">
        <v>19063</v>
      </c>
      <c r="P1937" s="3" t="s">
        <v>717</v>
      </c>
      <c r="Q1937" s="1" t="s">
        <v>682</v>
      </c>
    </row>
    <row r="1938" spans="15:17" x14ac:dyDescent="0.25">
      <c r="O1938" s="1">
        <v>19064</v>
      </c>
      <c r="P1938" s="3" t="s">
        <v>717</v>
      </c>
      <c r="Q1938" s="1" t="s">
        <v>682</v>
      </c>
    </row>
    <row r="1939" spans="15:17" x14ac:dyDescent="0.25">
      <c r="O1939" s="1">
        <v>19065</v>
      </c>
      <c r="P1939" s="3" t="s">
        <v>717</v>
      </c>
      <c r="Q1939" s="1" t="s">
        <v>682</v>
      </c>
    </row>
    <row r="1940" spans="15:17" x14ac:dyDescent="0.25">
      <c r="O1940" s="1">
        <v>19066</v>
      </c>
      <c r="P1940" s="3" t="s">
        <v>717</v>
      </c>
      <c r="Q1940" s="1" t="s">
        <v>682</v>
      </c>
    </row>
    <row r="1941" spans="15:17" x14ac:dyDescent="0.25">
      <c r="O1941" s="1">
        <v>19067</v>
      </c>
      <c r="P1941" s="3" t="s">
        <v>717</v>
      </c>
      <c r="Q1941" s="1" t="s">
        <v>682</v>
      </c>
    </row>
    <row r="1942" spans="15:17" x14ac:dyDescent="0.25">
      <c r="O1942" s="1">
        <v>19070</v>
      </c>
      <c r="P1942" s="3" t="s">
        <v>717</v>
      </c>
      <c r="Q1942" s="1" t="s">
        <v>682</v>
      </c>
    </row>
    <row r="1943" spans="15:17" x14ac:dyDescent="0.25">
      <c r="O1943" s="1">
        <v>19072</v>
      </c>
      <c r="P1943" s="3" t="s">
        <v>717</v>
      </c>
      <c r="Q1943" s="1" t="s">
        <v>682</v>
      </c>
    </row>
    <row r="1944" spans="15:17" x14ac:dyDescent="0.25">
      <c r="O1944" s="1">
        <v>19073</v>
      </c>
      <c r="P1944" s="3" t="s">
        <v>717</v>
      </c>
      <c r="Q1944" s="1" t="s">
        <v>682</v>
      </c>
    </row>
    <row r="1945" spans="15:17" x14ac:dyDescent="0.25">
      <c r="O1945" s="1">
        <v>19074</v>
      </c>
      <c r="P1945" s="3" t="s">
        <v>717</v>
      </c>
      <c r="Q1945" s="1" t="s">
        <v>682</v>
      </c>
    </row>
    <row r="1946" spans="15:17" x14ac:dyDescent="0.25">
      <c r="O1946" s="1">
        <v>19075</v>
      </c>
      <c r="P1946" s="3" t="s">
        <v>717</v>
      </c>
      <c r="Q1946" s="1" t="s">
        <v>682</v>
      </c>
    </row>
    <row r="1947" spans="15:17" x14ac:dyDescent="0.25">
      <c r="O1947" s="1">
        <v>19076</v>
      </c>
      <c r="P1947" s="3" t="s">
        <v>717</v>
      </c>
      <c r="Q1947" s="1" t="s">
        <v>682</v>
      </c>
    </row>
    <row r="1948" spans="15:17" x14ac:dyDescent="0.25">
      <c r="O1948" s="1">
        <v>19078</v>
      </c>
      <c r="P1948" s="3" t="s">
        <v>717</v>
      </c>
      <c r="Q1948" s="1" t="s">
        <v>682</v>
      </c>
    </row>
    <row r="1949" spans="15:17" x14ac:dyDescent="0.25">
      <c r="O1949" s="1">
        <v>19079</v>
      </c>
      <c r="P1949" s="3" t="s">
        <v>717</v>
      </c>
      <c r="Q1949" s="1" t="s">
        <v>682</v>
      </c>
    </row>
    <row r="1950" spans="15:17" x14ac:dyDescent="0.25">
      <c r="O1950" s="1">
        <v>19080</v>
      </c>
      <c r="P1950" s="3" t="s">
        <v>717</v>
      </c>
      <c r="Q1950" s="1" t="s">
        <v>682</v>
      </c>
    </row>
    <row r="1951" spans="15:17" x14ac:dyDescent="0.25">
      <c r="O1951" s="1">
        <v>19081</v>
      </c>
      <c r="P1951" s="3" t="s">
        <v>717</v>
      </c>
      <c r="Q1951" s="1" t="s">
        <v>682</v>
      </c>
    </row>
    <row r="1952" spans="15:17" x14ac:dyDescent="0.25">
      <c r="O1952" s="1">
        <v>19082</v>
      </c>
      <c r="P1952" s="3" t="s">
        <v>717</v>
      </c>
      <c r="Q1952" s="1" t="s">
        <v>682</v>
      </c>
    </row>
    <row r="1953" spans="15:17" x14ac:dyDescent="0.25">
      <c r="O1953" s="1">
        <v>19083</v>
      </c>
      <c r="P1953" s="3" t="s">
        <v>717</v>
      </c>
      <c r="Q1953" s="1" t="s">
        <v>682</v>
      </c>
    </row>
    <row r="1954" spans="15:17" x14ac:dyDescent="0.25">
      <c r="O1954" s="1">
        <v>19085</v>
      </c>
      <c r="P1954" s="3" t="s">
        <v>717</v>
      </c>
      <c r="Q1954" s="1" t="s">
        <v>682</v>
      </c>
    </row>
    <row r="1955" spans="15:17" x14ac:dyDescent="0.25">
      <c r="O1955" s="1">
        <v>19086</v>
      </c>
      <c r="P1955" s="3" t="s">
        <v>717</v>
      </c>
      <c r="Q1955" s="1" t="s">
        <v>682</v>
      </c>
    </row>
    <row r="1956" spans="15:17" x14ac:dyDescent="0.25">
      <c r="O1956" s="1">
        <v>19087</v>
      </c>
      <c r="P1956" s="3" t="s">
        <v>717</v>
      </c>
      <c r="Q1956" s="1" t="s">
        <v>682</v>
      </c>
    </row>
    <row r="1957" spans="15:17" x14ac:dyDescent="0.25">
      <c r="O1957" s="1">
        <v>19088</v>
      </c>
      <c r="P1957" s="3" t="s">
        <v>717</v>
      </c>
      <c r="Q1957" s="1" t="s">
        <v>682</v>
      </c>
    </row>
    <row r="1958" spans="15:17" x14ac:dyDescent="0.25">
      <c r="O1958" s="1">
        <v>19089</v>
      </c>
      <c r="P1958" s="3" t="s">
        <v>717</v>
      </c>
      <c r="Q1958" s="1" t="s">
        <v>682</v>
      </c>
    </row>
    <row r="1959" spans="15:17" x14ac:dyDescent="0.25">
      <c r="O1959" s="1">
        <v>19090</v>
      </c>
      <c r="P1959" s="3" t="s">
        <v>717</v>
      </c>
      <c r="Q1959" s="1" t="s">
        <v>682</v>
      </c>
    </row>
    <row r="1960" spans="15:17" x14ac:dyDescent="0.25">
      <c r="O1960" s="1">
        <v>19091</v>
      </c>
      <c r="P1960" s="3" t="s">
        <v>717</v>
      </c>
      <c r="Q1960" s="1" t="s">
        <v>682</v>
      </c>
    </row>
    <row r="1961" spans="15:17" x14ac:dyDescent="0.25">
      <c r="O1961" s="1">
        <v>19092</v>
      </c>
      <c r="P1961" s="3" t="s">
        <v>717</v>
      </c>
      <c r="Q1961" s="1" t="s">
        <v>682</v>
      </c>
    </row>
    <row r="1962" spans="15:17" x14ac:dyDescent="0.25">
      <c r="O1962" s="1">
        <v>19093</v>
      </c>
      <c r="P1962" s="3" t="s">
        <v>717</v>
      </c>
      <c r="Q1962" s="1" t="s">
        <v>682</v>
      </c>
    </row>
    <row r="1963" spans="15:17" x14ac:dyDescent="0.25">
      <c r="O1963" s="1">
        <v>19094</v>
      </c>
      <c r="P1963" s="3" t="s">
        <v>717</v>
      </c>
      <c r="Q1963" s="1" t="s">
        <v>682</v>
      </c>
    </row>
    <row r="1964" spans="15:17" x14ac:dyDescent="0.25">
      <c r="O1964" s="1">
        <v>19095</v>
      </c>
      <c r="P1964" s="3" t="s">
        <v>717</v>
      </c>
      <c r="Q1964" s="1" t="s">
        <v>682</v>
      </c>
    </row>
    <row r="1965" spans="15:17" x14ac:dyDescent="0.25">
      <c r="O1965" s="1">
        <v>19096</v>
      </c>
      <c r="P1965" s="3" t="s">
        <v>717</v>
      </c>
      <c r="Q1965" s="1" t="s">
        <v>682</v>
      </c>
    </row>
    <row r="1966" spans="15:17" x14ac:dyDescent="0.25">
      <c r="O1966" s="1">
        <v>19098</v>
      </c>
      <c r="P1966" s="3" t="s">
        <v>717</v>
      </c>
      <c r="Q1966" s="1" t="s">
        <v>682</v>
      </c>
    </row>
    <row r="1967" spans="15:17" x14ac:dyDescent="0.25">
      <c r="O1967" s="1">
        <v>19099</v>
      </c>
      <c r="P1967" s="3" t="s">
        <v>717</v>
      </c>
      <c r="Q1967" s="1" t="s">
        <v>682</v>
      </c>
    </row>
    <row r="1968" spans="15:17" x14ac:dyDescent="0.25">
      <c r="O1968" s="1">
        <v>19101</v>
      </c>
      <c r="P1968" s="3" t="s">
        <v>717</v>
      </c>
      <c r="Q1968" s="1" t="s">
        <v>682</v>
      </c>
    </row>
    <row r="1969" spans="15:17" x14ac:dyDescent="0.25">
      <c r="O1969" s="1">
        <v>19102</v>
      </c>
      <c r="P1969" s="3" t="s">
        <v>717</v>
      </c>
      <c r="Q1969" s="1" t="s">
        <v>682</v>
      </c>
    </row>
    <row r="1970" spans="15:17" x14ac:dyDescent="0.25">
      <c r="O1970" s="1">
        <v>19103</v>
      </c>
      <c r="P1970" s="3" t="s">
        <v>717</v>
      </c>
      <c r="Q1970" s="1" t="s">
        <v>682</v>
      </c>
    </row>
    <row r="1971" spans="15:17" x14ac:dyDescent="0.25">
      <c r="O1971" s="1">
        <v>19104</v>
      </c>
      <c r="P1971" s="3" t="s">
        <v>717</v>
      </c>
      <c r="Q1971" s="1" t="s">
        <v>682</v>
      </c>
    </row>
    <row r="1972" spans="15:17" x14ac:dyDescent="0.25">
      <c r="O1972" s="1">
        <v>19105</v>
      </c>
      <c r="P1972" s="3" t="s">
        <v>717</v>
      </c>
      <c r="Q1972" s="1" t="s">
        <v>682</v>
      </c>
    </row>
    <row r="1973" spans="15:17" x14ac:dyDescent="0.25">
      <c r="O1973" s="1">
        <v>19106</v>
      </c>
      <c r="P1973" s="3" t="s">
        <v>717</v>
      </c>
      <c r="Q1973" s="1" t="s">
        <v>682</v>
      </c>
    </row>
    <row r="1974" spans="15:17" x14ac:dyDescent="0.25">
      <c r="O1974" s="1">
        <v>19107</v>
      </c>
      <c r="P1974" s="3" t="s">
        <v>717</v>
      </c>
      <c r="Q1974" s="1" t="s">
        <v>682</v>
      </c>
    </row>
    <row r="1975" spans="15:17" x14ac:dyDescent="0.25">
      <c r="O1975" s="1">
        <v>19108</v>
      </c>
      <c r="P1975" s="3" t="s">
        <v>717</v>
      </c>
      <c r="Q1975" s="1" t="s">
        <v>682</v>
      </c>
    </row>
    <row r="1976" spans="15:17" x14ac:dyDescent="0.25">
      <c r="O1976" s="1">
        <v>19109</v>
      </c>
      <c r="P1976" s="3" t="s">
        <v>717</v>
      </c>
      <c r="Q1976" s="1" t="s">
        <v>682</v>
      </c>
    </row>
    <row r="1977" spans="15:17" x14ac:dyDescent="0.25">
      <c r="O1977" s="1">
        <v>19110</v>
      </c>
      <c r="P1977" s="3" t="s">
        <v>717</v>
      </c>
      <c r="Q1977" s="1" t="s">
        <v>682</v>
      </c>
    </row>
    <row r="1978" spans="15:17" x14ac:dyDescent="0.25">
      <c r="O1978" s="1">
        <v>19111</v>
      </c>
      <c r="P1978" s="3" t="s">
        <v>717</v>
      </c>
      <c r="Q1978" s="1" t="s">
        <v>682</v>
      </c>
    </row>
    <row r="1979" spans="15:17" x14ac:dyDescent="0.25">
      <c r="O1979" s="1">
        <v>19112</v>
      </c>
      <c r="P1979" s="3" t="s">
        <v>717</v>
      </c>
      <c r="Q1979" s="1" t="s">
        <v>682</v>
      </c>
    </row>
    <row r="1980" spans="15:17" x14ac:dyDescent="0.25">
      <c r="O1980" s="1">
        <v>19113</v>
      </c>
      <c r="P1980" s="3" t="s">
        <v>717</v>
      </c>
      <c r="Q1980" s="1" t="s">
        <v>682</v>
      </c>
    </row>
    <row r="1981" spans="15:17" x14ac:dyDescent="0.25">
      <c r="O1981" s="1">
        <v>19114</v>
      </c>
      <c r="P1981" s="3" t="s">
        <v>717</v>
      </c>
      <c r="Q1981" s="1" t="s">
        <v>682</v>
      </c>
    </row>
    <row r="1982" spans="15:17" x14ac:dyDescent="0.25">
      <c r="O1982" s="1">
        <v>19115</v>
      </c>
      <c r="P1982" s="3" t="s">
        <v>717</v>
      </c>
      <c r="Q1982" s="1" t="s">
        <v>682</v>
      </c>
    </row>
    <row r="1983" spans="15:17" x14ac:dyDescent="0.25">
      <c r="O1983" s="1">
        <v>19116</v>
      </c>
      <c r="P1983" s="3" t="s">
        <v>717</v>
      </c>
      <c r="Q1983" s="1" t="s">
        <v>682</v>
      </c>
    </row>
    <row r="1984" spans="15:17" x14ac:dyDescent="0.25">
      <c r="O1984" s="1">
        <v>19118</v>
      </c>
      <c r="P1984" s="3" t="s">
        <v>717</v>
      </c>
      <c r="Q1984" s="1" t="s">
        <v>682</v>
      </c>
    </row>
    <row r="1985" spans="15:17" x14ac:dyDescent="0.25">
      <c r="O1985" s="1">
        <v>19119</v>
      </c>
      <c r="P1985" s="3" t="s">
        <v>717</v>
      </c>
      <c r="Q1985" s="1" t="s">
        <v>682</v>
      </c>
    </row>
    <row r="1986" spans="15:17" x14ac:dyDescent="0.25">
      <c r="O1986" s="1">
        <v>19120</v>
      </c>
      <c r="P1986" s="3" t="s">
        <v>717</v>
      </c>
      <c r="Q1986" s="1" t="s">
        <v>682</v>
      </c>
    </row>
    <row r="1987" spans="15:17" x14ac:dyDescent="0.25">
      <c r="O1987" s="1">
        <v>19121</v>
      </c>
      <c r="P1987" s="3" t="s">
        <v>717</v>
      </c>
      <c r="Q1987" s="1" t="s">
        <v>682</v>
      </c>
    </row>
    <row r="1988" spans="15:17" x14ac:dyDescent="0.25">
      <c r="O1988" s="1">
        <v>19122</v>
      </c>
      <c r="P1988" s="3" t="s">
        <v>717</v>
      </c>
      <c r="Q1988" s="1" t="s">
        <v>682</v>
      </c>
    </row>
    <row r="1989" spans="15:17" x14ac:dyDescent="0.25">
      <c r="O1989" s="1">
        <v>19123</v>
      </c>
      <c r="P1989" s="3" t="s">
        <v>717</v>
      </c>
      <c r="Q1989" s="1" t="s">
        <v>682</v>
      </c>
    </row>
    <row r="1990" spans="15:17" x14ac:dyDescent="0.25">
      <c r="O1990" s="1">
        <v>19124</v>
      </c>
      <c r="P1990" s="3" t="s">
        <v>717</v>
      </c>
      <c r="Q1990" s="1" t="s">
        <v>682</v>
      </c>
    </row>
    <row r="1991" spans="15:17" x14ac:dyDescent="0.25">
      <c r="O1991" s="1">
        <v>19125</v>
      </c>
      <c r="P1991" s="3" t="s">
        <v>717</v>
      </c>
      <c r="Q1991" s="1" t="s">
        <v>682</v>
      </c>
    </row>
    <row r="1992" spans="15:17" x14ac:dyDescent="0.25">
      <c r="O1992" s="1">
        <v>19126</v>
      </c>
      <c r="P1992" s="3" t="s">
        <v>717</v>
      </c>
      <c r="Q1992" s="1" t="s">
        <v>682</v>
      </c>
    </row>
    <row r="1993" spans="15:17" x14ac:dyDescent="0.25">
      <c r="O1993" s="1">
        <v>19127</v>
      </c>
      <c r="P1993" s="3" t="s">
        <v>717</v>
      </c>
      <c r="Q1993" s="1" t="s">
        <v>682</v>
      </c>
    </row>
    <row r="1994" spans="15:17" x14ac:dyDescent="0.25">
      <c r="O1994" s="1">
        <v>19128</v>
      </c>
      <c r="P1994" s="3" t="s">
        <v>717</v>
      </c>
      <c r="Q1994" s="1" t="s">
        <v>682</v>
      </c>
    </row>
    <row r="1995" spans="15:17" x14ac:dyDescent="0.25">
      <c r="O1995" s="1">
        <v>19129</v>
      </c>
      <c r="P1995" s="3" t="s">
        <v>717</v>
      </c>
      <c r="Q1995" s="1" t="s">
        <v>682</v>
      </c>
    </row>
    <row r="1996" spans="15:17" x14ac:dyDescent="0.25">
      <c r="O1996" s="1">
        <v>19130</v>
      </c>
      <c r="P1996" s="3" t="s">
        <v>717</v>
      </c>
      <c r="Q1996" s="1" t="s">
        <v>682</v>
      </c>
    </row>
    <row r="1997" spans="15:17" x14ac:dyDescent="0.25">
      <c r="O1997" s="1">
        <v>19131</v>
      </c>
      <c r="P1997" s="3" t="s">
        <v>717</v>
      </c>
      <c r="Q1997" s="1" t="s">
        <v>682</v>
      </c>
    </row>
    <row r="1998" spans="15:17" x14ac:dyDescent="0.25">
      <c r="O1998" s="1">
        <v>19132</v>
      </c>
      <c r="P1998" s="3" t="s">
        <v>717</v>
      </c>
      <c r="Q1998" s="1" t="s">
        <v>682</v>
      </c>
    </row>
    <row r="1999" spans="15:17" x14ac:dyDescent="0.25">
      <c r="O1999" s="1">
        <v>19133</v>
      </c>
      <c r="P1999" s="3" t="s">
        <v>717</v>
      </c>
      <c r="Q1999" s="1" t="s">
        <v>682</v>
      </c>
    </row>
    <row r="2000" spans="15:17" x14ac:dyDescent="0.25">
      <c r="O2000" s="1">
        <v>19134</v>
      </c>
      <c r="P2000" s="3" t="s">
        <v>717</v>
      </c>
      <c r="Q2000" s="1" t="s">
        <v>682</v>
      </c>
    </row>
    <row r="2001" spans="15:17" x14ac:dyDescent="0.25">
      <c r="O2001" s="1">
        <v>19135</v>
      </c>
      <c r="P2001" s="3" t="s">
        <v>717</v>
      </c>
      <c r="Q2001" s="1" t="s">
        <v>682</v>
      </c>
    </row>
    <row r="2002" spans="15:17" x14ac:dyDescent="0.25">
      <c r="O2002" s="1">
        <v>19136</v>
      </c>
      <c r="P2002" s="3" t="s">
        <v>717</v>
      </c>
      <c r="Q2002" s="1" t="s">
        <v>682</v>
      </c>
    </row>
    <row r="2003" spans="15:17" x14ac:dyDescent="0.25">
      <c r="O2003" s="1">
        <v>19137</v>
      </c>
      <c r="P2003" s="3" t="s">
        <v>717</v>
      </c>
      <c r="Q2003" s="1" t="s">
        <v>682</v>
      </c>
    </row>
    <row r="2004" spans="15:17" x14ac:dyDescent="0.25">
      <c r="O2004" s="1">
        <v>19138</v>
      </c>
      <c r="P2004" s="3" t="s">
        <v>717</v>
      </c>
      <c r="Q2004" s="1" t="s">
        <v>682</v>
      </c>
    </row>
    <row r="2005" spans="15:17" x14ac:dyDescent="0.25">
      <c r="O2005" s="1">
        <v>19139</v>
      </c>
      <c r="P2005" s="3" t="s">
        <v>717</v>
      </c>
      <c r="Q2005" s="1" t="s">
        <v>682</v>
      </c>
    </row>
    <row r="2006" spans="15:17" x14ac:dyDescent="0.25">
      <c r="O2006" s="1">
        <v>19140</v>
      </c>
      <c r="P2006" s="3" t="s">
        <v>717</v>
      </c>
      <c r="Q2006" s="1" t="s">
        <v>682</v>
      </c>
    </row>
    <row r="2007" spans="15:17" x14ac:dyDescent="0.25">
      <c r="O2007" s="1">
        <v>19141</v>
      </c>
      <c r="P2007" s="3" t="s">
        <v>717</v>
      </c>
      <c r="Q2007" s="1" t="s">
        <v>682</v>
      </c>
    </row>
    <row r="2008" spans="15:17" x14ac:dyDescent="0.25">
      <c r="O2008" s="1">
        <v>19142</v>
      </c>
      <c r="P2008" s="3" t="s">
        <v>717</v>
      </c>
      <c r="Q2008" s="1" t="s">
        <v>682</v>
      </c>
    </row>
    <row r="2009" spans="15:17" x14ac:dyDescent="0.25">
      <c r="O2009" s="1">
        <v>19143</v>
      </c>
      <c r="P2009" s="3" t="s">
        <v>717</v>
      </c>
      <c r="Q2009" s="1" t="s">
        <v>682</v>
      </c>
    </row>
    <row r="2010" spans="15:17" x14ac:dyDescent="0.25">
      <c r="O2010" s="1">
        <v>19144</v>
      </c>
      <c r="P2010" s="3" t="s">
        <v>717</v>
      </c>
      <c r="Q2010" s="1" t="s">
        <v>682</v>
      </c>
    </row>
    <row r="2011" spans="15:17" x14ac:dyDescent="0.25">
      <c r="O2011" s="1">
        <v>19145</v>
      </c>
      <c r="P2011" s="3" t="s">
        <v>717</v>
      </c>
      <c r="Q2011" s="1" t="s">
        <v>682</v>
      </c>
    </row>
    <row r="2012" spans="15:17" x14ac:dyDescent="0.25">
      <c r="O2012" s="1">
        <v>19146</v>
      </c>
      <c r="P2012" s="3" t="s">
        <v>717</v>
      </c>
      <c r="Q2012" s="1" t="s">
        <v>682</v>
      </c>
    </row>
    <row r="2013" spans="15:17" x14ac:dyDescent="0.25">
      <c r="O2013" s="1">
        <v>19147</v>
      </c>
      <c r="P2013" s="3" t="s">
        <v>717</v>
      </c>
      <c r="Q2013" s="1" t="s">
        <v>682</v>
      </c>
    </row>
    <row r="2014" spans="15:17" x14ac:dyDescent="0.25">
      <c r="O2014" s="1">
        <v>19148</v>
      </c>
      <c r="P2014" s="3" t="s">
        <v>717</v>
      </c>
      <c r="Q2014" s="1" t="s">
        <v>682</v>
      </c>
    </row>
    <row r="2015" spans="15:17" x14ac:dyDescent="0.25">
      <c r="O2015" s="1">
        <v>19149</v>
      </c>
      <c r="P2015" s="3" t="s">
        <v>717</v>
      </c>
      <c r="Q2015" s="1" t="s">
        <v>682</v>
      </c>
    </row>
    <row r="2016" spans="15:17" x14ac:dyDescent="0.25">
      <c r="O2016" s="1">
        <v>19150</v>
      </c>
      <c r="P2016" s="3" t="s">
        <v>717</v>
      </c>
      <c r="Q2016" s="1" t="s">
        <v>682</v>
      </c>
    </row>
    <row r="2017" spans="15:17" x14ac:dyDescent="0.25">
      <c r="O2017" s="1">
        <v>19151</v>
      </c>
      <c r="P2017" s="3" t="s">
        <v>717</v>
      </c>
      <c r="Q2017" s="1" t="s">
        <v>682</v>
      </c>
    </row>
    <row r="2018" spans="15:17" x14ac:dyDescent="0.25">
      <c r="O2018" s="1">
        <v>19152</v>
      </c>
      <c r="P2018" s="3" t="s">
        <v>717</v>
      </c>
      <c r="Q2018" s="1" t="s">
        <v>682</v>
      </c>
    </row>
    <row r="2019" spans="15:17" x14ac:dyDescent="0.25">
      <c r="O2019" s="1">
        <v>19153</v>
      </c>
      <c r="P2019" s="3" t="s">
        <v>717</v>
      </c>
      <c r="Q2019" s="1" t="s">
        <v>682</v>
      </c>
    </row>
    <row r="2020" spans="15:17" x14ac:dyDescent="0.25">
      <c r="O2020" s="1">
        <v>19154</v>
      </c>
      <c r="P2020" s="3" t="s">
        <v>717</v>
      </c>
      <c r="Q2020" s="1" t="s">
        <v>682</v>
      </c>
    </row>
    <row r="2021" spans="15:17" x14ac:dyDescent="0.25">
      <c r="O2021" s="1">
        <v>19155</v>
      </c>
      <c r="P2021" s="3" t="s">
        <v>717</v>
      </c>
      <c r="Q2021" s="1" t="s">
        <v>682</v>
      </c>
    </row>
    <row r="2022" spans="15:17" x14ac:dyDescent="0.25">
      <c r="O2022" s="1">
        <v>19160</v>
      </c>
      <c r="P2022" s="3" t="s">
        <v>717</v>
      </c>
      <c r="Q2022" s="1" t="s">
        <v>682</v>
      </c>
    </row>
    <row r="2023" spans="15:17" x14ac:dyDescent="0.25">
      <c r="O2023" s="1">
        <v>19161</v>
      </c>
      <c r="P2023" s="3" t="s">
        <v>717</v>
      </c>
      <c r="Q2023" s="1" t="s">
        <v>682</v>
      </c>
    </row>
    <row r="2024" spans="15:17" x14ac:dyDescent="0.25">
      <c r="O2024" s="1">
        <v>19162</v>
      </c>
      <c r="P2024" s="3" t="s">
        <v>717</v>
      </c>
      <c r="Q2024" s="1" t="s">
        <v>682</v>
      </c>
    </row>
    <row r="2025" spans="15:17" x14ac:dyDescent="0.25">
      <c r="O2025" s="1">
        <v>19170</v>
      </c>
      <c r="P2025" s="3" t="s">
        <v>717</v>
      </c>
      <c r="Q2025" s="1" t="s">
        <v>682</v>
      </c>
    </row>
    <row r="2026" spans="15:17" x14ac:dyDescent="0.25">
      <c r="O2026" s="1">
        <v>19171</v>
      </c>
      <c r="P2026" s="3" t="s">
        <v>717</v>
      </c>
      <c r="Q2026" s="1" t="s">
        <v>682</v>
      </c>
    </row>
    <row r="2027" spans="15:17" x14ac:dyDescent="0.25">
      <c r="O2027" s="1">
        <v>19172</v>
      </c>
      <c r="P2027" s="3" t="s">
        <v>717</v>
      </c>
      <c r="Q2027" s="1" t="s">
        <v>682</v>
      </c>
    </row>
    <row r="2028" spans="15:17" x14ac:dyDescent="0.25">
      <c r="O2028" s="1">
        <v>19173</v>
      </c>
      <c r="P2028" s="3" t="s">
        <v>717</v>
      </c>
      <c r="Q2028" s="1" t="s">
        <v>682</v>
      </c>
    </row>
    <row r="2029" spans="15:17" x14ac:dyDescent="0.25">
      <c r="O2029" s="1">
        <v>19175</v>
      </c>
      <c r="P2029" s="3" t="s">
        <v>717</v>
      </c>
      <c r="Q2029" s="1" t="s">
        <v>682</v>
      </c>
    </row>
    <row r="2030" spans="15:17" x14ac:dyDescent="0.25">
      <c r="O2030" s="1">
        <v>19176</v>
      </c>
      <c r="P2030" s="3" t="s">
        <v>717</v>
      </c>
      <c r="Q2030" s="1" t="s">
        <v>682</v>
      </c>
    </row>
    <row r="2031" spans="15:17" x14ac:dyDescent="0.25">
      <c r="O2031" s="1">
        <v>19177</v>
      </c>
      <c r="P2031" s="3" t="s">
        <v>717</v>
      </c>
      <c r="Q2031" s="1" t="s">
        <v>682</v>
      </c>
    </row>
    <row r="2032" spans="15:17" x14ac:dyDescent="0.25">
      <c r="O2032" s="1">
        <v>19178</v>
      </c>
      <c r="P2032" s="3" t="s">
        <v>717</v>
      </c>
      <c r="Q2032" s="1" t="s">
        <v>682</v>
      </c>
    </row>
    <row r="2033" spans="15:17" x14ac:dyDescent="0.25">
      <c r="O2033" s="1">
        <v>19179</v>
      </c>
      <c r="P2033" s="3" t="s">
        <v>717</v>
      </c>
      <c r="Q2033" s="1" t="s">
        <v>682</v>
      </c>
    </row>
    <row r="2034" spans="15:17" x14ac:dyDescent="0.25">
      <c r="O2034" s="1">
        <v>19181</v>
      </c>
      <c r="P2034" s="3" t="s">
        <v>717</v>
      </c>
      <c r="Q2034" s="1" t="s">
        <v>682</v>
      </c>
    </row>
    <row r="2035" spans="15:17" x14ac:dyDescent="0.25">
      <c r="O2035" s="1">
        <v>19182</v>
      </c>
      <c r="P2035" s="3" t="s">
        <v>717</v>
      </c>
      <c r="Q2035" s="1" t="s">
        <v>682</v>
      </c>
    </row>
    <row r="2036" spans="15:17" x14ac:dyDescent="0.25">
      <c r="O2036" s="1">
        <v>19183</v>
      </c>
      <c r="P2036" s="3" t="s">
        <v>717</v>
      </c>
      <c r="Q2036" s="1" t="s">
        <v>682</v>
      </c>
    </row>
    <row r="2037" spans="15:17" x14ac:dyDescent="0.25">
      <c r="O2037" s="1">
        <v>19184</v>
      </c>
      <c r="P2037" s="3" t="s">
        <v>717</v>
      </c>
      <c r="Q2037" s="1" t="s">
        <v>682</v>
      </c>
    </row>
    <row r="2038" spans="15:17" x14ac:dyDescent="0.25">
      <c r="O2038" s="1">
        <v>19185</v>
      </c>
      <c r="P2038" s="3" t="s">
        <v>717</v>
      </c>
      <c r="Q2038" s="1" t="s">
        <v>682</v>
      </c>
    </row>
    <row r="2039" spans="15:17" x14ac:dyDescent="0.25">
      <c r="O2039" s="1">
        <v>19187</v>
      </c>
      <c r="P2039" s="3" t="s">
        <v>717</v>
      </c>
      <c r="Q2039" s="1" t="s">
        <v>682</v>
      </c>
    </row>
    <row r="2040" spans="15:17" x14ac:dyDescent="0.25">
      <c r="O2040" s="1">
        <v>19188</v>
      </c>
      <c r="P2040" s="3" t="s">
        <v>717</v>
      </c>
      <c r="Q2040" s="1" t="s">
        <v>682</v>
      </c>
    </row>
    <row r="2041" spans="15:17" x14ac:dyDescent="0.25">
      <c r="O2041" s="1">
        <v>19190</v>
      </c>
      <c r="P2041" s="3" t="s">
        <v>717</v>
      </c>
      <c r="Q2041" s="1" t="s">
        <v>682</v>
      </c>
    </row>
    <row r="2042" spans="15:17" x14ac:dyDescent="0.25">
      <c r="O2042" s="1">
        <v>19191</v>
      </c>
      <c r="P2042" s="3" t="s">
        <v>717</v>
      </c>
      <c r="Q2042" s="1" t="s">
        <v>682</v>
      </c>
    </row>
    <row r="2043" spans="15:17" x14ac:dyDescent="0.25">
      <c r="O2043" s="1">
        <v>19192</v>
      </c>
      <c r="P2043" s="3" t="s">
        <v>717</v>
      </c>
      <c r="Q2043" s="1" t="s">
        <v>682</v>
      </c>
    </row>
    <row r="2044" spans="15:17" x14ac:dyDescent="0.25">
      <c r="O2044" s="1">
        <v>19193</v>
      </c>
      <c r="P2044" s="3" t="s">
        <v>717</v>
      </c>
      <c r="Q2044" s="1" t="s">
        <v>682</v>
      </c>
    </row>
    <row r="2045" spans="15:17" x14ac:dyDescent="0.25">
      <c r="O2045" s="1">
        <v>19194</v>
      </c>
      <c r="P2045" s="3" t="s">
        <v>717</v>
      </c>
      <c r="Q2045" s="1" t="s">
        <v>682</v>
      </c>
    </row>
    <row r="2046" spans="15:17" x14ac:dyDescent="0.25">
      <c r="O2046" s="1">
        <v>19195</v>
      </c>
      <c r="P2046" s="3" t="s">
        <v>717</v>
      </c>
      <c r="Q2046" s="1" t="s">
        <v>682</v>
      </c>
    </row>
    <row r="2047" spans="15:17" x14ac:dyDescent="0.25">
      <c r="O2047" s="1">
        <v>19196</v>
      </c>
      <c r="P2047" s="3" t="s">
        <v>717</v>
      </c>
      <c r="Q2047" s="1" t="s">
        <v>682</v>
      </c>
    </row>
    <row r="2048" spans="15:17" x14ac:dyDescent="0.25">
      <c r="O2048" s="1">
        <v>19197</v>
      </c>
      <c r="P2048" s="3" t="s">
        <v>717</v>
      </c>
      <c r="Q2048" s="1" t="s">
        <v>682</v>
      </c>
    </row>
    <row r="2049" spans="15:17" x14ac:dyDescent="0.25">
      <c r="O2049" s="1">
        <v>19244</v>
      </c>
      <c r="P2049" s="3" t="s">
        <v>717</v>
      </c>
      <c r="Q2049" s="1" t="s">
        <v>682</v>
      </c>
    </row>
    <row r="2050" spans="15:17" x14ac:dyDescent="0.25">
      <c r="O2050" s="1">
        <v>19255</v>
      </c>
      <c r="P2050" s="3" t="s">
        <v>717</v>
      </c>
      <c r="Q2050" s="1" t="s">
        <v>682</v>
      </c>
    </row>
    <row r="2051" spans="15:17" x14ac:dyDescent="0.25">
      <c r="O2051" s="1">
        <v>19301</v>
      </c>
      <c r="P2051" s="3" t="s">
        <v>717</v>
      </c>
      <c r="Q2051" s="1" t="s">
        <v>682</v>
      </c>
    </row>
    <row r="2052" spans="15:17" x14ac:dyDescent="0.25">
      <c r="O2052" s="1">
        <v>19310</v>
      </c>
      <c r="P2052" s="3" t="s">
        <v>717</v>
      </c>
      <c r="Q2052" s="1" t="s">
        <v>682</v>
      </c>
    </row>
    <row r="2053" spans="15:17" x14ac:dyDescent="0.25">
      <c r="O2053" s="1">
        <v>19311</v>
      </c>
      <c r="P2053" s="3" t="s">
        <v>717</v>
      </c>
      <c r="Q2053" s="1" t="s">
        <v>682</v>
      </c>
    </row>
    <row r="2054" spans="15:17" x14ac:dyDescent="0.25">
      <c r="O2054" s="1">
        <v>19312</v>
      </c>
      <c r="P2054" s="3" t="s">
        <v>717</v>
      </c>
      <c r="Q2054" s="1" t="s">
        <v>682</v>
      </c>
    </row>
    <row r="2055" spans="15:17" x14ac:dyDescent="0.25">
      <c r="O2055" s="1">
        <v>19316</v>
      </c>
      <c r="P2055" s="3" t="s">
        <v>717</v>
      </c>
      <c r="Q2055" s="1" t="s">
        <v>682</v>
      </c>
    </row>
    <row r="2056" spans="15:17" x14ac:dyDescent="0.25">
      <c r="O2056" s="1">
        <v>19317</v>
      </c>
      <c r="P2056" s="3" t="s">
        <v>717</v>
      </c>
      <c r="Q2056" s="1" t="s">
        <v>682</v>
      </c>
    </row>
    <row r="2057" spans="15:17" x14ac:dyDescent="0.25">
      <c r="O2057" s="1">
        <v>19318</v>
      </c>
      <c r="P2057" s="3" t="s">
        <v>717</v>
      </c>
      <c r="Q2057" s="1" t="s">
        <v>682</v>
      </c>
    </row>
    <row r="2058" spans="15:17" x14ac:dyDescent="0.25">
      <c r="O2058" s="1">
        <v>19319</v>
      </c>
      <c r="P2058" s="3" t="s">
        <v>717</v>
      </c>
      <c r="Q2058" s="1" t="s">
        <v>682</v>
      </c>
    </row>
    <row r="2059" spans="15:17" x14ac:dyDescent="0.25">
      <c r="O2059" s="1">
        <v>19320</v>
      </c>
      <c r="P2059" s="3" t="s">
        <v>717</v>
      </c>
      <c r="Q2059" s="1" t="s">
        <v>682</v>
      </c>
    </row>
    <row r="2060" spans="15:17" x14ac:dyDescent="0.25">
      <c r="O2060" s="1">
        <v>19330</v>
      </c>
      <c r="P2060" s="3" t="s">
        <v>717</v>
      </c>
      <c r="Q2060" s="1" t="s">
        <v>682</v>
      </c>
    </row>
    <row r="2061" spans="15:17" x14ac:dyDescent="0.25">
      <c r="O2061" s="1">
        <v>19331</v>
      </c>
      <c r="P2061" s="3" t="s">
        <v>717</v>
      </c>
      <c r="Q2061" s="1" t="s">
        <v>682</v>
      </c>
    </row>
    <row r="2062" spans="15:17" x14ac:dyDescent="0.25">
      <c r="O2062" s="1">
        <v>19333</v>
      </c>
      <c r="P2062" s="3" t="s">
        <v>717</v>
      </c>
      <c r="Q2062" s="1" t="s">
        <v>682</v>
      </c>
    </row>
    <row r="2063" spans="15:17" x14ac:dyDescent="0.25">
      <c r="O2063" s="1">
        <v>19335</v>
      </c>
      <c r="P2063" s="3" t="s">
        <v>717</v>
      </c>
      <c r="Q2063" s="1" t="s">
        <v>682</v>
      </c>
    </row>
    <row r="2064" spans="15:17" x14ac:dyDescent="0.25">
      <c r="O2064" s="1">
        <v>19339</v>
      </c>
      <c r="P2064" s="3" t="s">
        <v>717</v>
      </c>
      <c r="Q2064" s="1" t="s">
        <v>682</v>
      </c>
    </row>
    <row r="2065" spans="15:17" x14ac:dyDescent="0.25">
      <c r="O2065" s="1">
        <v>19340</v>
      </c>
      <c r="P2065" s="3" t="s">
        <v>717</v>
      </c>
      <c r="Q2065" s="1" t="s">
        <v>682</v>
      </c>
    </row>
    <row r="2066" spans="15:17" x14ac:dyDescent="0.25">
      <c r="O2066" s="1">
        <v>19341</v>
      </c>
      <c r="P2066" s="3" t="s">
        <v>717</v>
      </c>
      <c r="Q2066" s="1" t="s">
        <v>682</v>
      </c>
    </row>
    <row r="2067" spans="15:17" x14ac:dyDescent="0.25">
      <c r="O2067" s="1">
        <v>19342</v>
      </c>
      <c r="P2067" s="3" t="s">
        <v>717</v>
      </c>
      <c r="Q2067" s="1" t="s">
        <v>682</v>
      </c>
    </row>
    <row r="2068" spans="15:17" x14ac:dyDescent="0.25">
      <c r="O2068" s="1">
        <v>19343</v>
      </c>
      <c r="P2068" s="3" t="s">
        <v>717</v>
      </c>
      <c r="Q2068" s="1" t="s">
        <v>682</v>
      </c>
    </row>
    <row r="2069" spans="15:17" x14ac:dyDescent="0.25">
      <c r="O2069" s="1">
        <v>19344</v>
      </c>
      <c r="P2069" s="3" t="s">
        <v>717</v>
      </c>
      <c r="Q2069" s="1" t="s">
        <v>682</v>
      </c>
    </row>
    <row r="2070" spans="15:17" x14ac:dyDescent="0.25">
      <c r="O2070" s="1">
        <v>19345</v>
      </c>
      <c r="P2070" s="3" t="s">
        <v>717</v>
      </c>
      <c r="Q2070" s="1" t="s">
        <v>682</v>
      </c>
    </row>
    <row r="2071" spans="15:17" x14ac:dyDescent="0.25">
      <c r="O2071" s="1">
        <v>19346</v>
      </c>
      <c r="P2071" s="3" t="s">
        <v>717</v>
      </c>
      <c r="Q2071" s="1" t="s">
        <v>682</v>
      </c>
    </row>
    <row r="2072" spans="15:17" x14ac:dyDescent="0.25">
      <c r="O2072" s="1">
        <v>19347</v>
      </c>
      <c r="P2072" s="3" t="s">
        <v>717</v>
      </c>
      <c r="Q2072" s="1" t="s">
        <v>682</v>
      </c>
    </row>
    <row r="2073" spans="15:17" x14ac:dyDescent="0.25">
      <c r="O2073" s="1">
        <v>19348</v>
      </c>
      <c r="P2073" s="3" t="s">
        <v>717</v>
      </c>
      <c r="Q2073" s="1" t="s">
        <v>682</v>
      </c>
    </row>
    <row r="2074" spans="15:17" x14ac:dyDescent="0.25">
      <c r="O2074" s="1">
        <v>19350</v>
      </c>
      <c r="P2074" s="3" t="s">
        <v>717</v>
      </c>
      <c r="Q2074" s="1" t="s">
        <v>682</v>
      </c>
    </row>
    <row r="2075" spans="15:17" x14ac:dyDescent="0.25">
      <c r="O2075" s="1">
        <v>19351</v>
      </c>
      <c r="P2075" s="3" t="s">
        <v>717</v>
      </c>
      <c r="Q2075" s="1" t="s">
        <v>682</v>
      </c>
    </row>
    <row r="2076" spans="15:17" x14ac:dyDescent="0.25">
      <c r="O2076" s="1">
        <v>19352</v>
      </c>
      <c r="P2076" s="3" t="s">
        <v>717</v>
      </c>
      <c r="Q2076" s="1" t="s">
        <v>682</v>
      </c>
    </row>
    <row r="2077" spans="15:17" x14ac:dyDescent="0.25">
      <c r="O2077" s="1">
        <v>19353</v>
      </c>
      <c r="P2077" s="3" t="s">
        <v>717</v>
      </c>
      <c r="Q2077" s="1" t="s">
        <v>682</v>
      </c>
    </row>
    <row r="2078" spans="15:17" x14ac:dyDescent="0.25">
      <c r="O2078" s="1">
        <v>19354</v>
      </c>
      <c r="P2078" s="3" t="s">
        <v>717</v>
      </c>
      <c r="Q2078" s="1" t="s">
        <v>682</v>
      </c>
    </row>
    <row r="2079" spans="15:17" x14ac:dyDescent="0.25">
      <c r="O2079" s="1">
        <v>19355</v>
      </c>
      <c r="P2079" s="3" t="s">
        <v>717</v>
      </c>
      <c r="Q2079" s="1" t="s">
        <v>682</v>
      </c>
    </row>
    <row r="2080" spans="15:17" x14ac:dyDescent="0.25">
      <c r="O2080" s="1">
        <v>19357</v>
      </c>
      <c r="P2080" s="3" t="s">
        <v>717</v>
      </c>
      <c r="Q2080" s="1" t="s">
        <v>682</v>
      </c>
    </row>
    <row r="2081" spans="15:17" x14ac:dyDescent="0.25">
      <c r="O2081" s="1">
        <v>19358</v>
      </c>
      <c r="P2081" s="3" t="s">
        <v>717</v>
      </c>
      <c r="Q2081" s="1" t="s">
        <v>682</v>
      </c>
    </row>
    <row r="2082" spans="15:17" x14ac:dyDescent="0.25">
      <c r="O2082" s="1">
        <v>19360</v>
      </c>
      <c r="P2082" s="3" t="s">
        <v>717</v>
      </c>
      <c r="Q2082" s="1" t="s">
        <v>682</v>
      </c>
    </row>
    <row r="2083" spans="15:17" x14ac:dyDescent="0.25">
      <c r="O2083" s="1">
        <v>19362</v>
      </c>
      <c r="P2083" s="3" t="s">
        <v>717</v>
      </c>
      <c r="Q2083" s="1" t="s">
        <v>682</v>
      </c>
    </row>
    <row r="2084" spans="15:17" x14ac:dyDescent="0.25">
      <c r="O2084" s="1">
        <v>19363</v>
      </c>
      <c r="P2084" s="3" t="s">
        <v>717</v>
      </c>
      <c r="Q2084" s="1" t="s">
        <v>682</v>
      </c>
    </row>
    <row r="2085" spans="15:17" x14ac:dyDescent="0.25">
      <c r="O2085" s="1">
        <v>19365</v>
      </c>
      <c r="P2085" s="3" t="s">
        <v>717</v>
      </c>
      <c r="Q2085" s="1" t="s">
        <v>682</v>
      </c>
    </row>
    <row r="2086" spans="15:17" x14ac:dyDescent="0.25">
      <c r="O2086" s="1">
        <v>19366</v>
      </c>
      <c r="P2086" s="3" t="s">
        <v>717</v>
      </c>
      <c r="Q2086" s="1" t="s">
        <v>682</v>
      </c>
    </row>
    <row r="2087" spans="15:17" x14ac:dyDescent="0.25">
      <c r="O2087" s="1">
        <v>19367</v>
      </c>
      <c r="P2087" s="3" t="s">
        <v>717</v>
      </c>
      <c r="Q2087" s="1" t="s">
        <v>682</v>
      </c>
    </row>
    <row r="2088" spans="15:17" x14ac:dyDescent="0.25">
      <c r="O2088" s="1">
        <v>19369</v>
      </c>
      <c r="P2088" s="3" t="s">
        <v>717</v>
      </c>
      <c r="Q2088" s="1" t="s">
        <v>682</v>
      </c>
    </row>
    <row r="2089" spans="15:17" x14ac:dyDescent="0.25">
      <c r="O2089" s="1">
        <v>19371</v>
      </c>
      <c r="P2089" s="3" t="s">
        <v>717</v>
      </c>
      <c r="Q2089" s="1" t="s">
        <v>682</v>
      </c>
    </row>
    <row r="2090" spans="15:17" x14ac:dyDescent="0.25">
      <c r="O2090" s="1">
        <v>19372</v>
      </c>
      <c r="P2090" s="3" t="s">
        <v>717</v>
      </c>
      <c r="Q2090" s="1" t="s">
        <v>682</v>
      </c>
    </row>
    <row r="2091" spans="15:17" x14ac:dyDescent="0.25">
      <c r="O2091" s="1">
        <v>19373</v>
      </c>
      <c r="P2091" s="3" t="s">
        <v>717</v>
      </c>
      <c r="Q2091" s="1" t="s">
        <v>682</v>
      </c>
    </row>
    <row r="2092" spans="15:17" x14ac:dyDescent="0.25">
      <c r="O2092" s="1">
        <v>19374</v>
      </c>
      <c r="P2092" s="3" t="s">
        <v>717</v>
      </c>
      <c r="Q2092" s="1" t="s">
        <v>682</v>
      </c>
    </row>
    <row r="2093" spans="15:17" x14ac:dyDescent="0.25">
      <c r="O2093" s="1">
        <v>19375</v>
      </c>
      <c r="P2093" s="3" t="s">
        <v>717</v>
      </c>
      <c r="Q2093" s="1" t="s">
        <v>682</v>
      </c>
    </row>
    <row r="2094" spans="15:17" x14ac:dyDescent="0.25">
      <c r="O2094" s="1">
        <v>19376</v>
      </c>
      <c r="P2094" s="3" t="s">
        <v>717</v>
      </c>
      <c r="Q2094" s="1" t="s">
        <v>682</v>
      </c>
    </row>
    <row r="2095" spans="15:17" x14ac:dyDescent="0.25">
      <c r="O2095" s="1">
        <v>19380</v>
      </c>
      <c r="P2095" s="3" t="s">
        <v>717</v>
      </c>
      <c r="Q2095" s="1" t="s">
        <v>682</v>
      </c>
    </row>
    <row r="2096" spans="15:17" x14ac:dyDescent="0.25">
      <c r="O2096" s="1">
        <v>19381</v>
      </c>
      <c r="P2096" s="3" t="s">
        <v>717</v>
      </c>
      <c r="Q2096" s="1" t="s">
        <v>682</v>
      </c>
    </row>
    <row r="2097" spans="15:17" x14ac:dyDescent="0.25">
      <c r="O2097" s="1">
        <v>19382</v>
      </c>
      <c r="P2097" s="3" t="s">
        <v>717</v>
      </c>
      <c r="Q2097" s="1" t="s">
        <v>682</v>
      </c>
    </row>
    <row r="2098" spans="15:17" x14ac:dyDescent="0.25">
      <c r="O2098" s="1">
        <v>19383</v>
      </c>
      <c r="P2098" s="3" t="s">
        <v>717</v>
      </c>
      <c r="Q2098" s="1" t="s">
        <v>682</v>
      </c>
    </row>
    <row r="2099" spans="15:17" x14ac:dyDescent="0.25">
      <c r="O2099" s="1">
        <v>19388</v>
      </c>
      <c r="P2099" s="3" t="s">
        <v>717</v>
      </c>
      <c r="Q2099" s="1" t="s">
        <v>682</v>
      </c>
    </row>
    <row r="2100" spans="15:17" x14ac:dyDescent="0.25">
      <c r="O2100" s="1">
        <v>19390</v>
      </c>
      <c r="P2100" s="3" t="s">
        <v>717</v>
      </c>
      <c r="Q2100" s="1" t="s">
        <v>682</v>
      </c>
    </row>
    <row r="2101" spans="15:17" x14ac:dyDescent="0.25">
      <c r="O2101" s="1">
        <v>19395</v>
      </c>
      <c r="P2101" s="3" t="s">
        <v>717</v>
      </c>
      <c r="Q2101" s="1" t="s">
        <v>682</v>
      </c>
    </row>
    <row r="2102" spans="15:17" x14ac:dyDescent="0.25">
      <c r="O2102" s="1">
        <v>19397</v>
      </c>
      <c r="P2102" s="3" t="s">
        <v>717</v>
      </c>
      <c r="Q2102" s="1" t="s">
        <v>682</v>
      </c>
    </row>
    <row r="2103" spans="15:17" x14ac:dyDescent="0.25">
      <c r="O2103" s="1">
        <v>19398</v>
      </c>
      <c r="P2103" s="3" t="s">
        <v>717</v>
      </c>
      <c r="Q2103" s="1" t="s">
        <v>682</v>
      </c>
    </row>
    <row r="2104" spans="15:17" x14ac:dyDescent="0.25">
      <c r="O2104" s="1">
        <v>19399</v>
      </c>
      <c r="P2104" s="3" t="s">
        <v>717</v>
      </c>
      <c r="Q2104" s="1" t="s">
        <v>682</v>
      </c>
    </row>
    <row r="2105" spans="15:17" x14ac:dyDescent="0.25">
      <c r="O2105" s="1">
        <v>19401</v>
      </c>
      <c r="P2105" s="3" t="s">
        <v>717</v>
      </c>
      <c r="Q2105" s="1" t="s">
        <v>682</v>
      </c>
    </row>
    <row r="2106" spans="15:17" x14ac:dyDescent="0.25">
      <c r="O2106" s="1">
        <v>19403</v>
      </c>
      <c r="P2106" s="3" t="s">
        <v>717</v>
      </c>
      <c r="Q2106" s="1" t="s">
        <v>682</v>
      </c>
    </row>
    <row r="2107" spans="15:17" x14ac:dyDescent="0.25">
      <c r="O2107" s="1">
        <v>19404</v>
      </c>
      <c r="P2107" s="3" t="s">
        <v>717</v>
      </c>
      <c r="Q2107" s="1" t="s">
        <v>682</v>
      </c>
    </row>
    <row r="2108" spans="15:17" x14ac:dyDescent="0.25">
      <c r="O2108" s="1">
        <v>19405</v>
      </c>
      <c r="P2108" s="3" t="s">
        <v>717</v>
      </c>
      <c r="Q2108" s="1" t="s">
        <v>682</v>
      </c>
    </row>
    <row r="2109" spans="15:17" x14ac:dyDescent="0.25">
      <c r="O2109" s="1">
        <v>19406</v>
      </c>
      <c r="P2109" s="3" t="s">
        <v>717</v>
      </c>
      <c r="Q2109" s="1" t="s">
        <v>682</v>
      </c>
    </row>
    <row r="2110" spans="15:17" x14ac:dyDescent="0.25">
      <c r="O2110" s="1">
        <v>19407</v>
      </c>
      <c r="P2110" s="3" t="s">
        <v>717</v>
      </c>
      <c r="Q2110" s="1" t="s">
        <v>682</v>
      </c>
    </row>
    <row r="2111" spans="15:17" x14ac:dyDescent="0.25">
      <c r="O2111" s="1">
        <v>19408</v>
      </c>
      <c r="P2111" s="3" t="s">
        <v>717</v>
      </c>
      <c r="Q2111" s="1" t="s">
        <v>682</v>
      </c>
    </row>
    <row r="2112" spans="15:17" x14ac:dyDescent="0.25">
      <c r="O2112" s="1">
        <v>19409</v>
      </c>
      <c r="P2112" s="3" t="s">
        <v>717</v>
      </c>
      <c r="Q2112" s="1" t="s">
        <v>682</v>
      </c>
    </row>
    <row r="2113" spans="15:17" x14ac:dyDescent="0.25">
      <c r="O2113" s="1">
        <v>19415</v>
      </c>
      <c r="P2113" s="3" t="s">
        <v>717</v>
      </c>
      <c r="Q2113" s="1" t="s">
        <v>682</v>
      </c>
    </row>
    <row r="2114" spans="15:17" x14ac:dyDescent="0.25">
      <c r="O2114" s="1">
        <v>19420</v>
      </c>
      <c r="P2114" s="3" t="s">
        <v>717</v>
      </c>
      <c r="Q2114" s="1" t="s">
        <v>682</v>
      </c>
    </row>
    <row r="2115" spans="15:17" x14ac:dyDescent="0.25">
      <c r="O2115" s="1">
        <v>19421</v>
      </c>
      <c r="P2115" s="3" t="s">
        <v>717</v>
      </c>
      <c r="Q2115" s="1" t="s">
        <v>682</v>
      </c>
    </row>
    <row r="2116" spans="15:17" x14ac:dyDescent="0.25">
      <c r="O2116" s="1">
        <v>19422</v>
      </c>
      <c r="P2116" s="3" t="s">
        <v>717</v>
      </c>
      <c r="Q2116" s="1" t="s">
        <v>682</v>
      </c>
    </row>
    <row r="2117" spans="15:17" x14ac:dyDescent="0.25">
      <c r="O2117" s="1">
        <v>19423</v>
      </c>
      <c r="P2117" s="3" t="s">
        <v>717</v>
      </c>
      <c r="Q2117" s="1" t="s">
        <v>682</v>
      </c>
    </row>
    <row r="2118" spans="15:17" x14ac:dyDescent="0.25">
      <c r="O2118" s="1">
        <v>19424</v>
      </c>
      <c r="P2118" s="3" t="s">
        <v>717</v>
      </c>
      <c r="Q2118" s="1" t="s">
        <v>682</v>
      </c>
    </row>
    <row r="2119" spans="15:17" x14ac:dyDescent="0.25">
      <c r="O2119" s="1">
        <v>19425</v>
      </c>
      <c r="P2119" s="3" t="s">
        <v>717</v>
      </c>
      <c r="Q2119" s="1" t="s">
        <v>682</v>
      </c>
    </row>
    <row r="2120" spans="15:17" x14ac:dyDescent="0.25">
      <c r="O2120" s="1">
        <v>19426</v>
      </c>
      <c r="P2120" s="3" t="s">
        <v>717</v>
      </c>
      <c r="Q2120" s="1" t="s">
        <v>682</v>
      </c>
    </row>
    <row r="2121" spans="15:17" x14ac:dyDescent="0.25">
      <c r="O2121" s="1">
        <v>19428</v>
      </c>
      <c r="P2121" s="3" t="s">
        <v>717</v>
      </c>
      <c r="Q2121" s="1" t="s">
        <v>682</v>
      </c>
    </row>
    <row r="2122" spans="15:17" x14ac:dyDescent="0.25">
      <c r="O2122" s="1">
        <v>19429</v>
      </c>
      <c r="P2122" s="3" t="s">
        <v>717</v>
      </c>
      <c r="Q2122" s="1" t="s">
        <v>682</v>
      </c>
    </row>
    <row r="2123" spans="15:17" x14ac:dyDescent="0.25">
      <c r="O2123" s="1">
        <v>19430</v>
      </c>
      <c r="P2123" s="3" t="s">
        <v>717</v>
      </c>
      <c r="Q2123" s="1" t="s">
        <v>682</v>
      </c>
    </row>
    <row r="2124" spans="15:17" x14ac:dyDescent="0.25">
      <c r="O2124" s="1">
        <v>19432</v>
      </c>
      <c r="P2124" s="3" t="s">
        <v>717</v>
      </c>
      <c r="Q2124" s="1" t="s">
        <v>682</v>
      </c>
    </row>
    <row r="2125" spans="15:17" x14ac:dyDescent="0.25">
      <c r="O2125" s="1">
        <v>19435</v>
      </c>
      <c r="P2125" s="3" t="s">
        <v>717</v>
      </c>
      <c r="Q2125" s="1" t="s">
        <v>682</v>
      </c>
    </row>
    <row r="2126" spans="15:17" x14ac:dyDescent="0.25">
      <c r="O2126" s="1">
        <v>19436</v>
      </c>
      <c r="P2126" s="3" t="s">
        <v>717</v>
      </c>
      <c r="Q2126" s="1" t="s">
        <v>682</v>
      </c>
    </row>
    <row r="2127" spans="15:17" x14ac:dyDescent="0.25">
      <c r="O2127" s="1">
        <v>19437</v>
      </c>
      <c r="P2127" s="3" t="s">
        <v>717</v>
      </c>
      <c r="Q2127" s="1" t="s">
        <v>682</v>
      </c>
    </row>
    <row r="2128" spans="15:17" x14ac:dyDescent="0.25">
      <c r="O2128" s="1">
        <v>19438</v>
      </c>
      <c r="P2128" s="3" t="s">
        <v>717</v>
      </c>
      <c r="Q2128" s="1" t="s">
        <v>682</v>
      </c>
    </row>
    <row r="2129" spans="15:17" x14ac:dyDescent="0.25">
      <c r="O2129" s="1">
        <v>19440</v>
      </c>
      <c r="P2129" s="3" t="s">
        <v>717</v>
      </c>
      <c r="Q2129" s="1" t="s">
        <v>682</v>
      </c>
    </row>
    <row r="2130" spans="15:17" x14ac:dyDescent="0.25">
      <c r="O2130" s="1">
        <v>19441</v>
      </c>
      <c r="P2130" s="3" t="s">
        <v>717</v>
      </c>
      <c r="Q2130" s="1" t="s">
        <v>682</v>
      </c>
    </row>
    <row r="2131" spans="15:17" x14ac:dyDescent="0.25">
      <c r="O2131" s="1">
        <v>19442</v>
      </c>
      <c r="P2131" s="3" t="s">
        <v>717</v>
      </c>
      <c r="Q2131" s="1" t="s">
        <v>682</v>
      </c>
    </row>
    <row r="2132" spans="15:17" x14ac:dyDescent="0.25">
      <c r="O2132" s="1">
        <v>19443</v>
      </c>
      <c r="P2132" s="3" t="s">
        <v>717</v>
      </c>
      <c r="Q2132" s="1" t="s">
        <v>682</v>
      </c>
    </row>
    <row r="2133" spans="15:17" x14ac:dyDescent="0.25">
      <c r="O2133" s="1">
        <v>19444</v>
      </c>
      <c r="P2133" s="3" t="s">
        <v>717</v>
      </c>
      <c r="Q2133" s="1" t="s">
        <v>682</v>
      </c>
    </row>
    <row r="2134" spans="15:17" x14ac:dyDescent="0.25">
      <c r="O2134" s="1">
        <v>19446</v>
      </c>
      <c r="P2134" s="3" t="s">
        <v>717</v>
      </c>
      <c r="Q2134" s="1" t="s">
        <v>682</v>
      </c>
    </row>
    <row r="2135" spans="15:17" x14ac:dyDescent="0.25">
      <c r="O2135" s="1">
        <v>19450</v>
      </c>
      <c r="P2135" s="3" t="s">
        <v>717</v>
      </c>
      <c r="Q2135" s="1" t="s">
        <v>682</v>
      </c>
    </row>
    <row r="2136" spans="15:17" x14ac:dyDescent="0.25">
      <c r="O2136" s="1">
        <v>19451</v>
      </c>
      <c r="P2136" s="3" t="s">
        <v>717</v>
      </c>
      <c r="Q2136" s="1" t="s">
        <v>682</v>
      </c>
    </row>
    <row r="2137" spans="15:17" x14ac:dyDescent="0.25">
      <c r="O2137" s="1">
        <v>19453</v>
      </c>
      <c r="P2137" s="3" t="s">
        <v>717</v>
      </c>
      <c r="Q2137" s="1" t="s">
        <v>682</v>
      </c>
    </row>
    <row r="2138" spans="15:17" x14ac:dyDescent="0.25">
      <c r="O2138" s="1">
        <v>19454</v>
      </c>
      <c r="P2138" s="3" t="s">
        <v>717</v>
      </c>
      <c r="Q2138" s="1" t="s">
        <v>682</v>
      </c>
    </row>
    <row r="2139" spans="15:17" x14ac:dyDescent="0.25">
      <c r="O2139" s="1">
        <v>19455</v>
      </c>
      <c r="P2139" s="3" t="s">
        <v>717</v>
      </c>
      <c r="Q2139" s="1" t="s">
        <v>682</v>
      </c>
    </row>
    <row r="2140" spans="15:17" x14ac:dyDescent="0.25">
      <c r="O2140" s="1">
        <v>19456</v>
      </c>
      <c r="P2140" s="3" t="s">
        <v>717</v>
      </c>
      <c r="Q2140" s="1" t="s">
        <v>682</v>
      </c>
    </row>
    <row r="2141" spans="15:17" x14ac:dyDescent="0.25">
      <c r="O2141" s="1">
        <v>19457</v>
      </c>
      <c r="P2141" s="3" t="s">
        <v>717</v>
      </c>
      <c r="Q2141" s="1" t="s">
        <v>682</v>
      </c>
    </row>
    <row r="2142" spans="15:17" x14ac:dyDescent="0.25">
      <c r="O2142" s="1">
        <v>19460</v>
      </c>
      <c r="P2142" s="3" t="s">
        <v>717</v>
      </c>
      <c r="Q2142" s="1" t="s">
        <v>682</v>
      </c>
    </row>
    <row r="2143" spans="15:17" x14ac:dyDescent="0.25">
      <c r="O2143" s="1">
        <v>19462</v>
      </c>
      <c r="P2143" s="3" t="s">
        <v>717</v>
      </c>
      <c r="Q2143" s="1" t="s">
        <v>682</v>
      </c>
    </row>
    <row r="2144" spans="15:17" x14ac:dyDescent="0.25">
      <c r="O2144" s="1">
        <v>19464</v>
      </c>
      <c r="P2144" s="3" t="s">
        <v>717</v>
      </c>
      <c r="Q2144" s="1" t="s">
        <v>682</v>
      </c>
    </row>
    <row r="2145" spans="15:17" x14ac:dyDescent="0.25">
      <c r="O2145" s="1">
        <v>19465</v>
      </c>
      <c r="P2145" s="3" t="s">
        <v>717</v>
      </c>
      <c r="Q2145" s="1" t="s">
        <v>682</v>
      </c>
    </row>
    <row r="2146" spans="15:17" x14ac:dyDescent="0.25">
      <c r="O2146" s="1">
        <v>19468</v>
      </c>
      <c r="P2146" s="3" t="s">
        <v>717</v>
      </c>
      <c r="Q2146" s="1" t="s">
        <v>682</v>
      </c>
    </row>
    <row r="2147" spans="15:17" x14ac:dyDescent="0.25">
      <c r="O2147" s="1">
        <v>19470</v>
      </c>
      <c r="P2147" s="3" t="s">
        <v>717</v>
      </c>
      <c r="Q2147" s="1" t="s">
        <v>682</v>
      </c>
    </row>
    <row r="2148" spans="15:17" x14ac:dyDescent="0.25">
      <c r="O2148" s="1">
        <v>19472</v>
      </c>
      <c r="P2148" s="3" t="s">
        <v>717</v>
      </c>
      <c r="Q2148" s="1" t="s">
        <v>682</v>
      </c>
    </row>
    <row r="2149" spans="15:17" x14ac:dyDescent="0.25">
      <c r="O2149" s="1">
        <v>19473</v>
      </c>
      <c r="P2149" s="3" t="s">
        <v>717</v>
      </c>
      <c r="Q2149" s="1" t="s">
        <v>682</v>
      </c>
    </row>
    <row r="2150" spans="15:17" x14ac:dyDescent="0.25">
      <c r="O2150" s="1">
        <v>19474</v>
      </c>
      <c r="P2150" s="3" t="s">
        <v>717</v>
      </c>
      <c r="Q2150" s="1" t="s">
        <v>682</v>
      </c>
    </row>
    <row r="2151" spans="15:17" x14ac:dyDescent="0.25">
      <c r="O2151" s="1">
        <v>19475</v>
      </c>
      <c r="P2151" s="3" t="s">
        <v>717</v>
      </c>
      <c r="Q2151" s="1" t="s">
        <v>682</v>
      </c>
    </row>
    <row r="2152" spans="15:17" x14ac:dyDescent="0.25">
      <c r="O2152" s="1">
        <v>19477</v>
      </c>
      <c r="P2152" s="3" t="s">
        <v>717</v>
      </c>
      <c r="Q2152" s="1" t="s">
        <v>682</v>
      </c>
    </row>
    <row r="2153" spans="15:17" x14ac:dyDescent="0.25">
      <c r="O2153" s="1">
        <v>19478</v>
      </c>
      <c r="P2153" s="3" t="s">
        <v>717</v>
      </c>
      <c r="Q2153" s="1" t="s">
        <v>682</v>
      </c>
    </row>
    <row r="2154" spans="15:17" x14ac:dyDescent="0.25">
      <c r="O2154" s="1">
        <v>19480</v>
      </c>
      <c r="P2154" s="3" t="s">
        <v>717</v>
      </c>
      <c r="Q2154" s="1" t="s">
        <v>682</v>
      </c>
    </row>
    <row r="2155" spans="15:17" x14ac:dyDescent="0.25">
      <c r="O2155" s="1">
        <v>19481</v>
      </c>
      <c r="P2155" s="3" t="s">
        <v>717</v>
      </c>
      <c r="Q2155" s="1" t="s">
        <v>682</v>
      </c>
    </row>
    <row r="2156" spans="15:17" x14ac:dyDescent="0.25">
      <c r="O2156" s="1">
        <v>19482</v>
      </c>
      <c r="P2156" s="3" t="s">
        <v>717</v>
      </c>
      <c r="Q2156" s="1" t="s">
        <v>682</v>
      </c>
    </row>
    <row r="2157" spans="15:17" x14ac:dyDescent="0.25">
      <c r="O2157" s="1">
        <v>19483</v>
      </c>
      <c r="P2157" s="3" t="s">
        <v>717</v>
      </c>
      <c r="Q2157" s="1" t="s">
        <v>682</v>
      </c>
    </row>
    <row r="2158" spans="15:17" x14ac:dyDescent="0.25">
      <c r="O2158" s="1">
        <v>19484</v>
      </c>
      <c r="P2158" s="3" t="s">
        <v>717</v>
      </c>
      <c r="Q2158" s="1" t="s">
        <v>682</v>
      </c>
    </row>
    <row r="2159" spans="15:17" x14ac:dyDescent="0.25">
      <c r="O2159" s="1">
        <v>19485</v>
      </c>
      <c r="P2159" s="3" t="s">
        <v>717</v>
      </c>
      <c r="Q2159" s="1" t="s">
        <v>682</v>
      </c>
    </row>
    <row r="2160" spans="15:17" x14ac:dyDescent="0.25">
      <c r="O2160" s="1">
        <v>19486</v>
      </c>
      <c r="P2160" s="3" t="s">
        <v>717</v>
      </c>
      <c r="Q2160" s="1" t="s">
        <v>682</v>
      </c>
    </row>
    <row r="2161" spans="15:17" x14ac:dyDescent="0.25">
      <c r="O2161" s="1">
        <v>19487</v>
      </c>
      <c r="P2161" s="3" t="s">
        <v>717</v>
      </c>
      <c r="Q2161" s="1" t="s">
        <v>682</v>
      </c>
    </row>
    <row r="2162" spans="15:17" x14ac:dyDescent="0.25">
      <c r="O2162" s="1">
        <v>19488</v>
      </c>
      <c r="P2162" s="3" t="s">
        <v>717</v>
      </c>
      <c r="Q2162" s="1" t="s">
        <v>682</v>
      </c>
    </row>
    <row r="2163" spans="15:17" x14ac:dyDescent="0.25">
      <c r="O2163" s="1">
        <v>19489</v>
      </c>
      <c r="P2163" s="3" t="s">
        <v>717</v>
      </c>
      <c r="Q2163" s="1" t="s">
        <v>682</v>
      </c>
    </row>
    <row r="2164" spans="15:17" x14ac:dyDescent="0.25">
      <c r="O2164" s="1">
        <v>19490</v>
      </c>
      <c r="P2164" s="3" t="s">
        <v>717</v>
      </c>
      <c r="Q2164" s="1" t="s">
        <v>682</v>
      </c>
    </row>
    <row r="2165" spans="15:17" x14ac:dyDescent="0.25">
      <c r="O2165" s="1">
        <v>19492</v>
      </c>
      <c r="P2165" s="3" t="s">
        <v>717</v>
      </c>
      <c r="Q2165" s="1" t="s">
        <v>682</v>
      </c>
    </row>
    <row r="2166" spans="15:17" x14ac:dyDescent="0.25">
      <c r="O2166" s="1">
        <v>19493</v>
      </c>
      <c r="P2166" s="3" t="s">
        <v>717</v>
      </c>
      <c r="Q2166" s="1" t="s">
        <v>682</v>
      </c>
    </row>
    <row r="2167" spans="15:17" x14ac:dyDescent="0.25">
      <c r="O2167" s="1">
        <v>19494</v>
      </c>
      <c r="P2167" s="3" t="s">
        <v>717</v>
      </c>
      <c r="Q2167" s="1" t="s">
        <v>682</v>
      </c>
    </row>
    <row r="2168" spans="15:17" x14ac:dyDescent="0.25">
      <c r="O2168" s="1">
        <v>19495</v>
      </c>
      <c r="P2168" s="3" t="s">
        <v>717</v>
      </c>
      <c r="Q2168" s="1" t="s">
        <v>682</v>
      </c>
    </row>
    <row r="2169" spans="15:17" x14ac:dyDescent="0.25">
      <c r="O2169" s="1">
        <v>19496</v>
      </c>
      <c r="P2169" s="3" t="s">
        <v>717</v>
      </c>
      <c r="Q2169" s="1" t="s">
        <v>682</v>
      </c>
    </row>
    <row r="2170" spans="15:17" x14ac:dyDescent="0.25">
      <c r="O2170" s="1">
        <v>19501</v>
      </c>
      <c r="P2170" s="3" t="s">
        <v>717</v>
      </c>
      <c r="Q2170" s="1" t="s">
        <v>682</v>
      </c>
    </row>
    <row r="2171" spans="15:17" x14ac:dyDescent="0.25">
      <c r="O2171" s="1">
        <v>19503</v>
      </c>
      <c r="P2171" s="3" t="s">
        <v>717</v>
      </c>
      <c r="Q2171" s="1" t="s">
        <v>682</v>
      </c>
    </row>
    <row r="2172" spans="15:17" x14ac:dyDescent="0.25">
      <c r="O2172" s="1">
        <v>19504</v>
      </c>
      <c r="P2172" s="3" t="s">
        <v>717</v>
      </c>
      <c r="Q2172" s="1" t="s">
        <v>682</v>
      </c>
    </row>
    <row r="2173" spans="15:17" x14ac:dyDescent="0.25">
      <c r="O2173" s="1">
        <v>19505</v>
      </c>
      <c r="P2173" s="3" t="s">
        <v>717</v>
      </c>
      <c r="Q2173" s="1" t="s">
        <v>682</v>
      </c>
    </row>
    <row r="2174" spans="15:17" x14ac:dyDescent="0.25">
      <c r="O2174" s="1">
        <v>19506</v>
      </c>
      <c r="P2174" s="3" t="s">
        <v>717</v>
      </c>
      <c r="Q2174" s="1" t="s">
        <v>682</v>
      </c>
    </row>
    <row r="2175" spans="15:17" x14ac:dyDescent="0.25">
      <c r="O2175" s="1">
        <v>19507</v>
      </c>
      <c r="P2175" s="3" t="s">
        <v>717</v>
      </c>
      <c r="Q2175" s="1" t="s">
        <v>682</v>
      </c>
    </row>
    <row r="2176" spans="15:17" x14ac:dyDescent="0.25">
      <c r="O2176" s="1">
        <v>19508</v>
      </c>
      <c r="P2176" s="3" t="s">
        <v>717</v>
      </c>
      <c r="Q2176" s="1" t="s">
        <v>682</v>
      </c>
    </row>
    <row r="2177" spans="15:17" x14ac:dyDescent="0.25">
      <c r="O2177" s="1">
        <v>19510</v>
      </c>
      <c r="P2177" s="3" t="s">
        <v>717</v>
      </c>
      <c r="Q2177" s="1" t="s">
        <v>682</v>
      </c>
    </row>
    <row r="2178" spans="15:17" x14ac:dyDescent="0.25">
      <c r="O2178" s="1">
        <v>19511</v>
      </c>
      <c r="P2178" s="3" t="s">
        <v>717</v>
      </c>
      <c r="Q2178" s="1" t="s">
        <v>682</v>
      </c>
    </row>
    <row r="2179" spans="15:17" x14ac:dyDescent="0.25">
      <c r="O2179" s="1">
        <v>19512</v>
      </c>
      <c r="P2179" s="3" t="s">
        <v>717</v>
      </c>
      <c r="Q2179" s="1" t="s">
        <v>682</v>
      </c>
    </row>
    <row r="2180" spans="15:17" x14ac:dyDescent="0.25">
      <c r="O2180" s="1">
        <v>19516</v>
      </c>
      <c r="P2180" s="3" t="s">
        <v>717</v>
      </c>
      <c r="Q2180" s="1" t="s">
        <v>682</v>
      </c>
    </row>
    <row r="2181" spans="15:17" x14ac:dyDescent="0.25">
      <c r="O2181" s="1">
        <v>19518</v>
      </c>
      <c r="P2181" s="3" t="s">
        <v>717</v>
      </c>
      <c r="Q2181" s="1" t="s">
        <v>682</v>
      </c>
    </row>
    <row r="2182" spans="15:17" x14ac:dyDescent="0.25">
      <c r="O2182" s="1">
        <v>19519</v>
      </c>
      <c r="P2182" s="3" t="s">
        <v>717</v>
      </c>
      <c r="Q2182" s="1" t="s">
        <v>682</v>
      </c>
    </row>
    <row r="2183" spans="15:17" x14ac:dyDescent="0.25">
      <c r="O2183" s="1">
        <v>19520</v>
      </c>
      <c r="P2183" s="3" t="s">
        <v>717</v>
      </c>
      <c r="Q2183" s="1" t="s">
        <v>682</v>
      </c>
    </row>
    <row r="2184" spans="15:17" x14ac:dyDescent="0.25">
      <c r="O2184" s="1">
        <v>19522</v>
      </c>
      <c r="P2184" s="3" t="s">
        <v>717</v>
      </c>
      <c r="Q2184" s="1" t="s">
        <v>682</v>
      </c>
    </row>
    <row r="2185" spans="15:17" x14ac:dyDescent="0.25">
      <c r="O2185" s="1">
        <v>19523</v>
      </c>
      <c r="P2185" s="3" t="s">
        <v>717</v>
      </c>
      <c r="Q2185" s="1" t="s">
        <v>682</v>
      </c>
    </row>
    <row r="2186" spans="15:17" x14ac:dyDescent="0.25">
      <c r="O2186" s="1">
        <v>19525</v>
      </c>
      <c r="P2186" s="3" t="s">
        <v>717</v>
      </c>
      <c r="Q2186" s="1" t="s">
        <v>682</v>
      </c>
    </row>
    <row r="2187" spans="15:17" x14ac:dyDescent="0.25">
      <c r="O2187" s="1">
        <v>19526</v>
      </c>
      <c r="P2187" s="3" t="s">
        <v>717</v>
      </c>
      <c r="Q2187" s="1" t="s">
        <v>682</v>
      </c>
    </row>
    <row r="2188" spans="15:17" x14ac:dyDescent="0.25">
      <c r="O2188" s="1">
        <v>19529</v>
      </c>
      <c r="P2188" s="3" t="s">
        <v>717</v>
      </c>
      <c r="Q2188" s="1" t="s">
        <v>682</v>
      </c>
    </row>
    <row r="2189" spans="15:17" x14ac:dyDescent="0.25">
      <c r="O2189" s="1">
        <v>19530</v>
      </c>
      <c r="P2189" s="3" t="s">
        <v>717</v>
      </c>
      <c r="Q2189" s="1" t="s">
        <v>682</v>
      </c>
    </row>
    <row r="2190" spans="15:17" x14ac:dyDescent="0.25">
      <c r="O2190" s="1">
        <v>19533</v>
      </c>
      <c r="P2190" s="3" t="s">
        <v>717</v>
      </c>
      <c r="Q2190" s="1" t="s">
        <v>682</v>
      </c>
    </row>
    <row r="2191" spans="15:17" x14ac:dyDescent="0.25">
      <c r="O2191" s="1">
        <v>19534</v>
      </c>
      <c r="P2191" s="3" t="s">
        <v>717</v>
      </c>
      <c r="Q2191" s="1" t="s">
        <v>682</v>
      </c>
    </row>
    <row r="2192" spans="15:17" x14ac:dyDescent="0.25">
      <c r="O2192" s="1">
        <v>19535</v>
      </c>
      <c r="P2192" s="3" t="s">
        <v>717</v>
      </c>
      <c r="Q2192" s="1" t="s">
        <v>682</v>
      </c>
    </row>
    <row r="2193" spans="15:17" x14ac:dyDescent="0.25">
      <c r="O2193" s="1">
        <v>19536</v>
      </c>
      <c r="P2193" s="3" t="s">
        <v>717</v>
      </c>
      <c r="Q2193" s="1" t="s">
        <v>682</v>
      </c>
    </row>
    <row r="2194" spans="15:17" x14ac:dyDescent="0.25">
      <c r="O2194" s="1">
        <v>19538</v>
      </c>
      <c r="P2194" s="3" t="s">
        <v>717</v>
      </c>
      <c r="Q2194" s="1" t="s">
        <v>682</v>
      </c>
    </row>
    <row r="2195" spans="15:17" x14ac:dyDescent="0.25">
      <c r="O2195" s="1">
        <v>19539</v>
      </c>
      <c r="P2195" s="3" t="s">
        <v>717</v>
      </c>
      <c r="Q2195" s="1" t="s">
        <v>682</v>
      </c>
    </row>
    <row r="2196" spans="15:17" x14ac:dyDescent="0.25">
      <c r="O2196" s="1">
        <v>19540</v>
      </c>
      <c r="P2196" s="3" t="s">
        <v>717</v>
      </c>
      <c r="Q2196" s="1" t="s">
        <v>682</v>
      </c>
    </row>
    <row r="2197" spans="15:17" x14ac:dyDescent="0.25">
      <c r="O2197" s="1">
        <v>19541</v>
      </c>
      <c r="P2197" s="3" t="s">
        <v>717</v>
      </c>
      <c r="Q2197" s="1" t="s">
        <v>682</v>
      </c>
    </row>
    <row r="2198" spans="15:17" x14ac:dyDescent="0.25">
      <c r="O2198" s="1">
        <v>19542</v>
      </c>
      <c r="P2198" s="3" t="s">
        <v>717</v>
      </c>
      <c r="Q2198" s="1" t="s">
        <v>682</v>
      </c>
    </row>
    <row r="2199" spans="15:17" x14ac:dyDescent="0.25">
      <c r="O2199" s="1">
        <v>19543</v>
      </c>
      <c r="P2199" s="3" t="s">
        <v>717</v>
      </c>
      <c r="Q2199" s="1" t="s">
        <v>682</v>
      </c>
    </row>
    <row r="2200" spans="15:17" x14ac:dyDescent="0.25">
      <c r="O2200" s="1">
        <v>19544</v>
      </c>
      <c r="P2200" s="3" t="s">
        <v>717</v>
      </c>
      <c r="Q2200" s="1" t="s">
        <v>682</v>
      </c>
    </row>
    <row r="2201" spans="15:17" x14ac:dyDescent="0.25">
      <c r="O2201" s="1">
        <v>19545</v>
      </c>
      <c r="P2201" s="3" t="s">
        <v>717</v>
      </c>
      <c r="Q2201" s="1" t="s">
        <v>682</v>
      </c>
    </row>
    <row r="2202" spans="15:17" x14ac:dyDescent="0.25">
      <c r="O2202" s="1">
        <v>19547</v>
      </c>
      <c r="P2202" s="3" t="s">
        <v>717</v>
      </c>
      <c r="Q2202" s="1" t="s">
        <v>682</v>
      </c>
    </row>
    <row r="2203" spans="15:17" x14ac:dyDescent="0.25">
      <c r="O2203" s="1">
        <v>19548</v>
      </c>
      <c r="P2203" s="3" t="s">
        <v>717</v>
      </c>
      <c r="Q2203" s="1" t="s">
        <v>682</v>
      </c>
    </row>
    <row r="2204" spans="15:17" x14ac:dyDescent="0.25">
      <c r="O2204" s="1">
        <v>19549</v>
      </c>
      <c r="P2204" s="3" t="s">
        <v>718</v>
      </c>
      <c r="Q2204" s="1" t="s">
        <v>652</v>
      </c>
    </row>
    <row r="2205" spans="15:17" x14ac:dyDescent="0.25">
      <c r="O2205" s="1">
        <v>19550</v>
      </c>
      <c r="P2205" s="3" t="s">
        <v>717</v>
      </c>
      <c r="Q2205" s="1" t="s">
        <v>682</v>
      </c>
    </row>
    <row r="2206" spans="15:17" x14ac:dyDescent="0.25">
      <c r="O2206" s="1">
        <v>19551</v>
      </c>
      <c r="P2206" s="3" t="s">
        <v>717</v>
      </c>
      <c r="Q2206" s="1" t="s">
        <v>682</v>
      </c>
    </row>
    <row r="2207" spans="15:17" x14ac:dyDescent="0.25">
      <c r="O2207" s="1">
        <v>19554</v>
      </c>
      <c r="P2207" s="3" t="s">
        <v>717</v>
      </c>
      <c r="Q2207" s="1" t="s">
        <v>682</v>
      </c>
    </row>
    <row r="2208" spans="15:17" x14ac:dyDescent="0.25">
      <c r="O2208" s="1">
        <v>19555</v>
      </c>
      <c r="P2208" s="3" t="s">
        <v>717</v>
      </c>
      <c r="Q2208" s="1" t="s">
        <v>682</v>
      </c>
    </row>
    <row r="2209" spans="15:17" x14ac:dyDescent="0.25">
      <c r="O2209" s="1">
        <v>19557</v>
      </c>
      <c r="P2209" s="3" t="s">
        <v>717</v>
      </c>
      <c r="Q2209" s="1" t="s">
        <v>682</v>
      </c>
    </row>
    <row r="2210" spans="15:17" x14ac:dyDescent="0.25">
      <c r="O2210" s="1">
        <v>19559</v>
      </c>
      <c r="P2210" s="3" t="s">
        <v>717</v>
      </c>
      <c r="Q2210" s="1" t="s">
        <v>682</v>
      </c>
    </row>
    <row r="2211" spans="15:17" x14ac:dyDescent="0.25">
      <c r="O2211" s="1">
        <v>19560</v>
      </c>
      <c r="P2211" s="3" t="s">
        <v>717</v>
      </c>
      <c r="Q2211" s="1" t="s">
        <v>682</v>
      </c>
    </row>
    <row r="2212" spans="15:17" x14ac:dyDescent="0.25">
      <c r="O2212" s="1">
        <v>19562</v>
      </c>
      <c r="P2212" s="3" t="s">
        <v>717</v>
      </c>
      <c r="Q2212" s="1" t="s">
        <v>682</v>
      </c>
    </row>
    <row r="2213" spans="15:17" x14ac:dyDescent="0.25">
      <c r="O2213" s="1">
        <v>19564</v>
      </c>
      <c r="P2213" s="3" t="s">
        <v>717</v>
      </c>
      <c r="Q2213" s="1" t="s">
        <v>682</v>
      </c>
    </row>
    <row r="2214" spans="15:17" x14ac:dyDescent="0.25">
      <c r="O2214" s="1">
        <v>19565</v>
      </c>
      <c r="P2214" s="3" t="s">
        <v>717</v>
      </c>
      <c r="Q2214" s="1" t="s">
        <v>682</v>
      </c>
    </row>
    <row r="2215" spans="15:17" x14ac:dyDescent="0.25">
      <c r="O2215" s="1">
        <v>19567</v>
      </c>
      <c r="P2215" s="3" t="s">
        <v>717</v>
      </c>
      <c r="Q2215" s="1" t="s">
        <v>682</v>
      </c>
    </row>
    <row r="2216" spans="15:17" x14ac:dyDescent="0.25">
      <c r="O2216" s="1">
        <v>19601</v>
      </c>
      <c r="P2216" s="3" t="s">
        <v>717</v>
      </c>
      <c r="Q2216" s="1" t="s">
        <v>682</v>
      </c>
    </row>
    <row r="2217" spans="15:17" x14ac:dyDescent="0.25">
      <c r="O2217" s="1">
        <v>19602</v>
      </c>
      <c r="P2217" s="3" t="s">
        <v>717</v>
      </c>
      <c r="Q2217" s="1" t="s">
        <v>682</v>
      </c>
    </row>
    <row r="2218" spans="15:17" x14ac:dyDescent="0.25">
      <c r="O2218" s="1">
        <v>19603</v>
      </c>
      <c r="P2218" s="3" t="s">
        <v>717</v>
      </c>
      <c r="Q2218" s="1" t="s">
        <v>682</v>
      </c>
    </row>
    <row r="2219" spans="15:17" x14ac:dyDescent="0.25">
      <c r="O2219" s="1">
        <v>19604</v>
      </c>
      <c r="P2219" s="3" t="s">
        <v>717</v>
      </c>
      <c r="Q2219" s="1" t="s">
        <v>682</v>
      </c>
    </row>
    <row r="2220" spans="15:17" x14ac:dyDescent="0.25">
      <c r="O2220" s="1">
        <v>19605</v>
      </c>
      <c r="P2220" s="3" t="s">
        <v>717</v>
      </c>
      <c r="Q2220" s="1" t="s">
        <v>682</v>
      </c>
    </row>
    <row r="2221" spans="15:17" x14ac:dyDescent="0.25">
      <c r="O2221" s="1">
        <v>19606</v>
      </c>
      <c r="P2221" s="3" t="s">
        <v>717</v>
      </c>
      <c r="Q2221" s="1" t="s">
        <v>682</v>
      </c>
    </row>
    <row r="2222" spans="15:17" x14ac:dyDescent="0.25">
      <c r="O2222" s="1">
        <v>19607</v>
      </c>
      <c r="P2222" s="3" t="s">
        <v>717</v>
      </c>
      <c r="Q2222" s="1" t="s">
        <v>682</v>
      </c>
    </row>
    <row r="2223" spans="15:17" x14ac:dyDescent="0.25">
      <c r="O2223" s="1">
        <v>19608</v>
      </c>
      <c r="P2223" s="3" t="s">
        <v>717</v>
      </c>
      <c r="Q2223" s="1" t="s">
        <v>682</v>
      </c>
    </row>
    <row r="2224" spans="15:17" x14ac:dyDescent="0.25">
      <c r="O2224" s="1">
        <v>19609</v>
      </c>
      <c r="P2224" s="3" t="s">
        <v>717</v>
      </c>
      <c r="Q2224" s="1" t="s">
        <v>682</v>
      </c>
    </row>
    <row r="2225" spans="15:17" x14ac:dyDescent="0.25">
      <c r="O2225" s="1">
        <v>19610</v>
      </c>
      <c r="P2225" s="3" t="s">
        <v>717</v>
      </c>
      <c r="Q2225" s="1" t="s">
        <v>682</v>
      </c>
    </row>
    <row r="2226" spans="15:17" x14ac:dyDescent="0.25">
      <c r="O2226" s="1">
        <v>19611</v>
      </c>
      <c r="P2226" s="3" t="s">
        <v>717</v>
      </c>
      <c r="Q2226" s="1" t="s">
        <v>682</v>
      </c>
    </row>
    <row r="2227" spans="15:17" x14ac:dyDescent="0.25">
      <c r="O2227" s="1">
        <v>19612</v>
      </c>
      <c r="P2227" s="3" t="s">
        <v>717</v>
      </c>
      <c r="Q2227" s="1" t="s">
        <v>682</v>
      </c>
    </row>
    <row r="2228" spans="15:17" x14ac:dyDescent="0.25">
      <c r="O2228" s="1">
        <v>19640</v>
      </c>
      <c r="P2228" s="3" t="s">
        <v>717</v>
      </c>
      <c r="Q2228" s="1" t="s">
        <v>682</v>
      </c>
    </row>
  </sheetData>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05083-56CB-45C4-B8EB-677B3DD2D999}">
  <sheetPr codeName="Sheet11">
    <tabColor rgb="FF7030A0"/>
  </sheetPr>
  <dimension ref="A1:B50"/>
  <sheetViews>
    <sheetView tabSelected="1" workbookViewId="0">
      <selection activeCell="B9" sqref="B9"/>
    </sheetView>
  </sheetViews>
  <sheetFormatPr defaultColWidth="9.140625" defaultRowHeight="12.75" customHeight="1" x14ac:dyDescent="0.2"/>
  <cols>
    <col min="1" max="1" width="3.42578125" style="11" customWidth="1"/>
    <col min="2" max="2" width="191.85546875" style="11" bestFit="1" customWidth="1"/>
    <col min="3" max="16384" width="9.140625" style="11"/>
  </cols>
  <sheetData>
    <row r="1" spans="1:2" ht="18" customHeight="1" x14ac:dyDescent="0.25">
      <c r="A1" s="450" t="s">
        <v>720</v>
      </c>
      <c r="B1" s="450"/>
    </row>
    <row r="2" spans="1:2" ht="15.75" customHeight="1" x14ac:dyDescent="0.25">
      <c r="A2" s="451" t="s">
        <v>721</v>
      </c>
      <c r="B2" s="451"/>
    </row>
    <row r="4" spans="1:2" ht="12.75" customHeight="1" x14ac:dyDescent="0.2">
      <c r="A4" s="12" t="s">
        <v>722</v>
      </c>
      <c r="B4" s="13"/>
    </row>
    <row r="5" spans="1:2" ht="12.75" customHeight="1" x14ac:dyDescent="0.2">
      <c r="A5" s="14" t="s">
        <v>723</v>
      </c>
      <c r="B5" s="13"/>
    </row>
    <row r="6" spans="1:2" ht="12.75" customHeight="1" x14ac:dyDescent="0.2">
      <c r="A6" s="15"/>
    </row>
    <row r="7" spans="1:2" s="13" customFormat="1" ht="12.75" customHeight="1" x14ac:dyDescent="0.2">
      <c r="A7" s="296" t="s">
        <v>724</v>
      </c>
    </row>
    <row r="8" spans="1:2" s="13" customFormat="1" ht="12.75" customHeight="1" x14ac:dyDescent="0.2">
      <c r="A8" s="14" t="s">
        <v>725</v>
      </c>
    </row>
    <row r="9" spans="1:2" s="13" customFormat="1" ht="12.75" customHeight="1" x14ac:dyDescent="0.2">
      <c r="A9" s="295" t="s">
        <v>726</v>
      </c>
    </row>
    <row r="10" spans="1:2" s="13" customFormat="1" ht="12.75" customHeight="1" x14ac:dyDescent="0.2">
      <c r="A10" s="14" t="s">
        <v>727</v>
      </c>
    </row>
    <row r="11" spans="1:2" s="13" customFormat="1" ht="12.75" customHeight="1" x14ac:dyDescent="0.2">
      <c r="A11" s="295" t="s">
        <v>728</v>
      </c>
    </row>
    <row r="12" spans="1:2" s="13" customFormat="1" ht="12.75" customHeight="1" x14ac:dyDescent="0.2">
      <c r="A12" s="13" t="s">
        <v>729</v>
      </c>
    </row>
    <row r="13" spans="1:2" s="13" customFormat="1" ht="12.75" customHeight="1" x14ac:dyDescent="0.2">
      <c r="A13" s="13" t="s">
        <v>730</v>
      </c>
    </row>
    <row r="14" spans="1:2" s="13" customFormat="1" ht="12.75" customHeight="1" x14ac:dyDescent="0.2">
      <c r="A14" s="295" t="s">
        <v>731</v>
      </c>
    </row>
    <row r="15" spans="1:2" s="13" customFormat="1" ht="12.75" customHeight="1" x14ac:dyDescent="0.2">
      <c r="A15" s="13" t="s">
        <v>732</v>
      </c>
    </row>
    <row r="16" spans="1:2" s="13" customFormat="1" ht="12.75" customHeight="1" x14ac:dyDescent="0.2"/>
    <row r="17" s="13" customFormat="1" ht="12.75" customHeight="1" x14ac:dyDescent="0.2"/>
    <row r="18" s="13" customFormat="1" ht="12.75" customHeight="1" x14ac:dyDescent="0.2"/>
    <row r="19" s="13" customFormat="1" ht="12.75" customHeight="1" x14ac:dyDescent="0.2"/>
    <row r="20" s="13" customFormat="1" ht="12.75" customHeight="1" x14ac:dyDescent="0.2"/>
    <row r="21" s="13" customFormat="1" ht="12.75" customHeight="1" x14ac:dyDescent="0.2"/>
    <row r="22" s="13" customFormat="1" ht="12.75" customHeight="1" x14ac:dyDescent="0.2"/>
    <row r="23" s="13" customFormat="1" ht="12.75" customHeight="1" x14ac:dyDescent="0.2"/>
    <row r="24" s="13" customFormat="1" ht="12.75" customHeight="1" x14ac:dyDescent="0.2"/>
    <row r="25" s="13" customFormat="1" ht="12.75" customHeight="1" x14ac:dyDescent="0.2"/>
    <row r="26" s="13" customFormat="1" ht="12.75" customHeight="1" x14ac:dyDescent="0.2"/>
    <row r="27" s="13" customFormat="1" ht="12.75" customHeight="1" x14ac:dyDescent="0.2"/>
    <row r="28" s="13" customFormat="1" ht="12.75" customHeight="1" x14ac:dyDescent="0.2"/>
    <row r="29" s="13" customFormat="1" ht="12.75" customHeight="1" x14ac:dyDescent="0.2"/>
    <row r="30" s="13" customFormat="1" ht="12.75" customHeight="1" x14ac:dyDescent="0.2"/>
    <row r="31" s="13" customFormat="1" ht="12.75" customHeight="1" x14ac:dyDescent="0.2"/>
    <row r="32" s="13" customFormat="1" ht="12.75" customHeight="1" x14ac:dyDescent="0.2"/>
    <row r="33" s="13" customFormat="1" ht="12.75" customHeight="1" x14ac:dyDescent="0.2"/>
    <row r="34" s="13" customFormat="1" ht="12.75" customHeight="1" x14ac:dyDescent="0.2"/>
    <row r="35" s="13" customFormat="1" ht="12.75" customHeight="1" x14ac:dyDescent="0.2"/>
    <row r="36" s="13" customFormat="1" ht="12.75" customHeight="1" x14ac:dyDescent="0.2"/>
    <row r="37" s="13" customFormat="1" ht="12.75" customHeight="1" x14ac:dyDescent="0.2"/>
    <row r="38" s="13" customFormat="1" ht="12.75" customHeight="1" x14ac:dyDescent="0.2"/>
    <row r="39" s="13" customFormat="1" ht="12.75" customHeight="1" x14ac:dyDescent="0.2"/>
    <row r="40" s="13" customFormat="1" ht="12.75" customHeight="1" x14ac:dyDescent="0.2"/>
    <row r="41" s="13" customFormat="1" ht="12.75" customHeight="1" x14ac:dyDescent="0.2"/>
    <row r="42" s="13" customFormat="1" ht="12.75" customHeight="1" x14ac:dyDescent="0.2"/>
    <row r="43" s="13" customFormat="1" ht="12.75" customHeight="1" x14ac:dyDescent="0.2"/>
    <row r="44" s="13" customFormat="1" ht="12.75" customHeight="1" x14ac:dyDescent="0.2"/>
    <row r="45" s="13" customFormat="1" ht="12.75" customHeight="1" x14ac:dyDescent="0.2"/>
    <row r="46" s="13" customFormat="1" ht="12.75" customHeight="1" x14ac:dyDescent="0.2"/>
    <row r="47" s="13" customFormat="1" ht="12.75" customHeight="1" x14ac:dyDescent="0.2"/>
    <row r="48" s="13" customFormat="1" ht="12.75" customHeight="1" x14ac:dyDescent="0.2"/>
    <row r="49" s="13" customFormat="1" ht="12.75" customHeight="1" x14ac:dyDescent="0.2"/>
    <row r="50" s="13" customFormat="1" ht="12.75" customHeight="1" x14ac:dyDescent="0.2"/>
  </sheetData>
  <mergeCells count="2">
    <mergeCell ref="A1:B1"/>
    <mergeCell ref="A2:B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44991-FE91-4318-8645-D59E4B4CE96E}">
  <sheetPr codeName="Sheet12"/>
  <dimension ref="A1:AV115"/>
  <sheetViews>
    <sheetView topLeftCell="A54" workbookViewId="0">
      <selection activeCell="N87" sqref="N87"/>
    </sheetView>
  </sheetViews>
  <sheetFormatPr defaultColWidth="8.85546875" defaultRowHeight="15" x14ac:dyDescent="0.25"/>
  <cols>
    <col min="1" max="1" width="2.7109375" style="28" customWidth="1"/>
    <col min="2" max="2" width="3.7109375" style="28" customWidth="1"/>
    <col min="3" max="3" width="31.5703125" style="28" customWidth="1"/>
    <col min="4" max="10" width="6.7109375" style="28" customWidth="1"/>
    <col min="11" max="11" width="3.7109375" style="28" customWidth="1"/>
    <col min="12" max="16384" width="8.85546875" style="28"/>
  </cols>
  <sheetData>
    <row r="1" spans="1:48" ht="15" customHeight="1" x14ac:dyDescent="0.25"/>
    <row r="2" spans="1:48" s="21" customFormat="1" ht="22.5" x14ac:dyDescent="0.35">
      <c r="A2" s="17"/>
      <c r="B2" s="18" t="str">
        <f>Lookups!B2</f>
        <v>Ph V TRM Appendix F: Building Operator Certification Audit and Design Tool</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20"/>
      <c r="AE2" s="20"/>
      <c r="AF2" s="20"/>
    </row>
    <row r="3" spans="1:48" s="25" customFormat="1" ht="17.25" x14ac:dyDescent="0.25">
      <c r="A3" s="22"/>
      <c r="B3" s="23" t="s">
        <v>3</v>
      </c>
      <c r="C3" s="24"/>
      <c r="D3" s="24"/>
      <c r="E3" s="24"/>
      <c r="F3" s="24"/>
      <c r="G3" s="24"/>
      <c r="H3" s="24"/>
      <c r="I3" s="24"/>
      <c r="J3" s="24"/>
      <c r="K3" s="24"/>
      <c r="L3" s="24"/>
      <c r="AJ3" s="24"/>
      <c r="AK3" s="24"/>
      <c r="AL3" s="24"/>
      <c r="AM3" s="24"/>
      <c r="AN3" s="24"/>
      <c r="AO3" s="24"/>
      <c r="AP3" s="24"/>
      <c r="AQ3" s="24"/>
      <c r="AR3" s="24"/>
      <c r="AS3" s="24"/>
      <c r="AT3" s="24"/>
      <c r="AU3" s="24"/>
      <c r="AV3" s="24"/>
    </row>
    <row r="4" spans="1:48" ht="9.75" customHeight="1" thickBot="1" x14ac:dyDescent="0.3"/>
    <row r="5" spans="1:48" ht="15" customHeight="1" x14ac:dyDescent="0.25">
      <c r="B5" s="35"/>
      <c r="C5" s="309" t="s">
        <v>4</v>
      </c>
      <c r="D5" s="311" t="s">
        <v>5</v>
      </c>
      <c r="E5" s="311"/>
      <c r="F5" s="311"/>
      <c r="G5" s="33"/>
      <c r="H5" s="312" t="s">
        <v>6</v>
      </c>
      <c r="I5" s="312"/>
      <c r="J5" s="312"/>
      <c r="K5" s="205"/>
    </row>
    <row r="6" spans="1:48" ht="15.75" customHeight="1" thickBot="1" x14ac:dyDescent="0.3">
      <c r="B6" s="29"/>
      <c r="C6" s="310"/>
      <c r="D6" s="313" t="s">
        <v>7</v>
      </c>
      <c r="E6" s="313"/>
      <c r="F6" s="313"/>
      <c r="G6" s="34"/>
      <c r="H6" s="314" t="s">
        <v>8</v>
      </c>
      <c r="I6" s="314"/>
      <c r="J6" s="314"/>
      <c r="K6" s="206"/>
    </row>
    <row r="7" spans="1:48" ht="15" customHeight="1" thickBot="1" x14ac:dyDescent="0.3"/>
    <row r="8" spans="1:48" ht="21" x14ac:dyDescent="0.25">
      <c r="B8" s="316" t="s">
        <v>9</v>
      </c>
      <c r="C8" s="317"/>
      <c r="D8" s="317"/>
      <c r="E8" s="317"/>
      <c r="F8" s="317"/>
      <c r="G8" s="317"/>
      <c r="H8" s="317"/>
      <c r="I8" s="317"/>
      <c r="J8" s="317"/>
      <c r="K8" s="318"/>
    </row>
    <row r="9" spans="1:48" x14ac:dyDescent="0.25">
      <c r="B9" s="208"/>
      <c r="C9" s="209"/>
      <c r="D9" s="209"/>
      <c r="E9" s="209"/>
      <c r="F9" s="209"/>
      <c r="G9" s="209"/>
      <c r="H9" s="209"/>
      <c r="I9" s="209"/>
      <c r="J9" s="209"/>
      <c r="K9" s="210"/>
    </row>
    <row r="10" spans="1:48" x14ac:dyDescent="0.25">
      <c r="B10" s="208"/>
      <c r="C10" s="319" t="s">
        <v>10</v>
      </c>
      <c r="D10" s="320"/>
      <c r="E10" s="320"/>
      <c r="F10" s="320"/>
      <c r="G10" s="320"/>
      <c r="H10" s="320"/>
      <c r="I10" s="320"/>
      <c r="J10" s="321"/>
      <c r="K10" s="210"/>
    </row>
    <row r="11" spans="1:48" x14ac:dyDescent="0.25">
      <c r="B11" s="208"/>
      <c r="C11" s="32"/>
      <c r="D11" s="32"/>
      <c r="E11" s="32"/>
      <c r="F11" s="32"/>
      <c r="G11" s="32"/>
      <c r="H11" s="32"/>
      <c r="I11" s="32"/>
      <c r="J11" s="32"/>
      <c r="K11" s="210"/>
    </row>
    <row r="12" spans="1:48" x14ac:dyDescent="0.25">
      <c r="B12" s="208"/>
      <c r="C12" s="27" t="s">
        <v>11</v>
      </c>
      <c r="D12" s="315"/>
      <c r="E12" s="315"/>
      <c r="F12" s="315"/>
      <c r="G12" s="315"/>
      <c r="H12" s="315"/>
      <c r="I12" s="315"/>
      <c r="J12" s="315"/>
      <c r="K12" s="210"/>
    </row>
    <row r="13" spans="1:48" x14ac:dyDescent="0.25">
      <c r="B13" s="208"/>
      <c r="C13" s="27" t="s">
        <v>12</v>
      </c>
      <c r="D13" s="315"/>
      <c r="E13" s="315"/>
      <c r="F13" s="315"/>
      <c r="G13" s="315"/>
      <c r="H13" s="315"/>
      <c r="I13" s="315"/>
      <c r="J13" s="315"/>
      <c r="K13" s="210"/>
    </row>
    <row r="14" spans="1:48" x14ac:dyDescent="0.25">
      <c r="B14" s="208"/>
      <c r="C14" s="27"/>
      <c r="D14" s="220"/>
      <c r="E14" s="220"/>
      <c r="F14" s="220"/>
      <c r="G14" s="220"/>
      <c r="H14" s="220"/>
      <c r="I14" s="220"/>
      <c r="J14" s="220"/>
      <c r="K14" s="210"/>
    </row>
    <row r="15" spans="1:48" x14ac:dyDescent="0.25">
      <c r="B15" s="26"/>
      <c r="C15" s="27" t="s">
        <v>13</v>
      </c>
      <c r="D15" s="315"/>
      <c r="E15" s="315"/>
      <c r="F15" s="315"/>
      <c r="G15" s="315"/>
      <c r="H15" s="315"/>
      <c r="I15" s="315"/>
      <c r="J15" s="315"/>
      <c r="K15" s="221"/>
    </row>
    <row r="16" spans="1:48" x14ac:dyDescent="0.25">
      <c r="B16" s="26"/>
      <c r="C16" s="27" t="s">
        <v>14</v>
      </c>
      <c r="D16" s="315"/>
      <c r="E16" s="315"/>
      <c r="F16" s="315"/>
      <c r="G16" s="27" t="s">
        <v>15</v>
      </c>
      <c r="H16" s="219"/>
      <c r="I16" s="27" t="s">
        <v>16</v>
      </c>
      <c r="J16" s="222">
        <v>18401</v>
      </c>
      <c r="K16" s="221"/>
    </row>
    <row r="17" spans="2:12" x14ac:dyDescent="0.25">
      <c r="B17" s="26"/>
      <c r="C17" s="27" t="s">
        <v>17</v>
      </c>
      <c r="D17" s="322" t="s">
        <v>18</v>
      </c>
      <c r="E17" s="322"/>
      <c r="F17" s="323" t="s">
        <v>19</v>
      </c>
      <c r="G17" s="323"/>
      <c r="H17" s="324"/>
      <c r="I17" s="324"/>
      <c r="J17" s="324"/>
      <c r="K17" s="221"/>
    </row>
    <row r="18" spans="2:12" x14ac:dyDescent="0.25">
      <c r="B18" s="26"/>
      <c r="C18" s="27" t="s">
        <v>20</v>
      </c>
      <c r="D18" s="315"/>
      <c r="E18" s="315"/>
      <c r="F18" s="315"/>
      <c r="G18" s="315"/>
      <c r="H18" s="315"/>
      <c r="I18" s="315"/>
      <c r="J18" s="315"/>
      <c r="K18" s="221"/>
    </row>
    <row r="19" spans="2:12" x14ac:dyDescent="0.25">
      <c r="B19" s="26"/>
      <c r="C19" s="27" t="s">
        <v>21</v>
      </c>
      <c r="D19" s="325"/>
      <c r="E19" s="325"/>
      <c r="F19" s="325"/>
      <c r="G19" s="325"/>
      <c r="H19" s="325"/>
      <c r="I19" s="325"/>
      <c r="J19" s="325"/>
      <c r="K19" s="221"/>
    </row>
    <row r="20" spans="2:12" x14ac:dyDescent="0.25">
      <c r="B20" s="26"/>
      <c r="C20" s="27" t="s">
        <v>22</v>
      </c>
      <c r="D20" s="315"/>
      <c r="E20" s="315"/>
      <c r="F20" s="315"/>
      <c r="G20" s="315"/>
      <c r="H20" s="315"/>
      <c r="I20" s="315"/>
      <c r="J20" s="315"/>
      <c r="K20" s="221"/>
    </row>
    <row r="21" spans="2:12" x14ac:dyDescent="0.25">
      <c r="B21" s="26"/>
      <c r="C21" s="116" t="s">
        <v>23</v>
      </c>
      <c r="D21" s="326" t="str" cm="1">
        <f t="array" aca="1" ref="D21" ca="1">INDEX(Lookups_Ref_City,MATCH(J16,Lookups_Zip,0))</f>
        <v>Binghamton</v>
      </c>
      <c r="E21" s="326"/>
      <c r="F21" s="326"/>
      <c r="G21" s="326"/>
      <c r="H21" s="223"/>
      <c r="I21" s="223"/>
      <c r="J21" s="220"/>
      <c r="K21" s="221"/>
    </row>
    <row r="22" spans="2:12" x14ac:dyDescent="0.25">
      <c r="B22" s="26"/>
      <c r="F22" s="224"/>
      <c r="I22" s="223"/>
      <c r="J22" s="220"/>
      <c r="K22" s="221"/>
      <c r="L22" s="117"/>
    </row>
    <row r="23" spans="2:12" x14ac:dyDescent="0.25">
      <c r="B23" s="26"/>
      <c r="C23" s="27" t="s">
        <v>24</v>
      </c>
      <c r="D23" s="315" t="s">
        <v>25</v>
      </c>
      <c r="E23" s="315"/>
      <c r="F23" s="315"/>
      <c r="G23" s="315"/>
      <c r="H23" s="30"/>
      <c r="I23" s="223"/>
      <c r="J23" s="220"/>
      <c r="K23" s="221"/>
      <c r="L23" s="117"/>
    </row>
    <row r="24" spans="2:12" ht="17.25" x14ac:dyDescent="0.25">
      <c r="B24" s="26"/>
      <c r="C24" s="27" t="s">
        <v>26</v>
      </c>
      <c r="D24" s="337">
        <v>20000</v>
      </c>
      <c r="E24" s="337"/>
      <c r="F24" s="337"/>
      <c r="G24" s="337"/>
      <c r="H24" s="31" t="s">
        <v>27</v>
      </c>
      <c r="I24" s="220"/>
      <c r="J24" s="220"/>
      <c r="K24" s="221"/>
    </row>
    <row r="25" spans="2:12" x14ac:dyDescent="0.25">
      <c r="B25" s="26"/>
      <c r="C25" s="27" t="s">
        <v>28</v>
      </c>
      <c r="D25" s="333">
        <v>250000</v>
      </c>
      <c r="E25" s="333"/>
      <c r="F25" s="220" t="s">
        <v>29</v>
      </c>
      <c r="H25" s="30"/>
      <c r="I25" s="27"/>
      <c r="J25" s="27"/>
      <c r="K25" s="221"/>
      <c r="L25" s="117"/>
    </row>
    <row r="26" spans="2:12" x14ac:dyDescent="0.25">
      <c r="B26" s="26"/>
      <c r="C26" s="27" t="s">
        <v>30</v>
      </c>
      <c r="D26" s="333">
        <v>2000</v>
      </c>
      <c r="E26" s="333"/>
      <c r="F26" s="220" t="s">
        <v>31</v>
      </c>
      <c r="G26" s="223"/>
      <c r="H26" s="27"/>
      <c r="I26" s="27"/>
      <c r="J26" s="27"/>
      <c r="K26" s="221"/>
    </row>
    <row r="27" spans="2:12" x14ac:dyDescent="0.25">
      <c r="B27" s="26"/>
      <c r="C27" s="336" t="s">
        <v>32</v>
      </c>
      <c r="G27" s="223"/>
      <c r="H27" s="27"/>
      <c r="I27" s="27"/>
      <c r="J27" s="27"/>
      <c r="K27" s="221"/>
    </row>
    <row r="28" spans="2:12" x14ac:dyDescent="0.25">
      <c r="B28" s="225"/>
      <c r="C28" s="336"/>
      <c r="D28" s="322" t="s">
        <v>33</v>
      </c>
      <c r="E28" s="322"/>
      <c r="F28" s="36"/>
      <c r="G28" s="36"/>
      <c r="H28" s="36"/>
      <c r="I28" s="36"/>
      <c r="J28" s="36"/>
      <c r="K28" s="221"/>
    </row>
    <row r="29" spans="2:12" x14ac:dyDescent="0.25">
      <c r="B29" s="225"/>
      <c r="D29" s="36"/>
      <c r="E29" s="36"/>
      <c r="F29" s="36"/>
      <c r="G29" s="36"/>
      <c r="H29" s="36"/>
      <c r="I29" s="36"/>
      <c r="J29" s="36"/>
      <c r="K29" s="221"/>
    </row>
    <row r="30" spans="2:12" x14ac:dyDescent="0.25">
      <c r="B30" s="225"/>
      <c r="D30" s="36"/>
      <c r="E30" s="36"/>
      <c r="F30" s="36"/>
      <c r="G30" s="36"/>
      <c r="H30" s="36"/>
      <c r="I30" s="36"/>
      <c r="J30" s="36"/>
      <c r="K30" s="221"/>
    </row>
    <row r="31" spans="2:12" x14ac:dyDescent="0.25">
      <c r="B31" s="225"/>
      <c r="C31" s="36"/>
      <c r="D31" s="36"/>
      <c r="E31" s="36"/>
      <c r="F31" s="36"/>
      <c r="G31" s="36"/>
      <c r="H31" s="36"/>
      <c r="I31" s="36"/>
      <c r="J31" s="36"/>
      <c r="K31" s="221"/>
    </row>
    <row r="32" spans="2:12" x14ac:dyDescent="0.25">
      <c r="B32" s="225"/>
      <c r="C32" s="319" t="s">
        <v>34</v>
      </c>
      <c r="D32" s="320"/>
      <c r="E32" s="320"/>
      <c r="F32" s="320"/>
      <c r="G32" s="320"/>
      <c r="H32" s="320"/>
      <c r="I32" s="320"/>
      <c r="J32" s="321"/>
      <c r="K32" s="221"/>
    </row>
    <row r="33" spans="2:11" x14ac:dyDescent="0.25">
      <c r="B33" s="211"/>
      <c r="C33" s="215"/>
      <c r="D33" s="215"/>
      <c r="E33" s="215"/>
      <c r="F33" s="215"/>
      <c r="G33" s="215"/>
      <c r="H33" s="215"/>
      <c r="I33" s="215"/>
      <c r="J33" s="215"/>
      <c r="K33" s="212"/>
    </row>
    <row r="34" spans="2:11" x14ac:dyDescent="0.25">
      <c r="B34" s="211"/>
      <c r="C34" s="216" t="s">
        <v>35</v>
      </c>
      <c r="D34" s="215"/>
      <c r="F34" s="215"/>
      <c r="G34" s="215"/>
      <c r="H34" s="215"/>
      <c r="I34" s="215"/>
      <c r="J34" s="218">
        <v>0.99999999999999989</v>
      </c>
      <c r="K34" s="212"/>
    </row>
    <row r="35" spans="2:11" x14ac:dyDescent="0.25">
      <c r="B35" s="211"/>
      <c r="C35" s="216" t="s">
        <v>36</v>
      </c>
      <c r="D35" s="215"/>
      <c r="E35" s="338" t="s">
        <v>37</v>
      </c>
      <c r="F35" s="339"/>
      <c r="G35" s="339"/>
      <c r="H35" s="339"/>
      <c r="I35" s="339"/>
      <c r="J35" s="340"/>
      <c r="K35" s="212"/>
    </row>
    <row r="36" spans="2:11" x14ac:dyDescent="0.25">
      <c r="B36" s="211"/>
      <c r="C36" s="215"/>
      <c r="D36" s="215"/>
      <c r="E36" s="215"/>
      <c r="F36" s="215"/>
      <c r="G36" s="215"/>
      <c r="H36" s="215"/>
      <c r="I36" s="215"/>
      <c r="J36" s="215"/>
      <c r="K36" s="212"/>
    </row>
    <row r="37" spans="2:11" x14ac:dyDescent="0.25">
      <c r="B37" s="211"/>
      <c r="C37" s="215"/>
      <c r="D37" s="215"/>
      <c r="E37" s="215"/>
      <c r="F37" s="215"/>
      <c r="G37" s="215"/>
      <c r="H37" s="215"/>
      <c r="I37" s="215"/>
      <c r="J37" s="215"/>
      <c r="K37" s="212"/>
    </row>
    <row r="38" spans="2:11" x14ac:dyDescent="0.25">
      <c r="B38" s="211"/>
      <c r="C38" s="215"/>
      <c r="D38" s="215"/>
      <c r="E38" s="215"/>
      <c r="F38" s="215"/>
      <c r="G38" s="215"/>
      <c r="H38" s="215"/>
      <c r="I38" s="215"/>
      <c r="J38" s="215"/>
      <c r="K38" s="212"/>
    </row>
    <row r="39" spans="2:11" x14ac:dyDescent="0.25">
      <c r="B39" s="211"/>
      <c r="C39" s="319" t="s">
        <v>38</v>
      </c>
      <c r="D39" s="320"/>
      <c r="E39" s="320"/>
      <c r="F39" s="320"/>
      <c r="G39" s="320"/>
      <c r="H39" s="320"/>
      <c r="I39" s="320"/>
      <c r="J39" s="321"/>
      <c r="K39" s="212"/>
    </row>
    <row r="40" spans="2:11" x14ac:dyDescent="0.25">
      <c r="B40" s="211"/>
      <c r="C40" s="215"/>
      <c r="D40" s="215"/>
      <c r="E40" s="215"/>
      <c r="F40" s="215"/>
      <c r="G40" s="215"/>
      <c r="H40" s="215"/>
      <c r="J40" s="215"/>
      <c r="K40" s="212"/>
    </row>
    <row r="41" spans="2:11" x14ac:dyDescent="0.25">
      <c r="B41" s="211"/>
      <c r="C41" s="217" t="s">
        <v>39</v>
      </c>
      <c r="D41" s="215"/>
      <c r="F41" s="215"/>
      <c r="H41" s="327" t="s">
        <v>40</v>
      </c>
      <c r="I41" s="328"/>
      <c r="J41" s="329"/>
      <c r="K41" s="212"/>
    </row>
    <row r="42" spans="2:11" x14ac:dyDescent="0.25">
      <c r="B42" s="211"/>
      <c r="C42" s="215"/>
      <c r="D42" s="215"/>
      <c r="E42" s="215"/>
      <c r="F42" s="215"/>
      <c r="G42" s="215"/>
      <c r="H42" s="330"/>
      <c r="I42" s="331"/>
      <c r="J42" s="332"/>
      <c r="K42" s="212"/>
    </row>
    <row r="43" spans="2:11" x14ac:dyDescent="0.25">
      <c r="B43" s="211"/>
      <c r="C43" s="217" t="s">
        <v>41</v>
      </c>
      <c r="D43" s="215"/>
      <c r="F43" s="215"/>
      <c r="G43" s="215"/>
      <c r="H43" s="215"/>
      <c r="J43" s="207">
        <v>0.6</v>
      </c>
      <c r="K43" s="212"/>
    </row>
    <row r="44" spans="2:11" x14ac:dyDescent="0.25">
      <c r="B44" s="211"/>
      <c r="C44" s="217" t="s">
        <v>42</v>
      </c>
      <c r="D44" s="215"/>
      <c r="F44" s="215"/>
      <c r="G44" s="215"/>
      <c r="H44" s="327" t="s">
        <v>43</v>
      </c>
      <c r="I44" s="328"/>
      <c r="J44" s="329"/>
      <c r="K44" s="212"/>
    </row>
    <row r="45" spans="2:11" x14ac:dyDescent="0.25">
      <c r="B45" s="211"/>
      <c r="C45" s="217"/>
      <c r="D45" s="215"/>
      <c r="F45" s="215"/>
      <c r="G45" s="215"/>
      <c r="H45" s="330"/>
      <c r="I45" s="331"/>
      <c r="J45" s="332"/>
      <c r="K45" s="212"/>
    </row>
    <row r="46" spans="2:11" ht="14.45" customHeight="1" x14ac:dyDescent="0.25">
      <c r="B46" s="211"/>
      <c r="C46" s="217" t="s">
        <v>44</v>
      </c>
      <c r="D46" s="216"/>
      <c r="E46" s="216"/>
      <c r="F46" s="216"/>
      <c r="G46" s="216"/>
      <c r="H46" s="215"/>
      <c r="J46" s="207">
        <v>0.1</v>
      </c>
      <c r="K46" s="212"/>
    </row>
    <row r="47" spans="2:11" x14ac:dyDescent="0.25">
      <c r="B47" s="211"/>
      <c r="C47" s="215"/>
      <c r="D47" s="215"/>
      <c r="E47" s="215"/>
      <c r="F47" s="215"/>
      <c r="G47" s="215"/>
      <c r="H47" s="215"/>
      <c r="I47" s="215"/>
      <c r="J47" s="215"/>
      <c r="K47" s="212"/>
    </row>
    <row r="48" spans="2:11" x14ac:dyDescent="0.25">
      <c r="B48" s="211"/>
      <c r="C48" s="215"/>
      <c r="D48" s="215"/>
      <c r="E48" s="215"/>
      <c r="F48" s="215"/>
      <c r="G48" s="215"/>
      <c r="H48" s="215"/>
      <c r="I48" s="215"/>
      <c r="J48" s="215"/>
      <c r="K48" s="212"/>
    </row>
    <row r="49" spans="2:11" x14ac:dyDescent="0.25">
      <c r="B49" s="211"/>
      <c r="C49" s="215"/>
      <c r="D49" s="215"/>
      <c r="E49" s="215"/>
      <c r="F49" s="215"/>
      <c r="G49" s="215"/>
      <c r="H49" s="215"/>
      <c r="I49" s="215"/>
      <c r="J49" s="215"/>
      <c r="K49" s="212"/>
    </row>
    <row r="50" spans="2:11" x14ac:dyDescent="0.25">
      <c r="B50" s="211"/>
      <c r="C50" s="319" t="s">
        <v>45</v>
      </c>
      <c r="D50" s="320"/>
      <c r="E50" s="320"/>
      <c r="F50" s="320"/>
      <c r="G50" s="320"/>
      <c r="H50" s="320"/>
      <c r="I50" s="320"/>
      <c r="J50" s="321"/>
      <c r="K50" s="212"/>
    </row>
    <row r="51" spans="2:11" x14ac:dyDescent="0.25">
      <c r="B51" s="211"/>
      <c r="C51" s="215"/>
      <c r="D51" s="215"/>
      <c r="E51" s="215"/>
      <c r="F51" s="215"/>
      <c r="G51" s="215"/>
      <c r="H51" s="215"/>
      <c r="I51" s="215"/>
      <c r="J51" s="215"/>
      <c r="K51" s="212"/>
    </row>
    <row r="52" spans="2:11" x14ac:dyDescent="0.25">
      <c r="B52" s="211"/>
      <c r="C52" s="217" t="s">
        <v>46</v>
      </c>
      <c r="D52" s="215"/>
      <c r="F52" s="215"/>
      <c r="G52" s="215"/>
      <c r="I52" s="338" t="s">
        <v>47</v>
      </c>
      <c r="J52" s="340"/>
      <c r="K52" s="212"/>
    </row>
    <row r="53" spans="2:11" x14ac:dyDescent="0.25">
      <c r="B53" s="211"/>
      <c r="C53" s="217" t="s">
        <v>48</v>
      </c>
      <c r="D53" s="215"/>
      <c r="F53" s="215"/>
      <c r="G53" s="215"/>
      <c r="J53" s="207" t="s">
        <v>49</v>
      </c>
      <c r="K53" s="212"/>
    </row>
    <row r="54" spans="2:11" x14ac:dyDescent="0.25">
      <c r="B54" s="211"/>
      <c r="C54" s="217" t="s">
        <v>50</v>
      </c>
      <c r="D54" s="215"/>
      <c r="F54" s="215"/>
      <c r="G54" s="215"/>
      <c r="H54" s="215"/>
      <c r="J54" s="207" t="s">
        <v>49</v>
      </c>
      <c r="K54" s="212"/>
    </row>
    <row r="55" spans="2:11" x14ac:dyDescent="0.25">
      <c r="B55" s="211"/>
      <c r="C55" s="215"/>
      <c r="D55" s="215"/>
      <c r="E55" s="215"/>
      <c r="F55" s="215"/>
      <c r="G55" s="215"/>
      <c r="H55" s="215"/>
      <c r="I55" s="215"/>
      <c r="J55" s="215"/>
      <c r="K55" s="212"/>
    </row>
    <row r="56" spans="2:11" x14ac:dyDescent="0.25">
      <c r="B56" s="211"/>
      <c r="C56" s="215"/>
      <c r="D56" s="215"/>
      <c r="E56" s="215"/>
      <c r="F56" s="215"/>
      <c r="G56" s="215"/>
      <c r="H56" s="215"/>
      <c r="I56" s="215"/>
      <c r="J56" s="215"/>
      <c r="K56" s="212"/>
    </row>
    <row r="57" spans="2:11" x14ac:dyDescent="0.25">
      <c r="B57" s="211"/>
      <c r="C57" s="215"/>
      <c r="D57" s="215"/>
      <c r="E57" s="215"/>
      <c r="F57" s="215"/>
      <c r="G57" s="215"/>
      <c r="H57" s="215"/>
      <c r="I57" s="215"/>
      <c r="J57" s="215"/>
      <c r="K57" s="212"/>
    </row>
    <row r="58" spans="2:11" x14ac:dyDescent="0.25">
      <c r="B58" s="211"/>
      <c r="C58" s="319" t="s">
        <v>51</v>
      </c>
      <c r="D58" s="320"/>
      <c r="E58" s="320"/>
      <c r="F58" s="320"/>
      <c r="G58" s="320"/>
      <c r="H58" s="320"/>
      <c r="I58" s="320"/>
      <c r="J58" s="321"/>
      <c r="K58" s="212"/>
    </row>
    <row r="59" spans="2:11" x14ac:dyDescent="0.25">
      <c r="B59" s="211"/>
      <c r="C59" s="215"/>
      <c r="D59" s="215"/>
      <c r="E59" s="215"/>
      <c r="F59" s="215"/>
      <c r="G59" s="215"/>
      <c r="H59" s="215"/>
      <c r="I59" s="215"/>
      <c r="J59" s="215"/>
      <c r="K59" s="212"/>
    </row>
    <row r="60" spans="2:11" x14ac:dyDescent="0.25">
      <c r="B60" s="211"/>
      <c r="C60" s="217" t="s">
        <v>52</v>
      </c>
      <c r="D60" s="215"/>
      <c r="F60" s="215"/>
      <c r="G60" s="215"/>
      <c r="H60" s="215"/>
      <c r="J60" s="207" t="s">
        <v>49</v>
      </c>
      <c r="K60" s="212"/>
    </row>
    <row r="61" spans="2:11" x14ac:dyDescent="0.25">
      <c r="B61" s="211"/>
      <c r="C61" s="217" t="s">
        <v>53</v>
      </c>
      <c r="D61" s="215"/>
      <c r="F61" s="215"/>
      <c r="G61" s="215"/>
      <c r="H61" s="215"/>
      <c r="J61" s="207" t="s">
        <v>49</v>
      </c>
      <c r="K61" s="212"/>
    </row>
    <row r="62" spans="2:11" x14ac:dyDescent="0.25">
      <c r="B62" s="211"/>
      <c r="C62" s="217" t="s">
        <v>54</v>
      </c>
      <c r="D62" s="215"/>
      <c r="F62" s="215"/>
      <c r="G62" s="215"/>
      <c r="H62" s="215"/>
      <c r="J62" s="207" t="s">
        <v>49</v>
      </c>
      <c r="K62" s="212"/>
    </row>
    <row r="63" spans="2:11" x14ac:dyDescent="0.25">
      <c r="B63" s="211"/>
      <c r="C63" s="217" t="s">
        <v>55</v>
      </c>
      <c r="D63" s="215"/>
      <c r="F63" s="215"/>
      <c r="G63" s="215"/>
      <c r="H63" s="215"/>
      <c r="J63" s="207" t="s">
        <v>49</v>
      </c>
      <c r="K63" s="212"/>
    </row>
    <row r="64" spans="2:11" x14ac:dyDescent="0.25">
      <c r="B64" s="211"/>
      <c r="C64" s="217" t="s">
        <v>56</v>
      </c>
      <c r="D64" s="215"/>
      <c r="F64" s="215"/>
      <c r="G64" s="215"/>
      <c r="H64" s="215"/>
      <c r="J64" s="207" t="s">
        <v>49</v>
      </c>
      <c r="K64" s="212"/>
    </row>
    <row r="65" spans="2:12" x14ac:dyDescent="0.25">
      <c r="B65" s="211"/>
      <c r="C65" s="217" t="s">
        <v>57</v>
      </c>
      <c r="D65" s="215"/>
      <c r="F65" s="215"/>
      <c r="G65" s="215"/>
      <c r="H65" s="215"/>
      <c r="J65" s="207" t="s">
        <v>49</v>
      </c>
      <c r="K65" s="212"/>
    </row>
    <row r="66" spans="2:12" x14ac:dyDescent="0.25">
      <c r="B66" s="211"/>
      <c r="C66" s="215"/>
      <c r="D66" s="215"/>
      <c r="E66" s="215"/>
      <c r="F66" s="215"/>
      <c r="G66" s="215"/>
      <c r="H66" s="215"/>
      <c r="I66" s="215"/>
      <c r="J66" s="215"/>
      <c r="K66" s="212"/>
    </row>
    <row r="67" spans="2:12" x14ac:dyDescent="0.25">
      <c r="B67" s="211"/>
      <c r="C67" s="215"/>
      <c r="D67" s="215"/>
      <c r="E67" s="215"/>
      <c r="F67" s="215"/>
      <c r="G67" s="215"/>
      <c r="H67" s="215"/>
      <c r="I67" s="215"/>
      <c r="J67" s="215"/>
      <c r="K67" s="212"/>
    </row>
    <row r="68" spans="2:12" x14ac:dyDescent="0.25">
      <c r="B68" s="211"/>
      <c r="C68" s="215"/>
      <c r="D68" s="215"/>
      <c r="E68" s="215"/>
      <c r="F68" s="215"/>
      <c r="G68" s="215"/>
      <c r="H68" s="215"/>
      <c r="I68" s="215"/>
      <c r="J68" s="215"/>
      <c r="K68" s="212"/>
    </row>
    <row r="69" spans="2:12" x14ac:dyDescent="0.25">
      <c r="B69" s="211"/>
      <c r="C69" s="319" t="s">
        <v>58</v>
      </c>
      <c r="D69" s="320"/>
      <c r="E69" s="320"/>
      <c r="F69" s="320"/>
      <c r="G69" s="320"/>
      <c r="H69" s="320"/>
      <c r="I69" s="320"/>
      <c r="J69" s="321"/>
      <c r="K69" s="212"/>
    </row>
    <row r="70" spans="2:12" x14ac:dyDescent="0.25">
      <c r="B70" s="211"/>
      <c r="C70" s="215"/>
      <c r="D70" s="215"/>
      <c r="E70" s="215"/>
      <c r="F70" s="215"/>
      <c r="G70" s="215"/>
      <c r="H70" s="215"/>
      <c r="I70" s="215"/>
      <c r="J70" s="215"/>
      <c r="K70" s="212"/>
    </row>
    <row r="71" spans="2:12" x14ac:dyDescent="0.25">
      <c r="B71" s="211"/>
      <c r="C71" s="216" t="s">
        <v>59</v>
      </c>
      <c r="D71" s="215"/>
      <c r="E71" s="215"/>
      <c r="F71" s="215"/>
      <c r="G71" s="215"/>
      <c r="H71" s="215"/>
      <c r="I71" s="341" t="s">
        <v>47</v>
      </c>
      <c r="J71" s="342"/>
      <c r="K71" s="212"/>
    </row>
    <row r="72" spans="2:12" ht="14.45" customHeight="1" x14ac:dyDescent="0.25">
      <c r="B72" s="211"/>
      <c r="C72" s="343" t="s">
        <v>60</v>
      </c>
      <c r="D72" s="343"/>
      <c r="E72" s="343"/>
      <c r="F72" s="343"/>
      <c r="G72" s="343"/>
      <c r="H72" s="343"/>
      <c r="I72" s="216"/>
      <c r="K72" s="212"/>
    </row>
    <row r="73" spans="2:12" x14ac:dyDescent="0.25">
      <c r="B73" s="211"/>
      <c r="C73" s="343"/>
      <c r="D73" s="343"/>
      <c r="E73" s="343"/>
      <c r="F73" s="343"/>
      <c r="G73" s="343"/>
      <c r="H73" s="343"/>
      <c r="I73" s="216"/>
      <c r="J73" s="207">
        <v>0.1</v>
      </c>
      <c r="K73" s="212"/>
    </row>
    <row r="74" spans="2:12" x14ac:dyDescent="0.25">
      <c r="B74" s="211"/>
      <c r="C74" s="215"/>
      <c r="D74" s="215"/>
      <c r="E74" s="215"/>
      <c r="F74" s="215"/>
      <c r="G74" s="215"/>
      <c r="H74" s="215"/>
      <c r="K74" s="212"/>
    </row>
    <row r="75" spans="2:12" x14ac:dyDescent="0.25">
      <c r="B75" s="211"/>
      <c r="C75" s="215"/>
      <c r="D75" s="215"/>
      <c r="E75" s="215"/>
      <c r="F75" s="215"/>
      <c r="G75" s="215"/>
      <c r="H75" s="215"/>
      <c r="I75" s="215"/>
      <c r="J75" s="215"/>
      <c r="K75" s="212"/>
    </row>
    <row r="76" spans="2:12" x14ac:dyDescent="0.25">
      <c r="B76" s="211"/>
      <c r="C76" s="215"/>
      <c r="D76" s="215"/>
      <c r="E76" s="215"/>
      <c r="F76" s="215"/>
      <c r="G76" s="215"/>
      <c r="H76" s="215"/>
      <c r="I76" s="215"/>
      <c r="J76" s="215"/>
      <c r="K76" s="212"/>
    </row>
    <row r="77" spans="2:12" x14ac:dyDescent="0.25">
      <c r="B77" s="211"/>
      <c r="C77" s="319" t="str">
        <f>'CBECS Elec'!B284</f>
        <v>Office equipment
(more than one may apply)</v>
      </c>
      <c r="D77" s="320"/>
      <c r="E77" s="320"/>
      <c r="F77" s="320"/>
      <c r="G77" s="320"/>
      <c r="H77" s="320"/>
      <c r="I77" s="320"/>
      <c r="J77" s="321"/>
      <c r="K77" s="212"/>
    </row>
    <row r="78" spans="2:12" x14ac:dyDescent="0.25">
      <c r="B78" s="211"/>
      <c r="D78" s="215"/>
      <c r="E78" s="215"/>
      <c r="F78" s="215"/>
      <c r="G78" s="215"/>
      <c r="H78" s="215"/>
      <c r="I78" s="215"/>
      <c r="J78" s="215"/>
      <c r="K78" s="212"/>
    </row>
    <row r="79" spans="2:12" x14ac:dyDescent="0.25">
      <c r="B79" s="211"/>
      <c r="C79" s="216" t="str">
        <f>'CBECS Elec'!B285</f>
        <v>Desktop computers</v>
      </c>
      <c r="D79" s="215"/>
      <c r="E79" s="215"/>
      <c r="J79" s="207" t="s">
        <v>49</v>
      </c>
      <c r="K79" s="212"/>
      <c r="L79" s="117"/>
    </row>
    <row r="80" spans="2:12" x14ac:dyDescent="0.25">
      <c r="B80" s="211"/>
      <c r="C80" s="216" t="str">
        <f>'CBECS Elec'!B286</f>
        <v>With multiple monitors</v>
      </c>
      <c r="D80" s="215"/>
      <c r="E80" s="215"/>
      <c r="F80" s="215"/>
      <c r="G80" s="215"/>
      <c r="H80" s="215"/>
      <c r="I80" s="215"/>
      <c r="J80" s="207" t="s">
        <v>49</v>
      </c>
      <c r="K80" s="212"/>
    </row>
    <row r="81" spans="2:11" x14ac:dyDescent="0.25">
      <c r="B81" s="211"/>
      <c r="C81" s="216" t="str">
        <f>'CBECS Elec'!B287</f>
        <v>Laptop computers</v>
      </c>
      <c r="D81" s="215"/>
      <c r="E81" s="215"/>
      <c r="F81" s="215"/>
      <c r="G81" s="215"/>
      <c r="H81" s="215"/>
      <c r="I81" s="215"/>
      <c r="J81" s="207" t="s">
        <v>49</v>
      </c>
      <c r="K81" s="212"/>
    </row>
    <row r="82" spans="2:11" x14ac:dyDescent="0.25">
      <c r="B82" s="211"/>
      <c r="C82" s="216" t="str">
        <f>'CBECS Elec'!B288</f>
        <v>Dedicated servers</v>
      </c>
      <c r="D82" s="215"/>
      <c r="E82" s="215"/>
      <c r="F82" s="215"/>
      <c r="G82" s="215"/>
      <c r="H82" s="215"/>
      <c r="I82" s="215"/>
      <c r="J82" s="207" t="s">
        <v>49</v>
      </c>
      <c r="K82" s="212"/>
    </row>
    <row r="83" spans="2:11" x14ac:dyDescent="0.25">
      <c r="B83" s="211"/>
      <c r="C83" s="216" t="str">
        <f>'CBECS Elec'!B289</f>
        <v>Tablets charged in building</v>
      </c>
      <c r="D83" s="215"/>
      <c r="E83" s="215"/>
      <c r="F83" s="215"/>
      <c r="G83" s="215"/>
      <c r="H83" s="215"/>
      <c r="I83" s="215"/>
      <c r="J83" s="207" t="s">
        <v>49</v>
      </c>
      <c r="K83" s="212"/>
    </row>
    <row r="84" spans="2:11" ht="30" x14ac:dyDescent="0.25">
      <c r="B84" s="211"/>
      <c r="C84" s="216" t="str">
        <f>'CBECS Elec'!B290</f>
        <v>Large floor-standing office devices</v>
      </c>
      <c r="D84" s="215"/>
      <c r="E84" s="215"/>
      <c r="F84" s="215"/>
      <c r="G84" s="215"/>
      <c r="H84" s="215"/>
      <c r="I84" s="215"/>
      <c r="J84" s="207" t="s">
        <v>49</v>
      </c>
      <c r="K84" s="212"/>
    </row>
    <row r="85" spans="2:11" x14ac:dyDescent="0.25">
      <c r="B85" s="211"/>
      <c r="C85" s="216" t="str">
        <f>'CBECS Elec'!B291</f>
        <v>Smaller desktop office devices</v>
      </c>
      <c r="D85" s="215"/>
      <c r="E85" s="215"/>
      <c r="F85" s="215"/>
      <c r="G85" s="215"/>
      <c r="H85" s="215"/>
      <c r="I85" s="215"/>
      <c r="J85" s="207" t="s">
        <v>49</v>
      </c>
      <c r="K85" s="212"/>
    </row>
    <row r="86" spans="2:11" x14ac:dyDescent="0.25">
      <c r="B86" s="211"/>
      <c r="C86" s="216" t="str">
        <f>'CBECS Elec'!B292</f>
        <v>Interactive whiteboards</v>
      </c>
      <c r="D86" s="215"/>
      <c r="E86" s="215"/>
      <c r="F86" s="215"/>
      <c r="G86" s="215"/>
      <c r="H86" s="215"/>
      <c r="I86" s="215"/>
      <c r="J86" s="207" t="s">
        <v>49</v>
      </c>
      <c r="K86" s="212"/>
    </row>
    <row r="87" spans="2:11" x14ac:dyDescent="0.25">
      <c r="B87" s="211"/>
      <c r="C87" s="216" t="str">
        <f>'CBECS Elec'!B293</f>
        <v>Televisions or video displays</v>
      </c>
      <c r="D87" s="215"/>
      <c r="E87" s="215"/>
      <c r="F87" s="215"/>
      <c r="G87" s="215"/>
      <c r="H87" s="215"/>
      <c r="I87" s="215"/>
      <c r="J87" s="207" t="s">
        <v>49</v>
      </c>
      <c r="K87" s="212"/>
    </row>
    <row r="88" spans="2:11" x14ac:dyDescent="0.25">
      <c r="B88" s="211"/>
      <c r="C88" s="217" t="str">
        <f>'CBECS Elec'!B294</f>
        <v>Point-of-sale devices or cash 
registers</v>
      </c>
      <c r="D88" s="215"/>
      <c r="E88" s="215"/>
      <c r="F88" s="215"/>
      <c r="G88" s="215"/>
      <c r="H88" s="215"/>
      <c r="I88" s="215"/>
      <c r="J88" s="207" t="s">
        <v>49</v>
      </c>
      <c r="K88" s="212"/>
    </row>
    <row r="89" spans="2:11" x14ac:dyDescent="0.25">
      <c r="B89" s="211"/>
      <c r="C89" s="217" t="s">
        <v>61</v>
      </c>
      <c r="D89" s="215"/>
      <c r="E89" s="215"/>
      <c r="F89" s="215"/>
      <c r="G89" s="327" t="s">
        <v>62</v>
      </c>
      <c r="H89" s="328"/>
      <c r="I89" s="328"/>
      <c r="J89" s="329"/>
      <c r="K89" s="212"/>
    </row>
    <row r="90" spans="2:11" x14ac:dyDescent="0.25">
      <c r="B90" s="211"/>
      <c r="C90" s="217"/>
      <c r="D90" s="215"/>
      <c r="E90" s="215"/>
      <c r="F90" s="215"/>
      <c r="G90" s="330"/>
      <c r="H90" s="331"/>
      <c r="I90" s="331"/>
      <c r="J90" s="332"/>
      <c r="K90" s="212"/>
    </row>
    <row r="91" spans="2:11" x14ac:dyDescent="0.25">
      <c r="B91" s="211"/>
      <c r="C91" s="334"/>
      <c r="D91" s="334"/>
      <c r="E91" s="334"/>
      <c r="F91" s="334"/>
      <c r="G91" s="334"/>
      <c r="H91" s="334"/>
      <c r="I91" s="334"/>
      <c r="J91" s="334"/>
      <c r="K91" s="212"/>
    </row>
    <row r="92" spans="2:11" ht="15.75" thickBot="1" x14ac:dyDescent="0.3">
      <c r="B92" s="213"/>
      <c r="C92" s="335"/>
      <c r="D92" s="335"/>
      <c r="E92" s="335"/>
      <c r="F92" s="335"/>
      <c r="G92" s="335"/>
      <c r="H92" s="335"/>
      <c r="I92" s="335"/>
      <c r="J92" s="335"/>
      <c r="K92" s="214"/>
    </row>
    <row r="93" spans="2:11" x14ac:dyDescent="0.25">
      <c r="B93" s="117"/>
      <c r="C93" s="117"/>
      <c r="D93" s="117"/>
      <c r="E93" s="117"/>
      <c r="F93" s="117"/>
      <c r="G93" s="117"/>
      <c r="H93" s="117"/>
      <c r="I93" s="117"/>
      <c r="J93" s="117"/>
      <c r="K93" s="117"/>
    </row>
    <row r="94" spans="2:11" x14ac:dyDescent="0.25">
      <c r="B94" s="117"/>
      <c r="C94" s="117"/>
      <c r="D94" s="117"/>
      <c r="E94" s="117"/>
      <c r="F94" s="117"/>
      <c r="G94" s="117"/>
      <c r="H94" s="117"/>
      <c r="I94" s="117"/>
      <c r="J94" s="117"/>
      <c r="K94" s="117"/>
    </row>
    <row r="95" spans="2:11" x14ac:dyDescent="0.25">
      <c r="B95" s="117"/>
      <c r="C95" s="117"/>
      <c r="D95" s="117"/>
      <c r="E95" s="117"/>
      <c r="F95" s="117"/>
      <c r="K95" s="117"/>
    </row>
    <row r="96" spans="2:11" x14ac:dyDescent="0.25">
      <c r="B96" s="117"/>
      <c r="C96" s="117"/>
      <c r="D96" s="117"/>
      <c r="E96" s="117"/>
      <c r="F96" s="117"/>
      <c r="G96" s="117"/>
      <c r="H96" s="117"/>
      <c r="I96" s="117"/>
      <c r="J96" s="117"/>
      <c r="K96" s="117"/>
    </row>
    <row r="97" spans="2:11" x14ac:dyDescent="0.25">
      <c r="B97" s="117"/>
      <c r="C97" s="117"/>
      <c r="D97" s="117"/>
      <c r="E97" s="117"/>
      <c r="F97" s="117"/>
      <c r="G97" s="117"/>
      <c r="H97" s="117"/>
      <c r="I97" s="117"/>
      <c r="J97" s="117"/>
      <c r="K97" s="117"/>
    </row>
    <row r="98" spans="2:11" x14ac:dyDescent="0.25">
      <c r="B98" s="117"/>
      <c r="C98" s="117"/>
      <c r="D98" s="117"/>
      <c r="E98" s="117"/>
      <c r="F98" s="117"/>
      <c r="G98" s="117"/>
      <c r="H98" s="117"/>
      <c r="I98" s="117"/>
      <c r="J98" s="117"/>
      <c r="K98" s="117"/>
    </row>
    <row r="99" spans="2:11" x14ac:dyDescent="0.25">
      <c r="B99" s="117"/>
      <c r="C99" s="117"/>
      <c r="D99" s="117"/>
      <c r="E99" s="117"/>
      <c r="F99" s="117"/>
      <c r="G99" s="117"/>
      <c r="H99" s="117"/>
      <c r="I99" s="117"/>
      <c r="J99" s="117"/>
      <c r="K99" s="117"/>
    </row>
    <row r="100" spans="2:11" x14ac:dyDescent="0.25">
      <c r="B100" s="117"/>
      <c r="C100" s="117"/>
      <c r="D100" s="117"/>
      <c r="E100" s="117"/>
      <c r="F100" s="117"/>
      <c r="G100" s="117"/>
      <c r="H100" s="117"/>
      <c r="I100" s="117"/>
      <c r="J100" s="117"/>
      <c r="K100" s="117"/>
    </row>
    <row r="101" spans="2:11" x14ac:dyDescent="0.25">
      <c r="B101" s="117"/>
      <c r="C101" s="117"/>
      <c r="D101" s="117"/>
      <c r="E101" s="117"/>
      <c r="F101" s="117"/>
      <c r="G101" s="117"/>
      <c r="H101" s="117"/>
      <c r="I101" s="117"/>
      <c r="J101" s="117"/>
      <c r="K101" s="117"/>
    </row>
    <row r="102" spans="2:11" x14ac:dyDescent="0.25">
      <c r="B102" s="117"/>
      <c r="C102" s="117"/>
      <c r="D102" s="117"/>
      <c r="E102" s="117"/>
      <c r="F102" s="117"/>
      <c r="G102" s="117"/>
      <c r="H102" s="117"/>
      <c r="I102" s="117"/>
      <c r="J102" s="117"/>
      <c r="K102" s="117"/>
    </row>
    <row r="103" spans="2:11" x14ac:dyDescent="0.25">
      <c r="B103" s="117"/>
      <c r="C103" s="117"/>
      <c r="D103" s="117"/>
      <c r="E103" s="117"/>
      <c r="F103" s="117"/>
      <c r="G103" s="117"/>
      <c r="H103" s="117"/>
      <c r="I103" s="117"/>
      <c r="J103" s="117"/>
      <c r="K103" s="117"/>
    </row>
    <row r="104" spans="2:11" x14ac:dyDescent="0.25">
      <c r="B104" s="117"/>
      <c r="C104" s="117"/>
      <c r="D104" s="117"/>
      <c r="E104" s="117"/>
      <c r="F104" s="117"/>
      <c r="G104" s="117"/>
      <c r="H104" s="117"/>
      <c r="I104" s="117"/>
      <c r="J104" s="117"/>
      <c r="K104" s="117"/>
    </row>
    <row r="105" spans="2:11" x14ac:dyDescent="0.25">
      <c r="B105" s="117"/>
      <c r="C105" s="117"/>
      <c r="D105" s="117"/>
      <c r="E105" s="117"/>
      <c r="F105" s="117"/>
      <c r="G105" s="117"/>
      <c r="H105" s="117"/>
      <c r="I105" s="117"/>
      <c r="J105" s="117"/>
      <c r="K105" s="117"/>
    </row>
    <row r="106" spans="2:11" x14ac:dyDescent="0.25">
      <c r="B106" s="117"/>
      <c r="C106" s="117"/>
      <c r="D106" s="117"/>
      <c r="E106" s="117"/>
      <c r="F106" s="117"/>
      <c r="G106" s="117"/>
      <c r="H106" s="117"/>
      <c r="I106" s="117"/>
      <c r="J106" s="117"/>
      <c r="K106" s="117"/>
    </row>
    <row r="107" spans="2:11" x14ac:dyDescent="0.25">
      <c r="B107" s="117"/>
      <c r="C107" s="117"/>
      <c r="D107" s="117"/>
      <c r="E107" s="117"/>
      <c r="F107" s="117"/>
      <c r="G107" s="117"/>
      <c r="H107" s="117"/>
      <c r="I107" s="117"/>
      <c r="J107" s="117"/>
      <c r="K107" s="117"/>
    </row>
    <row r="108" spans="2:11" x14ac:dyDescent="0.25">
      <c r="B108" s="117"/>
      <c r="C108" s="117"/>
      <c r="D108" s="117"/>
      <c r="E108" s="117"/>
      <c r="F108" s="117"/>
      <c r="G108" s="117"/>
      <c r="H108" s="117"/>
      <c r="I108" s="117"/>
      <c r="J108" s="117"/>
      <c r="K108" s="117"/>
    </row>
    <row r="109" spans="2:11" x14ac:dyDescent="0.25">
      <c r="B109" s="117"/>
      <c r="C109" s="117"/>
      <c r="D109" s="117"/>
      <c r="E109" s="117"/>
      <c r="F109" s="117"/>
      <c r="G109" s="117"/>
      <c r="H109" s="117"/>
      <c r="I109" s="117"/>
      <c r="J109" s="117"/>
      <c r="K109" s="117"/>
    </row>
    <row r="110" spans="2:11" x14ac:dyDescent="0.25">
      <c r="B110" s="117"/>
      <c r="C110" s="117"/>
      <c r="D110" s="117"/>
      <c r="E110" s="117"/>
      <c r="F110" s="117"/>
      <c r="G110" s="117"/>
      <c r="H110" s="117"/>
      <c r="I110" s="117"/>
      <c r="J110" s="117"/>
      <c r="K110" s="117"/>
    </row>
    <row r="111" spans="2:11" x14ac:dyDescent="0.25">
      <c r="B111" s="117"/>
      <c r="C111" s="117"/>
      <c r="D111" s="117"/>
      <c r="E111" s="117"/>
      <c r="F111" s="117"/>
      <c r="G111" s="117"/>
      <c r="H111" s="117"/>
      <c r="I111" s="117"/>
      <c r="J111" s="117"/>
      <c r="K111" s="117"/>
    </row>
    <row r="112" spans="2:11" x14ac:dyDescent="0.25">
      <c r="B112" s="117"/>
      <c r="C112" s="117"/>
      <c r="D112" s="117"/>
      <c r="E112" s="117"/>
      <c r="F112" s="117"/>
      <c r="G112" s="117"/>
      <c r="H112" s="117"/>
      <c r="I112" s="117"/>
      <c r="J112" s="117"/>
      <c r="K112" s="117"/>
    </row>
    <row r="113" spans="2:11" x14ac:dyDescent="0.25">
      <c r="B113" s="117"/>
      <c r="C113" s="117"/>
      <c r="D113" s="117"/>
      <c r="E113" s="117"/>
      <c r="F113" s="117"/>
      <c r="G113" s="117"/>
      <c r="H113" s="117"/>
      <c r="I113" s="117"/>
      <c r="J113" s="117"/>
      <c r="K113" s="117"/>
    </row>
    <row r="114" spans="2:11" x14ac:dyDescent="0.25">
      <c r="B114" s="117"/>
      <c r="C114" s="117"/>
      <c r="D114" s="117"/>
      <c r="E114" s="117"/>
      <c r="F114" s="117"/>
      <c r="G114" s="117"/>
      <c r="H114" s="117"/>
      <c r="I114" s="117"/>
      <c r="J114" s="117"/>
      <c r="K114" s="117"/>
    </row>
    <row r="115" spans="2:11" x14ac:dyDescent="0.25">
      <c r="B115" s="117"/>
      <c r="C115" s="117"/>
      <c r="D115" s="117"/>
      <c r="E115" s="117"/>
      <c r="F115" s="117"/>
      <c r="G115" s="117"/>
      <c r="H115" s="117"/>
      <c r="I115" s="117"/>
      <c r="J115" s="117"/>
      <c r="K115" s="117"/>
    </row>
  </sheetData>
  <mergeCells count="38">
    <mergeCell ref="C91:J92"/>
    <mergeCell ref="C27:C28"/>
    <mergeCell ref="D28:E28"/>
    <mergeCell ref="D23:G23"/>
    <mergeCell ref="D24:G24"/>
    <mergeCell ref="C69:J69"/>
    <mergeCell ref="C77:J77"/>
    <mergeCell ref="E35:J35"/>
    <mergeCell ref="G89:J90"/>
    <mergeCell ref="I52:J52"/>
    <mergeCell ref="D26:E26"/>
    <mergeCell ref="I71:J71"/>
    <mergeCell ref="C72:H73"/>
    <mergeCell ref="D21:G21"/>
    <mergeCell ref="C32:J32"/>
    <mergeCell ref="C39:J39"/>
    <mergeCell ref="C50:J50"/>
    <mergeCell ref="C58:J58"/>
    <mergeCell ref="H44:J45"/>
    <mergeCell ref="H41:J42"/>
    <mergeCell ref="D25:E25"/>
    <mergeCell ref="D20:J20"/>
    <mergeCell ref="B8:K8"/>
    <mergeCell ref="C10:J10"/>
    <mergeCell ref="D12:J12"/>
    <mergeCell ref="D13:J13"/>
    <mergeCell ref="D15:J15"/>
    <mergeCell ref="D16:F16"/>
    <mergeCell ref="D17:E17"/>
    <mergeCell ref="F17:G17"/>
    <mergeCell ref="H17:J17"/>
    <mergeCell ref="D18:J18"/>
    <mergeCell ref="D19:J19"/>
    <mergeCell ref="C5:C6"/>
    <mergeCell ref="D5:F5"/>
    <mergeCell ref="H5:J5"/>
    <mergeCell ref="D6:F6"/>
    <mergeCell ref="H6:J6"/>
  </mergeCells>
  <dataValidations count="16">
    <dataValidation type="whole" allowBlank="1" showInputMessage="1" showErrorMessage="1" errorTitle="Floorspace out of range" error="Please enter an integer between 20,000 and 10,000,000  - units are square feet." promptTitle="Floorspace" prompt="Please enter an integer between 20,000 and 10,000,000  - units are square feet." sqref="D24" xr:uid="{F0F0BB02-9C88-4DE7-940D-052AE94B079E}">
      <formula1>20000</formula1>
      <formula2>10000000</formula2>
    </dataValidation>
    <dataValidation type="list" allowBlank="1" showInputMessage="1" showErrorMessage="1" sqref="D17" xr:uid="{DD63E846-CEAF-47A5-88C6-5F2752A6AC64}">
      <formula1>Lookups_Utility_Co</formula1>
    </dataValidation>
    <dataValidation type="whole" allowBlank="1" showInputMessage="1" showErrorMessage="1" error="The annual gas usage is expected to be between 0 and 10 therms/sqft.  If your facility is outide of this range please contact the program administrator." sqref="D26" xr:uid="{1C7F445B-6F70-4AF3-BCA5-A185E6D917B9}">
      <formula1>0</formula1>
      <formula2>10*E106</formula2>
    </dataValidation>
    <dataValidation type="whole" allowBlank="1" showInputMessage="1" showErrorMessage="1" errorTitle="Electric usage out of range" error="The annual electric usage is expected to be between 1 and 200 kWh/sqft.  If your facility is outide of this range please contact the program administrator." sqref="D25" xr:uid="{1CAA8D1B-569B-4008-9CF0-83985B36A3BE}">
      <formula1>0</formula1>
      <formula2>E106*200</formula2>
    </dataValidation>
    <dataValidation type="list" allowBlank="1" showInputMessage="1" showErrorMessage="1" sqref="D28" xr:uid="{4430850A-EBEB-4E99-B4AE-91DEB4E6BAB0}">
      <formula1>"BOC Level I, BOC Level II"</formula1>
    </dataValidation>
    <dataValidation type="list" allowBlank="1" showInputMessage="1" showErrorMessage="1" promptTitle="Drop-down menu" prompt="Please select a valid PA ZIP code for your facility from this drop-down menu." sqref="J16" xr:uid="{B21280CC-C430-4327-B8DC-DC7CFF2C386E}">
      <formula1>Lookups_Zip</formula1>
    </dataValidation>
    <dataValidation type="list" allowBlank="1" showInputMessage="1" showErrorMessage="1" promptTitle="Drop-down menu" prompt="Please select the building type that best describes business activities at your facility." sqref="D23:G23" xr:uid="{97BB2E5C-9236-4CE0-8121-D1AE1818ECE1}">
      <formula1>Lookups_Building_List_Workbook</formula1>
    </dataValidation>
    <dataValidation type="list" showInputMessage="1" showErrorMessage="1" sqref="J73" xr:uid="{C683A961-5466-40C5-9F0B-EA7E3E08F694}">
      <formula1>Lookups_Percentages_Unknown</formula1>
    </dataValidation>
    <dataValidation type="list" allowBlank="1" showInputMessage="1" showErrorMessage="1" sqref="J53:J54 J60:J65 J79:J88" xr:uid="{9E733684-DCE6-4016-92F2-69C39D9095D2}">
      <formula1>"Yes, No"</formula1>
    </dataValidation>
    <dataValidation type="list" allowBlank="1" showInputMessage="1" showErrorMessage="1" sqref="J34 J43 J46" xr:uid="{D31621D1-1924-4EBA-94B3-302E3BEA269B}">
      <formula1>Lookups_Percentages</formula1>
    </dataValidation>
    <dataValidation type="list" allowBlank="1" showInputMessage="1" showErrorMessage="1" sqref="H41" xr:uid="{409DD8B5-D408-45C9-8184-D5F714AE1257}">
      <formula1>Lookups_Heating_Type_Gas</formula1>
    </dataValidation>
    <dataValidation type="list" allowBlank="1" showInputMessage="1" showErrorMessage="1" sqref="E35" xr:uid="{2528C564-92CD-4474-B55E-9935A2BAAA4C}">
      <formula1>Lookups_Cooling_Equipment</formula1>
    </dataValidation>
    <dataValidation type="list" allowBlank="1" showInputMessage="1" showErrorMessage="1" sqref="H44" xr:uid="{BDDAD803-221C-469F-A9FC-6FE076F4B67E}">
      <formula1>Lookups_Heating_Types_Elec</formula1>
    </dataValidation>
    <dataValidation type="list" allowBlank="1" showInputMessage="1" showErrorMessage="1" sqref="G89" xr:uid="{FD4B4414-86B0-46EF-AFE1-EF3070C30874}">
      <formula1>Lookups_Servers</formula1>
    </dataValidation>
    <dataValidation type="list" allowBlank="1" showInputMessage="1" showErrorMessage="1" sqref="I52:J52" xr:uid="{F71935D0-94DC-4F0B-A75C-097FBF8B0CB1}">
      <formula1>"Electric, Natural Gas, Heat Recovery"</formula1>
    </dataValidation>
    <dataValidation type="list" allowBlank="1" showInputMessage="1" showErrorMessage="1" sqref="I71" xr:uid="{81AE1BB5-7091-40F6-98FB-A00089E5653E}">
      <formula1>"Electricity,Natural Gas"</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7B368-4775-44C0-A722-8067F75C6BEE}">
  <sheetPr codeName="Sheet3"/>
  <dimension ref="A2:BD69"/>
  <sheetViews>
    <sheetView topLeftCell="A19" workbookViewId="0"/>
  </sheetViews>
  <sheetFormatPr defaultColWidth="8.85546875" defaultRowHeight="15" x14ac:dyDescent="0.25"/>
  <cols>
    <col min="1" max="1" width="2.7109375" style="42" customWidth="1"/>
    <col min="2" max="2" width="22.7109375" style="42" bestFit="1" customWidth="1"/>
    <col min="3" max="3" width="10.7109375" style="42" customWidth="1"/>
    <col min="4" max="4" width="10.85546875" style="42" customWidth="1"/>
    <col min="5" max="5" width="12.140625" style="42" customWidth="1"/>
    <col min="6" max="6" width="10" style="42" customWidth="1"/>
    <col min="7" max="7" width="10.42578125" style="42" customWidth="1"/>
    <col min="8" max="9" width="10.28515625" style="42" customWidth="1"/>
    <col min="10" max="10" width="11.140625" style="42" customWidth="1"/>
    <col min="11" max="12" width="11.28515625" style="42" customWidth="1"/>
    <col min="13" max="13" width="9.5703125" style="42" customWidth="1"/>
    <col min="14" max="14" width="8.85546875" style="42" customWidth="1"/>
    <col min="15" max="16" width="8.85546875" style="42"/>
    <col min="17" max="18" width="8.85546875" style="42" customWidth="1"/>
    <col min="19" max="16384" width="8.85546875" style="42"/>
  </cols>
  <sheetData>
    <row r="2" spans="1:56" s="21" customFormat="1" ht="22.5" x14ac:dyDescent="0.35">
      <c r="A2" s="17"/>
      <c r="B2" s="18" t="str">
        <f>Lookups!B2</f>
        <v>Ph V TRM Appendix F: Building Operator Certification Audit and Design Tool</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20"/>
      <c r="AM2" s="20"/>
      <c r="AN2" s="20"/>
    </row>
    <row r="3" spans="1:56" s="25" customFormat="1" ht="17.25" x14ac:dyDescent="0.25">
      <c r="A3" s="22"/>
      <c r="B3" s="23" t="s">
        <v>63</v>
      </c>
      <c r="C3" s="24"/>
      <c r="D3" s="24"/>
      <c r="E3" s="24"/>
      <c r="F3" s="24"/>
      <c r="G3" s="24"/>
      <c r="H3" s="24"/>
      <c r="I3" s="24"/>
      <c r="J3" s="24"/>
      <c r="K3" s="22"/>
      <c r="L3" s="22"/>
      <c r="AR3" s="24"/>
      <c r="AS3" s="24"/>
      <c r="AT3" s="24"/>
      <c r="AU3" s="24"/>
      <c r="AV3" s="24"/>
      <c r="AW3" s="24"/>
      <c r="AX3" s="24"/>
      <c r="AY3" s="24"/>
      <c r="AZ3" s="24"/>
      <c r="BA3" s="24"/>
      <c r="BB3" s="24"/>
      <c r="BC3" s="24"/>
      <c r="BD3" s="24"/>
    </row>
    <row r="7" spans="1:56" ht="75" x14ac:dyDescent="0.25">
      <c r="B7" s="39" t="s">
        <v>64</v>
      </c>
      <c r="C7" s="379" t="s">
        <v>65</v>
      </c>
      <c r="D7" s="380"/>
      <c r="E7" s="39" t="s">
        <v>66</v>
      </c>
      <c r="F7" s="39" t="s">
        <v>67</v>
      </c>
      <c r="G7" s="39" t="s">
        <v>68</v>
      </c>
      <c r="H7" s="39" t="s">
        <v>69</v>
      </c>
    </row>
    <row r="8" spans="1:56" x14ac:dyDescent="0.25">
      <c r="B8" s="187" t="str">
        <f>'2 .Facility Charaterization'!D17</f>
        <v>Met-Ed</v>
      </c>
      <c r="C8" s="377" t="str">
        <f>'2 .Facility Charaterization'!D28</f>
        <v>BOC Level I</v>
      </c>
      <c r="D8" s="378"/>
      <c r="E8" s="276">
        <f ca="1">I63</f>
        <v>4985.9579167880383</v>
      </c>
      <c r="F8" s="278">
        <f ca="1">I64</f>
        <v>0.35049331272799439</v>
      </c>
      <c r="G8" s="278">
        <f ca="1">I65</f>
        <v>1.290764395407737</v>
      </c>
      <c r="H8" s="277">
        <f ca="1">I66</f>
        <v>20.250606663285165</v>
      </c>
    </row>
    <row r="12" spans="1:56" x14ac:dyDescent="0.25">
      <c r="B12" s="388" t="s">
        <v>70</v>
      </c>
      <c r="C12" s="389"/>
      <c r="D12" s="389"/>
      <c r="E12" s="389"/>
      <c r="F12" s="389"/>
      <c r="G12" s="389"/>
      <c r="H12" s="389"/>
      <c r="I12" s="389"/>
      <c r="J12" s="389"/>
      <c r="K12" s="389"/>
      <c r="L12" s="389"/>
      <c r="M12" s="390"/>
    </row>
    <row r="13" spans="1:56" x14ac:dyDescent="0.25">
      <c r="B13" s="391"/>
      <c r="C13" s="392"/>
      <c r="D13" s="392"/>
      <c r="E13" s="392"/>
      <c r="F13" s="392"/>
      <c r="G13" s="392"/>
      <c r="H13" s="392"/>
      <c r="I13" s="392"/>
      <c r="J13" s="392"/>
      <c r="K13" s="392"/>
      <c r="L13" s="392"/>
      <c r="M13" s="393"/>
    </row>
    <row r="15" spans="1:56" ht="75" x14ac:dyDescent="0.25">
      <c r="B15" s="39" t="s">
        <v>71</v>
      </c>
      <c r="C15" s="39" t="s">
        <v>72</v>
      </c>
      <c r="D15" s="39" t="s">
        <v>73</v>
      </c>
      <c r="E15" s="39" t="s">
        <v>74</v>
      </c>
      <c r="F15" s="39" t="s">
        <v>75</v>
      </c>
      <c r="G15" s="39" t="s">
        <v>76</v>
      </c>
      <c r="H15" s="39" t="s">
        <v>77</v>
      </c>
      <c r="I15" s="39" t="s">
        <v>78</v>
      </c>
      <c r="J15" s="39" t="s">
        <v>66</v>
      </c>
      <c r="K15" s="39" t="s">
        <v>79</v>
      </c>
      <c r="L15" s="39" t="s">
        <v>80</v>
      </c>
      <c r="M15" s="39" t="s">
        <v>69</v>
      </c>
    </row>
    <row r="16" spans="1:56" x14ac:dyDescent="0.25">
      <c r="B16" s="37" t="s">
        <v>81</v>
      </c>
      <c r="C16" s="193">
        <f ca="1">INDEX('3b. Analysis'!$C$175:$L$175,MATCH(B16,'3b. Analysis'!$C$174:$L$174,0))</f>
        <v>0.39792165221690373</v>
      </c>
      <c r="D16" s="195">
        <f t="shared" ref="D16:D25" ca="1" si="0">C16*FacilityChar_Building_Area</f>
        <v>7958.433044338075</v>
      </c>
      <c r="E16" s="194">
        <f ca="1">INDEX('3b. Analysis'!$C$176:$L$176,MATCH(B16,'3b. Analysis'!$C$174:$L$174,0))</f>
        <v>35.639852780806976</v>
      </c>
      <c r="F16" s="195">
        <f t="shared" ref="F16:F25" ca="1" si="1">E16*FacilityChar_Building_Area/100</f>
        <v>7127.9705561613955</v>
      </c>
      <c r="G16" s="202">
        <f ca="1">VLOOKUP(B16,'3a. Relative Savings'!$V$13:$AC$23,8,0)</f>
        <v>8.2724658563749272E-3</v>
      </c>
      <c r="H16" s="179">
        <f ca="1">INDEX(ETDF_Index_Winter,MATCH(FacilityChar_Building_Type_Workbook,ETDF_Building_List,0),MATCH($B16,ETDF_End_Use_Winter,0))</f>
        <v>3.1809999999999998E-4</v>
      </c>
      <c r="I16" s="179">
        <f ca="1">INDEX(ETDF_Index_Summer,MATCH(FacilityChar_Building_Type_Workbook,ETDF_Building_List,0),MATCH($B16,ETDF_End_Use_Summer,0))</f>
        <v>1.1999999999999999E-6</v>
      </c>
      <c r="J16" s="196">
        <f t="shared" ref="J16:J25" ca="1" si="2">G16*D16</f>
        <v>65.835865629532691</v>
      </c>
      <c r="K16" s="197">
        <f t="shared" ref="K16:K25" ca="1" si="3">J16*H16</f>
        <v>2.0942388856754347E-2</v>
      </c>
      <c r="L16" s="197">
        <f ca="1">J16*I16</f>
        <v>7.9003038755439222E-5</v>
      </c>
      <c r="M16" s="196">
        <f t="shared" ref="M16:M25" ca="1" si="4">F16*G16</f>
        <v>58.965893051090944</v>
      </c>
    </row>
    <row r="17" spans="2:13" x14ac:dyDescent="0.25">
      <c r="B17" s="37" t="s">
        <v>82</v>
      </c>
      <c r="C17" s="193">
        <f ca="1">INDEX('3b. Analysis'!$C$175:$L$175,MATCH(B17,'3b. Analysis'!$C$174:$L$174,0))</f>
        <v>5.0719500000000002</v>
      </c>
      <c r="D17" s="195">
        <f t="shared" ca="1" si="0"/>
        <v>101439</v>
      </c>
      <c r="E17" s="194">
        <f>INDEX('3b. Analysis'!$C$176:$L$176,MATCH(B17,'3b. Analysis'!$C$174:$L$174,0))</f>
        <v>0</v>
      </c>
      <c r="F17" s="195">
        <f t="shared" si="1"/>
        <v>0</v>
      </c>
      <c r="G17" s="202">
        <f ca="1">VLOOKUP(B17,'3a. Relative Savings'!$V$13:$AC$23,8,0)</f>
        <v>4.9408989544050305E-2</v>
      </c>
      <c r="H17" s="179">
        <f ca="1">INDEX(ETDF_Index_Winter,MATCH(FacilityChar_Building_Type_Workbook,ETDF_Building_List,0),MATCH($B17,ETDF_End_Use_Winter,0))</f>
        <v>2.3600000000000004E-5</v>
      </c>
      <c r="I17" s="179">
        <f ca="1">INDEX(ETDF_Index_Summer,MATCH(FacilityChar_Building_Type_Workbook,ETDF_Building_List,0),MATCH($B17,ETDF_End_Use_Summer,0))</f>
        <v>5.2053333333333337E-4</v>
      </c>
      <c r="J17" s="196">
        <f t="shared" ca="1" si="2"/>
        <v>5011.9984903589193</v>
      </c>
      <c r="K17" s="197">
        <f t="shared" ca="1" si="3"/>
        <v>0.11828316437247052</v>
      </c>
      <c r="L17" s="197">
        <f t="shared" ref="L17:L25" ca="1" si="5">J17*I17</f>
        <v>2.6089122808481631</v>
      </c>
      <c r="M17" s="196">
        <f t="shared" ca="1" si="4"/>
        <v>0</v>
      </c>
    </row>
    <row r="18" spans="2:13" x14ac:dyDescent="0.25">
      <c r="B18" s="37" t="s">
        <v>83</v>
      </c>
      <c r="C18" s="193">
        <f ca="1">INDEX('3b. Analysis'!$C$175:$L$175,MATCH(B18,'3b. Analysis'!$C$174:$L$174,0))</f>
        <v>4.3826086956521735</v>
      </c>
      <c r="D18" s="195">
        <f t="shared" ca="1" si="0"/>
        <v>87652.173913043473</v>
      </c>
      <c r="E18" s="194">
        <f>INDEX('3b. Analysis'!$C$176:$L$176,MATCH(B18,'3b. Analysis'!$C$174:$L$174,0))</f>
        <v>0</v>
      </c>
      <c r="F18" s="195">
        <f t="shared" si="1"/>
        <v>0</v>
      </c>
      <c r="G18" s="202">
        <f ca="1">VLOOKUP(B18,'3a. Relative Savings'!$V$13:$AC$23,8,0)</f>
        <v>2.9708849981682519E-2</v>
      </c>
      <c r="H18" s="179">
        <f ca="1">INDEX(ETDF_Index_Winter,MATCH(FacilityChar_Building_Type_Workbook,ETDF_Building_List,0),MATCH($B18,ETDF_End_Use_Winter,0))</f>
        <v>1.4242499999999998E-4</v>
      </c>
      <c r="I18" s="179">
        <f ca="1">INDEX(ETDF_Index_Summer,MATCH(FacilityChar_Building_Type_Workbook,ETDF_Building_List,0),MATCH($B18,ETDF_End_Use_Summer,0))</f>
        <v>1.6976250000000001E-4</v>
      </c>
      <c r="J18" s="196">
        <f t="shared" ca="1" si="2"/>
        <v>2604.0452853509546</v>
      </c>
      <c r="K18" s="197">
        <f t="shared" ca="1" si="3"/>
        <v>0.37088114976610964</v>
      </c>
      <c r="L18" s="197">
        <f t="shared" ca="1" si="5"/>
        <v>0.44206923775439144</v>
      </c>
      <c r="M18" s="196">
        <f t="shared" ca="1" si="4"/>
        <v>0</v>
      </c>
    </row>
    <row r="19" spans="2:13" x14ac:dyDescent="0.25">
      <c r="B19" s="37" t="s">
        <v>84</v>
      </c>
      <c r="C19" s="193">
        <f>INDEX('3b. Analysis'!$C$175:$L$175,MATCH(B19,'3b. Analysis'!$C$174:$L$174,0))</f>
        <v>0</v>
      </c>
      <c r="D19" s="195">
        <f t="shared" si="0"/>
        <v>0</v>
      </c>
      <c r="E19" s="194">
        <f ca="1">INDEX('3b. Analysis'!$C$176:$L$176,MATCH(B19,'3b. Analysis'!$C$174:$L$174,0))</f>
        <v>9.8704999999999998</v>
      </c>
      <c r="F19" s="195">
        <f t="shared" ca="1" si="1"/>
        <v>1974.1</v>
      </c>
      <c r="G19" s="202">
        <f ca="1">VLOOKUP(B19,'3a. Relative Savings'!$V$13:$AC$23,8,0)</f>
        <v>8.1241467021314108E-3</v>
      </c>
      <c r="H19" s="179">
        <f ca="1">INDEX(ETDF_Index_Winter,MATCH(FacilityChar_Building_Type_Workbook,ETDF_Building_List,0),MATCH($B19,ETDF_End_Use_Winter,0))</f>
        <v>2.0914285714285712E-4</v>
      </c>
      <c r="I19" s="179">
        <f ca="1">INDEX(ETDF_Index_Summer,MATCH(FacilityChar_Building_Type_Workbook,ETDF_Building_List,0),MATCH($B19,ETDF_End_Use_Summer,0))</f>
        <v>2.388E-4</v>
      </c>
      <c r="J19" s="196">
        <f t="shared" ca="1" si="2"/>
        <v>0</v>
      </c>
      <c r="K19" s="197">
        <f t="shared" ca="1" si="3"/>
        <v>0</v>
      </c>
      <c r="L19" s="197">
        <f t="shared" ca="1" si="5"/>
        <v>0</v>
      </c>
      <c r="M19" s="196">
        <f t="shared" ca="1" si="4"/>
        <v>16.037878004677616</v>
      </c>
    </row>
    <row r="20" spans="2:13" x14ac:dyDescent="0.25">
      <c r="B20" s="37" t="s">
        <v>85</v>
      </c>
      <c r="C20" s="193">
        <f ca="1">INDEX('3b. Analysis'!$C$175:$L$175,MATCH(B20,'3b. Analysis'!$C$174:$L$174,0))</f>
        <v>4.9800000000000004</v>
      </c>
      <c r="D20" s="195">
        <f t="shared" ca="1" si="0"/>
        <v>99600.000000000015</v>
      </c>
      <c r="E20" s="194">
        <f>INDEX('3b. Analysis'!$C$176:$L$176,MATCH(B20,'3b. Analysis'!$C$174:$L$174,0))</f>
        <v>0</v>
      </c>
      <c r="F20" s="195">
        <f t="shared" si="1"/>
        <v>0</v>
      </c>
      <c r="G20" s="202">
        <f ca="1">VLOOKUP(B20,'3a. Relative Savings'!$V$13:$AC$23,8,0)</f>
        <v>2.9103562202355895E-2</v>
      </c>
      <c r="H20" s="179">
        <f ca="1">INDEX(ETDF_Index_Winter,MATCH(FacilityChar_Building_Type_Workbook,ETDF_Building_List,0),MATCH($B20,ETDF_End_Use_Winter,0))</f>
        <v>1.4547945205479451E-4</v>
      </c>
      <c r="I20" s="179">
        <f ca="1">INDEX(ETDF_Index_Summer,MATCH(FacilityChar_Building_Type_Workbook,ETDF_Building_List,0),MATCH($B20,ETDF_End_Use_Summer,0))</f>
        <v>1.6786849315068492E-4</v>
      </c>
      <c r="J20" s="196">
        <f t="shared" ca="1" si="2"/>
        <v>2898.7147953546478</v>
      </c>
      <c r="K20" s="197">
        <f t="shared" ca="1" si="3"/>
        <v>0.42170344009131999</v>
      </c>
      <c r="L20" s="197">
        <f t="shared" ca="1" si="5"/>
        <v>0.48660288476978075</v>
      </c>
      <c r="M20" s="196">
        <f t="shared" ca="1" si="4"/>
        <v>0</v>
      </c>
    </row>
    <row r="21" spans="2:13" x14ac:dyDescent="0.25">
      <c r="B21" s="37" t="s">
        <v>86</v>
      </c>
      <c r="C21" s="193">
        <f ca="1">INDEX('3b. Analysis'!$C$175:$L$175,MATCH(B21,'3b. Analysis'!$C$174:$L$174,0))</f>
        <v>0</v>
      </c>
      <c r="D21" s="195">
        <f t="shared" ca="1" si="0"/>
        <v>0</v>
      </c>
      <c r="E21" s="194">
        <f ca="1">INDEX('3b. Analysis'!$C$176:$L$176,MATCH(B21,'3b. Analysis'!$C$174:$L$174,0))</f>
        <v>17.039599999999997</v>
      </c>
      <c r="F21" s="195">
        <f t="shared" ca="1" si="1"/>
        <v>3407.9199999999996</v>
      </c>
      <c r="G21" s="202">
        <f ca="1">VLOOKUP(B21,'3a. Relative Savings'!$V$13:$AC$23,8,0)</f>
        <v>1.5278312725133579E-2</v>
      </c>
      <c r="H21" s="179">
        <f ca="1">INDEX(ETDF_Index_Winter,MATCH(FacilityChar_Building_Type_Workbook,ETDF_Building_List,0),MATCH($B21,ETDF_End_Use_Winter,0))</f>
        <v>2.0048039215686279E-5</v>
      </c>
      <c r="I21" s="179">
        <f ca="1">INDEX(ETDF_Index_Summer,MATCH(FacilityChar_Building_Type_Workbook,ETDF_Building_List,0),MATCH($B21,ETDF_End_Use_Summer,0))</f>
        <v>2.1026715686274507E-5</v>
      </c>
      <c r="J21" s="196">
        <f t="shared" ca="1" si="2"/>
        <v>0</v>
      </c>
      <c r="K21" s="197">
        <f t="shared" ca="1" si="3"/>
        <v>0</v>
      </c>
      <c r="L21" s="197">
        <f t="shared" ca="1" si="5"/>
        <v>0</v>
      </c>
      <c r="M21" s="196">
        <f t="shared" ca="1" si="4"/>
        <v>52.067267502237222</v>
      </c>
    </row>
    <row r="22" spans="2:13" x14ac:dyDescent="0.25">
      <c r="B22" s="37" t="s">
        <v>51</v>
      </c>
      <c r="C22" s="193">
        <f ca="1">INDEX('3b. Analysis'!$C$175:$L$175,MATCH(B22,'3b. Analysis'!$C$174:$L$174,0))</f>
        <v>6.2</v>
      </c>
      <c r="D22" s="195">
        <f t="shared" ca="1" si="0"/>
        <v>124000</v>
      </c>
      <c r="E22" s="194">
        <f>INDEX('3b. Analysis'!$C$176:$L$176,MATCH(B22,'3b. Analysis'!$C$174:$L$174,0))</f>
        <v>0</v>
      </c>
      <c r="F22" s="195">
        <f t="shared" si="1"/>
        <v>0</v>
      </c>
      <c r="G22" s="202">
        <f ca="1">VLOOKUP(B22,'3a. Relative Savings'!$V$13:$AC$23,8,0)</f>
        <v>1.575334690062585E-2</v>
      </c>
      <c r="H22" s="179">
        <f ca="1">INDEX(ETDF_Index_Winter,MATCH(FacilityChar_Building_Type_Workbook,ETDF_Building_List,0),MATCH($B22,ETDF_End_Use_Winter,0))</f>
        <v>0</v>
      </c>
      <c r="I22" s="179">
        <f ca="1">INDEX(ETDF_Index_Summer,MATCH(FacilityChar_Building_Type_Workbook,ETDF_Building_List,0),MATCH($B22,ETDF_End_Use_Summer,0))</f>
        <v>0</v>
      </c>
      <c r="J22" s="196">
        <f t="shared" ca="1" si="2"/>
        <v>1953.4150156776054</v>
      </c>
      <c r="K22" s="197">
        <f t="shared" ca="1" si="3"/>
        <v>0</v>
      </c>
      <c r="L22" s="197">
        <f t="shared" ca="1" si="5"/>
        <v>0</v>
      </c>
      <c r="M22" s="196">
        <f t="shared" ca="1" si="4"/>
        <v>0</v>
      </c>
    </row>
    <row r="23" spans="2:13" x14ac:dyDescent="0.25">
      <c r="B23" s="37" t="s">
        <v>87</v>
      </c>
      <c r="C23" s="193">
        <f ca="1">INDEX('3b. Analysis'!$C$175:$L$175,MATCH(B23,'3b. Analysis'!$C$174:$L$174,0))</f>
        <v>0.36149999999999999</v>
      </c>
      <c r="D23" s="195">
        <f t="shared" ca="1" si="0"/>
        <v>7230</v>
      </c>
      <c r="E23" s="194">
        <f>INDEX('3b. Analysis'!$C$176:$L$176,MATCH(B23,'3b. Analysis'!$C$174:$L$174,0))</f>
        <v>0</v>
      </c>
      <c r="F23" s="195">
        <f t="shared" si="1"/>
        <v>0</v>
      </c>
      <c r="G23" s="202">
        <f ca="1">VLOOKUP(B23,'3a. Relative Savings'!$V$13:$AC$23,8,0)</f>
        <v>0</v>
      </c>
      <c r="H23" s="179">
        <f ca="1">INDEX(ETDF_Index_Winter,MATCH(FacilityChar_Building_Type_Workbook,ETDF_Building_List,0),MATCH($B23,ETDF_End_Use_Winter,0))</f>
        <v>4.4312500000000001E-6</v>
      </c>
      <c r="I23" s="179">
        <f ca="1">INDEX(ETDF_Index_Summer,MATCH(FacilityChar_Building_Type_Workbook,ETDF_Building_List,0),MATCH($B23,ETDF_End_Use_Summer,0))</f>
        <v>1.6247916666666667E-5</v>
      </c>
      <c r="J23" s="196">
        <f t="shared" ca="1" si="2"/>
        <v>0</v>
      </c>
      <c r="K23" s="197">
        <f t="shared" ca="1" si="3"/>
        <v>0</v>
      </c>
      <c r="L23" s="197">
        <f t="shared" ca="1" si="5"/>
        <v>0</v>
      </c>
      <c r="M23" s="196">
        <f t="shared" ca="1" si="4"/>
        <v>0</v>
      </c>
    </row>
    <row r="24" spans="2:13" x14ac:dyDescent="0.25">
      <c r="B24" s="37" t="s">
        <v>88</v>
      </c>
      <c r="C24" s="193">
        <f ca="1">INDEX('3b. Analysis'!$C$175:$L$175,MATCH(B24,'3b. Analysis'!$C$174:$L$174,0))</f>
        <v>6.8283333333333331</v>
      </c>
      <c r="D24" s="195">
        <f t="shared" ca="1" si="0"/>
        <v>136566.66666666666</v>
      </c>
      <c r="E24" s="194">
        <f>INDEX('3b. Analysis'!$C$176:$L$176,MATCH(B24,'3b. Analysis'!$C$174:$L$174,0))</f>
        <v>0</v>
      </c>
      <c r="F24" s="195">
        <f t="shared" si="1"/>
        <v>0</v>
      </c>
      <c r="G24" s="202">
        <f>VLOOKUP(B24,'3a. Relative Savings'!$V$13:$AC$23,8,0)</f>
        <v>0</v>
      </c>
      <c r="H24" s="179">
        <f ca="1">INDEX(ETDF_Index_Winter,MATCH(FacilityChar_Building_Type_Workbook,ETDF_Building_List,0),MATCH($B24,ETDF_End_Use_Winter,0))</f>
        <v>5.3808035714285721E-6</v>
      </c>
      <c r="I24" s="179">
        <f ca="1">INDEX(ETDF_Index_Summer,MATCH(FacilityChar_Building_Type_Workbook,ETDF_Building_List,0),MATCH($B24,ETDF_End_Use_Summer,0))</f>
        <v>5.3808035714285721E-6</v>
      </c>
      <c r="J24" s="196">
        <f t="shared" ca="1" si="2"/>
        <v>0</v>
      </c>
      <c r="K24" s="197">
        <f t="shared" ca="1" si="3"/>
        <v>0</v>
      </c>
      <c r="L24" s="197">
        <f t="shared" ca="1" si="5"/>
        <v>0</v>
      </c>
      <c r="M24" s="196">
        <f t="shared" si="4"/>
        <v>0</v>
      </c>
    </row>
    <row r="25" spans="2:13" x14ac:dyDescent="0.25">
      <c r="B25" s="37" t="s">
        <v>89</v>
      </c>
      <c r="C25" s="193">
        <f ca="1">INDEX('3b. Analysis'!$C$175:$L$175,MATCH(B25,'3b. Analysis'!$C$174:$L$174,0))</f>
        <v>6.42</v>
      </c>
      <c r="D25" s="195">
        <f t="shared" ca="1" si="0"/>
        <v>128400</v>
      </c>
      <c r="E25" s="194">
        <f ca="1">INDEX('3b. Analysis'!$C$176:$L$176,MATCH(B25,'3b. Analysis'!$C$174:$L$174,0))</f>
        <v>16.104499999999998</v>
      </c>
      <c r="F25" s="195">
        <f t="shared" ca="1" si="1"/>
        <v>3220.8999999999996</v>
      </c>
      <c r="G25" s="202">
        <f>VLOOKUP(B25,'3a. Relative Savings'!$V$13:$AC$23,8,0)</f>
        <v>0.01</v>
      </c>
      <c r="H25" s="179">
        <f ca="1">INDEX(ETDF_Index_Winter,MATCH(FacilityChar_Building_Type_Workbook,ETDF_Building_List,0),MATCH($B25,ETDF_End_Use_Winter,0))</f>
        <v>3.0795794025157229E-5</v>
      </c>
      <c r="I25" s="179">
        <f ca="1">INDEX(ETDF_Index_Summer,MATCH(FacilityChar_Building_Type_Workbook,ETDF_Building_List,0),MATCH($B25,ETDF_End_Use_Summer,0))</f>
        <v>3.0795794025157229E-5</v>
      </c>
      <c r="J25" s="196">
        <f t="shared" ca="1" si="2"/>
        <v>1284</v>
      </c>
      <c r="K25" s="197">
        <f t="shared" ca="1" si="3"/>
        <v>3.9541799528301884E-2</v>
      </c>
      <c r="L25" s="197">
        <f t="shared" ca="1" si="5"/>
        <v>3.9541799528301884E-2</v>
      </c>
      <c r="M25" s="196">
        <f t="shared" ca="1" si="4"/>
        <v>32.208999999999996</v>
      </c>
    </row>
    <row r="26" spans="2:13" x14ac:dyDescent="0.25">
      <c r="B26" s="204" t="s">
        <v>90</v>
      </c>
      <c r="C26" s="38" t="s">
        <v>91</v>
      </c>
      <c r="D26" s="198">
        <f ca="1">SUM(D16:D25)</f>
        <v>692846.27362404822</v>
      </c>
      <c r="E26" s="38" t="s">
        <v>91</v>
      </c>
      <c r="F26" s="198">
        <f ca="1">SUM(F16:F25)</f>
        <v>15730.890556161396</v>
      </c>
      <c r="G26" s="203">
        <f ca="1">J26/D26</f>
        <v>1.9943831667152155E-2</v>
      </c>
      <c r="H26" s="38" t="s">
        <v>91</v>
      </c>
      <c r="I26" s="38"/>
      <c r="J26" s="198">
        <f ca="1">SUM(J16:J25)</f>
        <v>13818.00945237166</v>
      </c>
      <c r="K26" s="199">
        <f ca="1">SUM(K16:K25)</f>
        <v>0.97135194261495639</v>
      </c>
      <c r="L26" s="199">
        <f ca="1">SUM(L16:L25)</f>
        <v>3.5772052059393928</v>
      </c>
      <c r="M26" s="198">
        <f ca="1">SUM(M16:M25)</f>
        <v>159.2800385580058</v>
      </c>
    </row>
    <row r="27" spans="2:13" x14ac:dyDescent="0.25">
      <c r="B27" s="344" t="s">
        <v>92</v>
      </c>
      <c r="C27" s="345"/>
      <c r="D27" s="345"/>
      <c r="E27" s="345"/>
      <c r="F27" s="345"/>
      <c r="G27" s="345"/>
      <c r="H27" s="345"/>
      <c r="I27" s="346"/>
      <c r="J27" s="200">
        <f ca="1">J26/D26</f>
        <v>1.9943831667152155E-2</v>
      </c>
      <c r="K27" s="200">
        <f ca="1">K26/J26</f>
        <v>7.0296083235652873E-5</v>
      </c>
      <c r="L27" s="200">
        <f ca="1">L26/J26</f>
        <v>2.5887992176220563E-4</v>
      </c>
      <c r="M27" s="201">
        <f ca="1">M26/F26</f>
        <v>1.0125303331642582E-2</v>
      </c>
    </row>
    <row r="30" spans="2:13" x14ac:dyDescent="0.25">
      <c r="B30" s="371" t="s">
        <v>93</v>
      </c>
      <c r="C30" s="372"/>
      <c r="D30" s="372"/>
      <c r="E30" s="372"/>
      <c r="F30" s="372"/>
      <c r="G30" s="372"/>
      <c r="H30" s="372"/>
      <c r="I30" s="372"/>
      <c r="J30" s="372"/>
      <c r="K30" s="372"/>
      <c r="L30" s="372"/>
      <c r="M30" s="373"/>
    </row>
    <row r="31" spans="2:13" x14ac:dyDescent="0.25">
      <c r="B31" s="374"/>
      <c r="C31" s="375"/>
      <c r="D31" s="375"/>
      <c r="E31" s="375"/>
      <c r="F31" s="375"/>
      <c r="G31" s="375"/>
      <c r="H31" s="375"/>
      <c r="I31" s="375"/>
      <c r="J31" s="375"/>
      <c r="K31" s="375"/>
      <c r="L31" s="375"/>
      <c r="M31" s="376"/>
    </row>
    <row r="33" spans="2:10" x14ac:dyDescent="0.25">
      <c r="B33" s="382" t="s">
        <v>94</v>
      </c>
      <c r="C33" s="383"/>
      <c r="D33" s="383"/>
      <c r="E33" s="383"/>
      <c r="F33" s="383"/>
      <c r="G33" s="384"/>
      <c r="H33" s="397" t="s">
        <v>95</v>
      </c>
      <c r="I33" s="398"/>
      <c r="J33" s="399"/>
    </row>
    <row r="34" spans="2:10" x14ac:dyDescent="0.25">
      <c r="B34" s="356" t="str">
        <f>'2 .Facility Charaterization'!C23</f>
        <v xml:space="preserve">Facility Type: </v>
      </c>
      <c r="C34" s="357"/>
      <c r="D34" s="357"/>
      <c r="E34" s="357"/>
      <c r="F34" s="357"/>
      <c r="G34" s="358"/>
      <c r="H34" s="350" t="str">
        <f>'2 .Facility Charaterization'!D23</f>
        <v>Health, Other</v>
      </c>
      <c r="I34" s="351"/>
      <c r="J34" s="352"/>
    </row>
    <row r="35" spans="2:10" x14ac:dyDescent="0.25">
      <c r="B35" s="356" t="str">
        <f>'2 .Facility Charaterization'!C24</f>
        <v xml:space="preserve">Building Square-Footage: </v>
      </c>
      <c r="C35" s="357"/>
      <c r="D35" s="357"/>
      <c r="E35" s="357"/>
      <c r="F35" s="357"/>
      <c r="G35" s="358"/>
      <c r="H35" s="353">
        <f>'2 .Facility Charaterization'!D24</f>
        <v>20000</v>
      </c>
      <c r="I35" s="354"/>
      <c r="J35" s="355"/>
    </row>
    <row r="36" spans="2:10" x14ac:dyDescent="0.25">
      <c r="B36" s="356" t="str">
        <f>'2 .Facility Charaterization'!C25</f>
        <v xml:space="preserve">Est. Annual Electric Use: </v>
      </c>
      <c r="C36" s="357"/>
      <c r="D36" s="357"/>
      <c r="E36" s="357"/>
      <c r="F36" s="357"/>
      <c r="G36" s="358"/>
      <c r="H36" s="353">
        <f>'2 .Facility Charaterization'!D25</f>
        <v>250000</v>
      </c>
      <c r="I36" s="354"/>
      <c r="J36" s="355"/>
    </row>
    <row r="37" spans="2:10" x14ac:dyDescent="0.25">
      <c r="B37" s="356" t="str">
        <f>'2 .Facility Charaterization'!C26</f>
        <v xml:space="preserve">Est. Annual Natural Gas Use: </v>
      </c>
      <c r="C37" s="357"/>
      <c r="D37" s="357"/>
      <c r="E37" s="357"/>
      <c r="F37" s="357"/>
      <c r="G37" s="358"/>
      <c r="H37" s="353">
        <f>'2 .Facility Charaterization'!D26</f>
        <v>2000</v>
      </c>
      <c r="I37" s="354"/>
      <c r="J37" s="355"/>
    </row>
    <row r="38" spans="2:10" x14ac:dyDescent="0.25">
      <c r="B38" s="356" t="str">
        <f>'2 .Facility Charaterization'!C35</f>
        <v>Primary cooling system type:</v>
      </c>
      <c r="C38" s="357"/>
      <c r="D38" s="357"/>
      <c r="E38" s="357"/>
      <c r="F38" s="357"/>
      <c r="G38" s="358"/>
      <c r="H38" s="394" t="str">
        <f>'2 .Facility Charaterization'!E35</f>
        <v>Packaged air conditioning units</v>
      </c>
      <c r="I38" s="395"/>
      <c r="J38" s="396"/>
    </row>
    <row r="39" spans="2:10" x14ac:dyDescent="0.25">
      <c r="B39" s="356" t="str">
        <f>'2 .Facility Charaterization'!C34</f>
        <v>Percent of floorspace cooled:</v>
      </c>
      <c r="C39" s="357"/>
      <c r="D39" s="357"/>
      <c r="E39" s="357"/>
      <c r="F39" s="357"/>
      <c r="G39" s="358"/>
      <c r="H39" s="350">
        <f>'2 .Facility Charaterization'!J34</f>
        <v>0.99999999999999989</v>
      </c>
      <c r="I39" s="351"/>
      <c r="J39" s="352"/>
    </row>
    <row r="40" spans="2:10" x14ac:dyDescent="0.25">
      <c r="B40" s="356" t="str">
        <f>'2 .Facility Charaterization'!C44</f>
        <v xml:space="preserve">Primary electric heating system type: </v>
      </c>
      <c r="C40" s="357"/>
      <c r="D40" s="357"/>
      <c r="E40" s="357"/>
      <c r="F40" s="357"/>
      <c r="G40" s="358"/>
      <c r="H40" s="350" t="str">
        <f>'2 .Facility Charaterization'!H41</f>
        <v>Boiler / Central Plant</v>
      </c>
      <c r="I40" s="351"/>
      <c r="J40" s="352"/>
    </row>
    <row r="41" spans="2:10" x14ac:dyDescent="0.25">
      <c r="B41" s="356" t="str">
        <f>'2 .Facility Charaterization'!C46</f>
        <v xml:space="preserve">Percent of floorspace heated by the electric heating system: </v>
      </c>
      <c r="C41" s="357"/>
      <c r="D41" s="357"/>
      <c r="E41" s="357"/>
      <c r="F41" s="357"/>
      <c r="G41" s="358"/>
      <c r="H41" s="350">
        <f>'2 .Facility Charaterization'!J46</f>
        <v>0.1</v>
      </c>
      <c r="I41" s="351"/>
      <c r="J41" s="352"/>
    </row>
    <row r="42" spans="2:10" x14ac:dyDescent="0.25">
      <c r="B42" s="356" t="str">
        <f>'2 .Facility Charaterization'!C41</f>
        <v xml:space="preserve">Primary non-electric heating system type: </v>
      </c>
      <c r="C42" s="357"/>
      <c r="D42" s="357"/>
      <c r="E42" s="357"/>
      <c r="F42" s="357"/>
      <c r="G42" s="358"/>
      <c r="H42" s="350" t="str">
        <f>'2 .Facility Charaterization'!H44</f>
        <v>Ground Source Heat Pump</v>
      </c>
      <c r="I42" s="351"/>
      <c r="J42" s="352"/>
    </row>
    <row r="43" spans="2:10" x14ac:dyDescent="0.25">
      <c r="B43" s="356" t="str">
        <f>'2 .Facility Charaterization'!C43</f>
        <v xml:space="preserve">Percent of floorspace heated by natural gas or propane: </v>
      </c>
      <c r="C43" s="357"/>
      <c r="D43" s="357"/>
      <c r="E43" s="357"/>
      <c r="F43" s="357"/>
      <c r="G43" s="358"/>
      <c r="H43" s="350">
        <f>'2 .Facility Charaterization'!J43</f>
        <v>0.6</v>
      </c>
      <c r="I43" s="351"/>
      <c r="J43" s="352"/>
    </row>
    <row r="45" spans="2:10" x14ac:dyDescent="0.25">
      <c r="B45" s="356" t="str">
        <f>'2 .Facility Charaterization'!C60</f>
        <v>Do you have any refrigeration equipment at the facility?</v>
      </c>
      <c r="C45" s="357"/>
      <c r="D45" s="357"/>
      <c r="E45" s="357"/>
      <c r="F45" s="357"/>
      <c r="G45" s="358"/>
      <c r="H45" s="350" t="str">
        <f>'2 .Facility Charaterization'!J60</f>
        <v>Yes</v>
      </c>
      <c r="I45" s="351"/>
      <c r="J45" s="352"/>
    </row>
    <row r="46" spans="2:10" x14ac:dyDescent="0.25">
      <c r="B46" s="356" t="str">
        <f>'2 .Facility Charaterization'!C61</f>
        <v>Do you have and walk-in units?</v>
      </c>
      <c r="C46" s="357"/>
      <c r="D46" s="357"/>
      <c r="E46" s="357"/>
      <c r="F46" s="357"/>
      <c r="G46" s="358"/>
      <c r="H46" s="350" t="str">
        <f>'2 .Facility Charaterization'!J61</f>
        <v>Yes</v>
      </c>
      <c r="I46" s="351"/>
      <c r="J46" s="352"/>
    </row>
    <row r="47" spans="2:10" x14ac:dyDescent="0.25">
      <c r="B47" s="356" t="str">
        <f>'2 .Facility Charaterization'!C64</f>
        <v>Do you have any commercial ice makers?</v>
      </c>
      <c r="C47" s="357"/>
      <c r="D47" s="357"/>
      <c r="E47" s="357"/>
      <c r="F47" s="357"/>
      <c r="G47" s="358"/>
      <c r="H47" s="350" t="str">
        <f>'2 .Facility Charaterization'!J64</f>
        <v>Yes</v>
      </c>
      <c r="I47" s="351"/>
      <c r="J47" s="352"/>
    </row>
    <row r="48" spans="2:10" x14ac:dyDescent="0.25">
      <c r="B48" s="356" t="str">
        <f>'2 .Facility Charaterization'!C65</f>
        <v>Do you have any refrigerated vending machines?</v>
      </c>
      <c r="C48" s="357"/>
      <c r="D48" s="357"/>
      <c r="E48" s="357"/>
      <c r="F48" s="357"/>
      <c r="G48" s="358"/>
      <c r="H48" s="350" t="str">
        <f>'2 .Facility Charaterization'!J65</f>
        <v>Yes</v>
      </c>
      <c r="I48" s="351"/>
      <c r="J48" s="352"/>
    </row>
    <row r="50" spans="2:13" ht="28.9" customHeight="1" x14ac:dyDescent="0.25">
      <c r="B50" s="385" t="str">
        <f>'2 .Facility Charaterization'!C72</f>
        <v xml:space="preserve">Approximate percentage of floorspace that is a food service area (including kitchen and seating): </v>
      </c>
      <c r="C50" s="386"/>
      <c r="D50" s="386"/>
      <c r="E50" s="386"/>
      <c r="F50" s="386"/>
      <c r="G50" s="387"/>
      <c r="H50" s="400">
        <f>'2 .Facility Charaterization'!J73</f>
        <v>0.1</v>
      </c>
      <c r="I50" s="401"/>
      <c r="J50" s="402"/>
    </row>
    <row r="52" spans="2:13" x14ac:dyDescent="0.25">
      <c r="B52" s="381" t="str">
        <f>'2 .Facility Charaterization'!C89</f>
        <v xml:space="preserve">Separate computer areas (more than one may apply): </v>
      </c>
      <c r="C52" s="357"/>
      <c r="D52" s="357"/>
      <c r="E52" s="357"/>
      <c r="F52" s="357"/>
      <c r="G52" s="358"/>
      <c r="H52" s="350" t="str">
        <f>'2 .Facility Charaterization'!G89</f>
        <v>Data center</v>
      </c>
      <c r="I52" s="351"/>
      <c r="J52" s="352"/>
    </row>
    <row r="55" spans="2:13" x14ac:dyDescent="0.25">
      <c r="B55" s="371" t="s">
        <v>93</v>
      </c>
      <c r="C55" s="372"/>
      <c r="D55" s="372"/>
      <c r="E55" s="372"/>
      <c r="F55" s="372"/>
      <c r="G55" s="372"/>
      <c r="H55" s="372"/>
      <c r="I55" s="372"/>
      <c r="J55" s="372"/>
      <c r="K55" s="372"/>
      <c r="L55" s="372"/>
      <c r="M55" s="373"/>
    </row>
    <row r="56" spans="2:13" x14ac:dyDescent="0.25">
      <c r="B56" s="374"/>
      <c r="C56" s="375"/>
      <c r="D56" s="375"/>
      <c r="E56" s="375"/>
      <c r="F56" s="375"/>
      <c r="G56" s="375"/>
      <c r="H56" s="375"/>
      <c r="I56" s="375"/>
      <c r="J56" s="375"/>
      <c r="K56" s="375"/>
      <c r="L56" s="375"/>
      <c r="M56" s="376"/>
    </row>
    <row r="58" spans="2:13" x14ac:dyDescent="0.25">
      <c r="B58" s="362" t="s">
        <v>94</v>
      </c>
      <c r="C58" s="363"/>
      <c r="D58" s="363"/>
      <c r="E58" s="363"/>
      <c r="F58" s="363"/>
      <c r="G58" s="363"/>
      <c r="H58" s="364"/>
      <c r="I58" s="186" t="s">
        <v>95</v>
      </c>
      <c r="J58" s="186" t="s">
        <v>96</v>
      </c>
    </row>
    <row r="59" spans="2:13" x14ac:dyDescent="0.25">
      <c r="B59" s="368" t="s">
        <v>97</v>
      </c>
      <c r="C59" s="369"/>
      <c r="D59" s="369"/>
      <c r="E59" s="369"/>
      <c r="F59" s="369"/>
      <c r="G59" s="369"/>
      <c r="H59" s="370"/>
      <c r="I59" s="272">
        <f>'2 .Facility Charaterization'!D25</f>
        <v>250000</v>
      </c>
      <c r="J59" s="1" t="s">
        <v>29</v>
      </c>
    </row>
    <row r="60" spans="2:13" x14ac:dyDescent="0.25">
      <c r="B60" s="368" t="s">
        <v>98</v>
      </c>
      <c r="C60" s="369"/>
      <c r="D60" s="369"/>
      <c r="E60" s="369"/>
      <c r="F60" s="369"/>
      <c r="G60" s="369"/>
      <c r="H60" s="370"/>
      <c r="I60" s="272">
        <f>'2 .Facility Charaterization'!D26</f>
        <v>2000</v>
      </c>
      <c r="J60" s="1" t="s">
        <v>31</v>
      </c>
    </row>
    <row r="61" spans="2:13" x14ac:dyDescent="0.25">
      <c r="B61" s="368" t="s">
        <v>99</v>
      </c>
      <c r="C61" s="369"/>
      <c r="D61" s="369"/>
      <c r="E61" s="369"/>
      <c r="F61" s="369"/>
      <c r="G61" s="369"/>
      <c r="H61" s="370"/>
      <c r="I61" s="273">
        <f ca="1">J27</f>
        <v>1.9943831667152155E-2</v>
      </c>
      <c r="J61" s="275" t="s">
        <v>91</v>
      </c>
    </row>
    <row r="62" spans="2:13" x14ac:dyDescent="0.25">
      <c r="B62" s="368" t="s">
        <v>100</v>
      </c>
      <c r="C62" s="369"/>
      <c r="D62" s="369"/>
      <c r="E62" s="369"/>
      <c r="F62" s="369"/>
      <c r="G62" s="369"/>
      <c r="H62" s="370"/>
      <c r="I62" s="273">
        <f ca="1">M27</f>
        <v>1.0125303331642582E-2</v>
      </c>
      <c r="J62" s="275" t="s">
        <v>91</v>
      </c>
    </row>
    <row r="63" spans="2:13" x14ac:dyDescent="0.25">
      <c r="B63" s="347" t="s">
        <v>101</v>
      </c>
      <c r="C63" s="348"/>
      <c r="D63" s="348"/>
      <c r="E63" s="348"/>
      <c r="F63" s="348"/>
      <c r="G63" s="348"/>
      <c r="H63" s="349"/>
      <c r="I63" s="274">
        <f ca="1">I59*I61</f>
        <v>4985.9579167880383</v>
      </c>
      <c r="J63" s="2" t="s">
        <v>29</v>
      </c>
    </row>
    <row r="64" spans="2:13" x14ac:dyDescent="0.25">
      <c r="B64" s="347" t="s">
        <v>102</v>
      </c>
      <c r="C64" s="348"/>
      <c r="D64" s="348"/>
      <c r="E64" s="348"/>
      <c r="F64" s="348"/>
      <c r="G64" s="348"/>
      <c r="H64" s="349"/>
      <c r="I64" s="279">
        <f ca="1">I63*K26/J26</f>
        <v>0.35049331272799439</v>
      </c>
      <c r="J64" s="2" t="s">
        <v>103</v>
      </c>
    </row>
    <row r="65" spans="2:10" x14ac:dyDescent="0.25">
      <c r="B65" s="347" t="s">
        <v>104</v>
      </c>
      <c r="C65" s="348"/>
      <c r="D65" s="348"/>
      <c r="E65" s="348"/>
      <c r="F65" s="348"/>
      <c r="G65" s="348"/>
      <c r="H65" s="349"/>
      <c r="I65" s="279">
        <f ca="1">I63*L26/J26</f>
        <v>1.290764395407737</v>
      </c>
      <c r="J65" s="2" t="s">
        <v>103</v>
      </c>
    </row>
    <row r="66" spans="2:10" x14ac:dyDescent="0.25">
      <c r="B66" s="365" t="s">
        <v>105</v>
      </c>
      <c r="C66" s="366"/>
      <c r="D66" s="366"/>
      <c r="E66" s="366"/>
      <c r="F66" s="366"/>
      <c r="G66" s="366"/>
      <c r="H66" s="367"/>
      <c r="I66" s="274">
        <f ca="1">I62*I60</f>
        <v>20.250606663285165</v>
      </c>
      <c r="J66" s="2" t="s">
        <v>31</v>
      </c>
    </row>
    <row r="67" spans="2:10" ht="17.25" x14ac:dyDescent="0.25">
      <c r="B67" s="359" t="s">
        <v>106</v>
      </c>
      <c r="C67" s="360"/>
      <c r="D67" s="360"/>
      <c r="E67" s="360"/>
      <c r="F67" s="360"/>
      <c r="G67" s="360"/>
      <c r="H67" s="361"/>
      <c r="I67" s="280">
        <f ca="1">I63/FacilityChar_Building_Area</f>
        <v>0.24929789583940193</v>
      </c>
      <c r="J67" s="9" t="s">
        <v>107</v>
      </c>
    </row>
    <row r="68" spans="2:10" ht="17.25" x14ac:dyDescent="0.25">
      <c r="B68" s="359" t="s">
        <v>105</v>
      </c>
      <c r="C68" s="360"/>
      <c r="D68" s="360"/>
      <c r="E68" s="360"/>
      <c r="F68" s="360"/>
      <c r="G68" s="360"/>
      <c r="H68" s="361"/>
      <c r="I68" s="280">
        <f ca="1">I66/FacilityChar_Building_Area*100</f>
        <v>0.10125303331642584</v>
      </c>
      <c r="J68" s="9" t="s">
        <v>108</v>
      </c>
    </row>
    <row r="69" spans="2:10" x14ac:dyDescent="0.25">
      <c r="B69" s="359" t="s">
        <v>109</v>
      </c>
      <c r="C69" s="360"/>
      <c r="D69" s="360"/>
      <c r="E69" s="360"/>
      <c r="F69" s="360"/>
      <c r="G69" s="360"/>
      <c r="H69" s="361"/>
      <c r="I69" s="10">
        <f ca="1">J26/K26</f>
        <v>14225.543642989463</v>
      </c>
      <c r="J69" s="9" t="s">
        <v>110</v>
      </c>
    </row>
  </sheetData>
  <mergeCells count="52">
    <mergeCell ref="H41:J41"/>
    <mergeCell ref="H33:J33"/>
    <mergeCell ref="H50:J50"/>
    <mergeCell ref="H48:J48"/>
    <mergeCell ref="H47:J47"/>
    <mergeCell ref="H45:J45"/>
    <mergeCell ref="H42:J42"/>
    <mergeCell ref="H43:J43"/>
    <mergeCell ref="H40:J40"/>
    <mergeCell ref="C8:D8"/>
    <mergeCell ref="C7:D7"/>
    <mergeCell ref="B52:G52"/>
    <mergeCell ref="B33:G33"/>
    <mergeCell ref="B34:G34"/>
    <mergeCell ref="B35:G35"/>
    <mergeCell ref="B36:G36"/>
    <mergeCell ref="B37:G37"/>
    <mergeCell ref="B43:G43"/>
    <mergeCell ref="B45:G45"/>
    <mergeCell ref="B46:G46"/>
    <mergeCell ref="B47:G47"/>
    <mergeCell ref="B48:G48"/>
    <mergeCell ref="B50:G50"/>
    <mergeCell ref="B12:M13"/>
    <mergeCell ref="B30:M31"/>
    <mergeCell ref="B69:H69"/>
    <mergeCell ref="B68:H68"/>
    <mergeCell ref="B67:H67"/>
    <mergeCell ref="B58:H58"/>
    <mergeCell ref="B66:H66"/>
    <mergeCell ref="B64:H64"/>
    <mergeCell ref="B63:H63"/>
    <mergeCell ref="B62:H62"/>
    <mergeCell ref="B61:H61"/>
    <mergeCell ref="B60:H60"/>
    <mergeCell ref="B59:H59"/>
    <mergeCell ref="B27:I27"/>
    <mergeCell ref="B65:H65"/>
    <mergeCell ref="H39:J39"/>
    <mergeCell ref="H37:J37"/>
    <mergeCell ref="H36:J36"/>
    <mergeCell ref="H35:J35"/>
    <mergeCell ref="H34:J34"/>
    <mergeCell ref="B38:G38"/>
    <mergeCell ref="B41:G41"/>
    <mergeCell ref="B40:G40"/>
    <mergeCell ref="B42:G42"/>
    <mergeCell ref="B39:G39"/>
    <mergeCell ref="H46:J46"/>
    <mergeCell ref="H52:J52"/>
    <mergeCell ref="B55:M56"/>
    <mergeCell ref="H38:J38"/>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BE42B-0DD8-4AA6-A9D2-F48D1466397A}">
  <sheetPr codeName="Sheet5">
    <tabColor rgb="FF7030A0"/>
  </sheetPr>
  <dimension ref="A2:AY45"/>
  <sheetViews>
    <sheetView topLeftCell="A12" workbookViewId="0">
      <selection activeCell="D31" sqref="D31"/>
    </sheetView>
  </sheetViews>
  <sheetFormatPr defaultColWidth="8.85546875" defaultRowHeight="15" x14ac:dyDescent="0.25"/>
  <cols>
    <col min="1" max="1" width="2.7109375" style="28" customWidth="1"/>
    <col min="2" max="2" width="15.42578125" style="28" customWidth="1"/>
    <col min="3" max="3" width="10.42578125" style="28" customWidth="1"/>
    <col min="4" max="4" width="16.140625" style="28" customWidth="1"/>
    <col min="5" max="5" width="11.42578125" style="28" customWidth="1"/>
    <col min="6" max="6" width="9.28515625" style="28" customWidth="1"/>
    <col min="7" max="7" width="8.85546875" style="28"/>
    <col min="8" max="8" width="11" style="28" customWidth="1"/>
    <col min="9" max="9" width="8.85546875" style="28"/>
    <col min="10" max="11" width="9.7109375" style="28" customWidth="1"/>
    <col min="12" max="12" width="11.7109375" style="28" customWidth="1"/>
    <col min="13" max="13" width="2.7109375" style="28" customWidth="1"/>
    <col min="14" max="15" width="13.5703125" style="28" customWidth="1"/>
    <col min="16" max="16" width="2.7109375" style="28" customWidth="1"/>
    <col min="17" max="17" width="16.5703125" style="28" customWidth="1"/>
    <col min="18" max="18" width="18" style="28" customWidth="1"/>
    <col min="19" max="20" width="12.140625" style="28" customWidth="1"/>
    <col min="21" max="21" width="2.7109375" style="28" customWidth="1"/>
    <col min="22" max="22" width="17.85546875" style="28" customWidth="1"/>
    <col min="23" max="24" width="12.7109375" style="28" customWidth="1"/>
    <col min="25" max="25" width="11.28515625" style="28" customWidth="1"/>
    <col min="26" max="26" width="12.7109375" style="28" customWidth="1"/>
    <col min="27" max="28" width="11.28515625" style="28" customWidth="1"/>
    <col min="29" max="29" width="18.7109375" style="28" customWidth="1"/>
    <col min="30" max="16384" width="8.85546875" style="28"/>
  </cols>
  <sheetData>
    <row r="2" spans="1:51" s="21" customFormat="1" ht="22.5" x14ac:dyDescent="0.35">
      <c r="A2" s="17"/>
      <c r="B2" s="18" t="str">
        <f>Lookups!B2</f>
        <v>Ph V TRM Appendix F: Building Operator Certification Audit and Design Tool</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20"/>
      <c r="AH2" s="20"/>
      <c r="AI2" s="20"/>
    </row>
    <row r="3" spans="1:51" s="25" customFormat="1" ht="17.25" x14ac:dyDescent="0.25">
      <c r="A3" s="22"/>
      <c r="B3" s="23" t="s">
        <v>76</v>
      </c>
      <c r="C3" s="24"/>
      <c r="D3" s="24"/>
      <c r="E3" s="24"/>
      <c r="F3" s="24"/>
      <c r="G3" s="24"/>
      <c r="H3" s="24"/>
      <c r="I3" s="24"/>
      <c r="J3" s="24"/>
      <c r="K3" s="24"/>
      <c r="L3" s="24"/>
      <c r="M3" s="22"/>
      <c r="N3" s="22"/>
      <c r="AM3" s="24"/>
      <c r="AN3" s="24"/>
      <c r="AO3" s="24"/>
      <c r="AP3" s="24"/>
      <c r="AQ3" s="24"/>
      <c r="AR3" s="24"/>
      <c r="AS3" s="24"/>
      <c r="AT3" s="24"/>
      <c r="AU3" s="24"/>
      <c r="AV3" s="24"/>
      <c r="AW3" s="24"/>
      <c r="AX3" s="24"/>
      <c r="AY3" s="24"/>
    </row>
    <row r="6" spans="1:51" ht="62.25" x14ac:dyDescent="0.25">
      <c r="B6" s="69" t="s">
        <v>111</v>
      </c>
      <c r="C6" s="69" t="s">
        <v>112</v>
      </c>
      <c r="D6" s="69" t="s">
        <v>113</v>
      </c>
      <c r="E6" s="69" t="s">
        <v>114</v>
      </c>
    </row>
    <row r="7" spans="1:51" x14ac:dyDescent="0.25">
      <c r="B7" s="44" t="s">
        <v>115</v>
      </c>
      <c r="C7" s="113">
        <v>10</v>
      </c>
      <c r="D7" s="113">
        <v>319068</v>
      </c>
      <c r="E7" s="10">
        <f>C7*D7</f>
        <v>3190680</v>
      </c>
      <c r="J7" s="92"/>
      <c r="K7" s="92"/>
      <c r="P7" s="106"/>
      <c r="Q7" s="106"/>
    </row>
    <row r="8" spans="1:51" x14ac:dyDescent="0.25">
      <c r="B8" s="44" t="s">
        <v>116</v>
      </c>
      <c r="C8" s="113">
        <v>3</v>
      </c>
      <c r="D8" s="113">
        <f>140137</f>
        <v>140137</v>
      </c>
      <c r="E8" s="10">
        <f>C8*D8</f>
        <v>420411</v>
      </c>
      <c r="J8" s="92"/>
      <c r="K8" s="92"/>
      <c r="P8" s="106"/>
      <c r="Q8" s="106"/>
    </row>
    <row r="9" spans="1:51" x14ac:dyDescent="0.25">
      <c r="B9" s="44" t="s">
        <v>117</v>
      </c>
      <c r="C9" s="113">
        <v>5</v>
      </c>
      <c r="D9" s="113">
        <v>408309</v>
      </c>
      <c r="E9" s="10">
        <f>C9*D9</f>
        <v>2041545</v>
      </c>
      <c r="J9" s="47"/>
      <c r="K9" s="47"/>
    </row>
    <row r="10" spans="1:51" x14ac:dyDescent="0.25">
      <c r="B10" s="97" t="s">
        <v>118</v>
      </c>
      <c r="C10" s="114">
        <f>SUM(C7:C9)</f>
        <v>18</v>
      </c>
    </row>
    <row r="11" spans="1:51" x14ac:dyDescent="0.25">
      <c r="M11" s="91"/>
    </row>
    <row r="12" spans="1:51" ht="18.75" x14ac:dyDescent="0.25">
      <c r="B12" s="406" t="s">
        <v>119</v>
      </c>
      <c r="C12" s="407"/>
      <c r="D12" s="407"/>
      <c r="E12" s="407"/>
      <c r="F12" s="407"/>
      <c r="G12" s="408"/>
      <c r="M12" s="91"/>
      <c r="N12" s="91"/>
      <c r="O12" s="91"/>
    </row>
    <row r="13" spans="1:51" ht="77.25" x14ac:dyDescent="0.25">
      <c r="B13" s="69" t="s">
        <v>111</v>
      </c>
      <c r="C13" s="69" t="s">
        <v>120</v>
      </c>
      <c r="D13" s="69" t="s">
        <v>121</v>
      </c>
      <c r="E13" s="69" t="s">
        <v>122</v>
      </c>
      <c r="F13" s="69" t="s">
        <v>123</v>
      </c>
      <c r="G13" s="69" t="s">
        <v>124</v>
      </c>
      <c r="H13" s="69" t="s">
        <v>114</v>
      </c>
      <c r="I13" s="69" t="s">
        <v>125</v>
      </c>
      <c r="J13" s="69" t="s">
        <v>126</v>
      </c>
      <c r="K13" s="69" t="s">
        <v>127</v>
      </c>
      <c r="L13" s="69" t="s">
        <v>128</v>
      </c>
      <c r="M13" s="91"/>
      <c r="N13" s="69" t="s">
        <v>129</v>
      </c>
      <c r="O13" s="69" t="s">
        <v>130</v>
      </c>
      <c r="Q13" s="69" t="s">
        <v>131</v>
      </c>
      <c r="R13" s="69" t="s">
        <v>132</v>
      </c>
      <c r="S13" s="69" t="s">
        <v>129</v>
      </c>
      <c r="T13" s="69" t="s">
        <v>130</v>
      </c>
      <c r="V13" s="69" t="s">
        <v>132</v>
      </c>
      <c r="W13" s="69" t="str">
        <f>'3b. Analysis'!B17</f>
        <v>IL Building Area Adjusted Scaling Factor</v>
      </c>
      <c r="X13" s="69" t="str">
        <f>'3b. Analysis'!B40</f>
        <v>NJ Building Area Adjusted Scaling Factor</v>
      </c>
      <c r="Y13" s="69" t="s">
        <v>129</v>
      </c>
      <c r="Z13" s="69" t="s">
        <v>130</v>
      </c>
      <c r="AA13" s="69" t="s">
        <v>133</v>
      </c>
      <c r="AB13" s="69" t="s">
        <v>133</v>
      </c>
      <c r="AC13" s="69" t="s">
        <v>134</v>
      </c>
      <c r="AD13" s="69" t="s">
        <v>76</v>
      </c>
    </row>
    <row r="14" spans="1:51" x14ac:dyDescent="0.25">
      <c r="B14" s="101" t="str">
        <f>$B$7</f>
        <v>2020 Com ED</v>
      </c>
      <c r="C14" s="98">
        <f>VLOOKUP($B14,$B$7:$E$9,2,0)/$C$10</f>
        <v>0.55555555555555558</v>
      </c>
      <c r="D14" s="101" t="s">
        <v>85</v>
      </c>
      <c r="E14" s="102">
        <v>226300</v>
      </c>
      <c r="F14" s="102">
        <v>64</v>
      </c>
      <c r="G14" s="105" t="s">
        <v>135</v>
      </c>
      <c r="H14" s="99">
        <f>VLOOKUP($B14,$B$7:$E$9,4,0)</f>
        <v>3190680</v>
      </c>
      <c r="I14" s="108"/>
      <c r="J14" s="108"/>
      <c r="K14" s="96">
        <f>E14/$H14</f>
        <v>7.092531999448394E-2</v>
      </c>
      <c r="L14" s="104">
        <f t="shared" ref="L14:L21" si="0">IF(G14="NA",0,G14/H14)</f>
        <v>0</v>
      </c>
      <c r="M14" s="91"/>
      <c r="N14" s="107">
        <f t="shared" ref="N14:N32" si="1">K14*$C14</f>
        <v>3.9402955552491077E-2</v>
      </c>
      <c r="O14" s="107">
        <f>IF(L14="NA",0,L14*$C14*18/8)</f>
        <v>0</v>
      </c>
      <c r="Q14" s="2" t="s">
        <v>85</v>
      </c>
      <c r="R14" s="1" t="s">
        <v>85</v>
      </c>
      <c r="S14" s="95">
        <f t="shared" ref="S14:T21" si="2">SUMIFS(N:N,$D:$D,$Q14)</f>
        <v>6.2250152516634613E-2</v>
      </c>
      <c r="T14" s="96">
        <f t="shared" si="2"/>
        <v>0</v>
      </c>
      <c r="V14" s="1" t="s">
        <v>81</v>
      </c>
      <c r="W14" s="111">
        <f ca="1">HLOOKUP($V14,'3b. Analysis'!$C$11:$L$17,7,0)</f>
        <v>1.906666666666667</v>
      </c>
      <c r="X14" s="110">
        <f ca="1">IFERROR(HLOOKUP($V14,'3b. Analysis'!$C$32:$L$40,7,0)/100,0)</f>
        <v>0.34673650763358776</v>
      </c>
      <c r="Y14" s="96">
        <f t="shared" ref="Y14:Y23" si="3">SUMIFS($S$14:$S$27,$R$14:$R$27,$V14)</f>
        <v>0</v>
      </c>
      <c r="Z14" s="96">
        <f t="shared" ref="Z14:Z23" si="4">SUMIFS($T$14:$T$27,$R$14:$R$27,$V14)</f>
        <v>2.8683659205575394E-3</v>
      </c>
      <c r="AA14" s="189" t="s">
        <v>135</v>
      </c>
      <c r="AB14" s="112">
        <f ca="1">Z14/X14</f>
        <v>8.2724658563749272E-3</v>
      </c>
      <c r="AC14" s="190">
        <f ca="1">AVERAGE(AA14:AB14)</f>
        <v>8.2724658563749272E-3</v>
      </c>
      <c r="AD14" s="109">
        <f t="shared" ref="AD14:AD23" ca="1" si="5">AC14*W14</f>
        <v>1.5772834899488199E-2</v>
      </c>
    </row>
    <row r="15" spans="1:51" x14ac:dyDescent="0.25">
      <c r="B15" s="101" t="str">
        <f t="shared" ref="B15:B18" si="6">$B$7</f>
        <v>2020 Com ED</v>
      </c>
      <c r="C15" s="98">
        <f t="shared" ref="C15:C32" si="7">VLOOKUP($B15,$B$7:$E$9,2,0)/$C$10</f>
        <v>0.55555555555555558</v>
      </c>
      <c r="D15" s="101" t="s">
        <v>136</v>
      </c>
      <c r="E15" s="102">
        <f>311100+102500</f>
        <v>413600</v>
      </c>
      <c r="F15" s="102">
        <v>0</v>
      </c>
      <c r="G15" s="105" t="s">
        <v>135</v>
      </c>
      <c r="H15" s="99">
        <f t="shared" ref="H15:H32" si="8">VLOOKUP($B15,$B$7:$E$9,4,0)</f>
        <v>3190680</v>
      </c>
      <c r="I15" s="108"/>
      <c r="J15" s="108"/>
      <c r="K15" s="96">
        <f t="shared" ref="K15:K32" si="9">E15/$H15</f>
        <v>0.12962754021086415</v>
      </c>
      <c r="L15" s="104">
        <f t="shared" si="0"/>
        <v>0</v>
      </c>
      <c r="M15" s="91"/>
      <c r="N15" s="107">
        <f t="shared" si="1"/>
        <v>7.2015300117146755E-2</v>
      </c>
      <c r="O15" s="107">
        <f t="shared" ref="O15:O32" si="10">IF(L15="NA",0,L15*$C15*18/8)</f>
        <v>0</v>
      </c>
      <c r="Q15" s="2" t="s">
        <v>137</v>
      </c>
      <c r="R15" s="1" t="s">
        <v>89</v>
      </c>
      <c r="S15" s="95">
        <f t="shared" si="2"/>
        <v>6.8173861225721472E-2</v>
      </c>
      <c r="T15" s="96">
        <f t="shared" si="2"/>
        <v>5.0672407416931797E-3</v>
      </c>
      <c r="V15" s="1" t="s">
        <v>82</v>
      </c>
      <c r="W15" s="111">
        <f ca="1">HLOOKUP($V15,'3b. Analysis'!$C$11:$L$17,7,0)</f>
        <v>1.4</v>
      </c>
      <c r="X15" s="110">
        <f>IFERROR(HLOOKUP($V15,'3b. Analysis'!$C$32:$L$40,7,0)/100,0)</f>
        <v>0</v>
      </c>
      <c r="Y15" s="96">
        <f t="shared" si="3"/>
        <v>6.9172585361670424E-2</v>
      </c>
      <c r="Z15" s="96">
        <f t="shared" si="4"/>
        <v>0</v>
      </c>
      <c r="AA15" s="112">
        <f t="shared" ref="AA15:AA23" ca="1" si="11">Y15/W15</f>
        <v>4.9408989544050305E-2</v>
      </c>
      <c r="AB15" s="189" t="s">
        <v>135</v>
      </c>
      <c r="AC15" s="190">
        <f ca="1">AVERAGE(AA15:AB15)</f>
        <v>4.9408989544050305E-2</v>
      </c>
      <c r="AD15" s="109">
        <f t="shared" ca="1" si="5"/>
        <v>6.9172585361670424E-2</v>
      </c>
    </row>
    <row r="16" spans="1:51" x14ac:dyDescent="0.25">
      <c r="B16" s="101" t="str">
        <f t="shared" si="6"/>
        <v>2020 Com ED</v>
      </c>
      <c r="C16" s="98">
        <f t="shared" si="7"/>
        <v>0.55555555555555558</v>
      </c>
      <c r="D16" s="101" t="s">
        <v>137</v>
      </c>
      <c r="E16" s="102">
        <v>338400</v>
      </c>
      <c r="F16" s="102">
        <v>62</v>
      </c>
      <c r="G16" s="105" t="s">
        <v>135</v>
      </c>
      <c r="H16" s="99">
        <f t="shared" si="8"/>
        <v>3190680</v>
      </c>
      <c r="I16" s="108"/>
      <c r="J16" s="108"/>
      <c r="K16" s="96">
        <f t="shared" si="9"/>
        <v>0.10605889653616157</v>
      </c>
      <c r="L16" s="104">
        <f t="shared" si="0"/>
        <v>0</v>
      </c>
      <c r="M16" s="91"/>
      <c r="N16" s="107">
        <f t="shared" si="1"/>
        <v>5.892160918675643E-2</v>
      </c>
      <c r="O16" s="107">
        <f t="shared" si="10"/>
        <v>0</v>
      </c>
      <c r="Q16" s="2" t="s">
        <v>138</v>
      </c>
      <c r="R16" s="1" t="s">
        <v>89</v>
      </c>
      <c r="S16" s="95">
        <f t="shared" si="2"/>
        <v>6.0941380660061318E-4</v>
      </c>
      <c r="T16" s="96">
        <f t="shared" si="2"/>
        <v>0</v>
      </c>
      <c r="V16" s="1" t="s">
        <v>83</v>
      </c>
      <c r="W16" s="111">
        <f ca="1">HLOOKUP($V16,'3b. Analysis'!$C$11:$L$17,7,0)</f>
        <v>3.3</v>
      </c>
      <c r="X16" s="110">
        <f>IFERROR(HLOOKUP($V16,'3b. Analysis'!$C$32:$L$40,7,0)/100,0)</f>
        <v>0</v>
      </c>
      <c r="Y16" s="96">
        <f t="shared" si="3"/>
        <v>9.8039204939552302E-2</v>
      </c>
      <c r="Z16" s="96">
        <f t="shared" si="4"/>
        <v>0</v>
      </c>
      <c r="AA16" s="112">
        <f t="shared" ca="1" si="11"/>
        <v>2.9708849981682519E-2</v>
      </c>
      <c r="AB16" s="189" t="s">
        <v>135</v>
      </c>
      <c r="AC16" s="190">
        <f ca="1">AVERAGE(AA16:AB16)</f>
        <v>2.9708849981682519E-2</v>
      </c>
      <c r="AD16" s="109">
        <f ca="1">AC16*W16</f>
        <v>9.8039204939552302E-2</v>
      </c>
    </row>
    <row r="17" spans="2:30" x14ac:dyDescent="0.25">
      <c r="B17" s="101" t="str">
        <f t="shared" si="6"/>
        <v>2020 Com ED</v>
      </c>
      <c r="C17" s="98">
        <f t="shared" si="7"/>
        <v>0.55555555555555558</v>
      </c>
      <c r="D17" s="101" t="s">
        <v>138</v>
      </c>
      <c r="E17" s="102">
        <f>3500</f>
        <v>3500</v>
      </c>
      <c r="F17" s="102">
        <v>1</v>
      </c>
      <c r="G17" s="105" t="s">
        <v>135</v>
      </c>
      <c r="H17" s="99">
        <f t="shared" si="8"/>
        <v>3190680</v>
      </c>
      <c r="I17" s="108"/>
      <c r="J17" s="108"/>
      <c r="K17" s="96">
        <f t="shared" si="9"/>
        <v>1.0969448518811037E-3</v>
      </c>
      <c r="L17" s="104">
        <f t="shared" si="0"/>
        <v>0</v>
      </c>
      <c r="M17" s="91"/>
      <c r="N17" s="107">
        <f t="shared" si="1"/>
        <v>6.0941380660061318E-4</v>
      </c>
      <c r="O17" s="107">
        <f t="shared" si="10"/>
        <v>0</v>
      </c>
      <c r="Q17" s="2" t="s">
        <v>139</v>
      </c>
      <c r="R17" s="1" t="s">
        <v>34</v>
      </c>
      <c r="S17" s="95">
        <f t="shared" si="2"/>
        <v>4.7567995326526391E-2</v>
      </c>
      <c r="T17" s="96">
        <f t="shared" si="2"/>
        <v>0</v>
      </c>
      <c r="V17" s="1" t="s">
        <v>84</v>
      </c>
      <c r="W17" s="111">
        <f ca="1">HLOOKUP($V17,'3b. Analysis'!$C$11:$L$17,7,0)</f>
        <v>0.48</v>
      </c>
      <c r="X17" s="110">
        <f ca="1">IFERROR(HLOOKUP($V17,'3b. Analysis'!$C$32:$L$40,7,0)/100,0)</f>
        <v>3.6254468085106371E-2</v>
      </c>
      <c r="Y17" s="96">
        <f t="shared" si="3"/>
        <v>4.646005228228044E-3</v>
      </c>
      <c r="Z17" s="96">
        <f t="shared" si="4"/>
        <v>2.3815980076639289E-4</v>
      </c>
      <c r="AA17" s="112">
        <f t="shared" ca="1" si="11"/>
        <v>9.6791775588084255E-3</v>
      </c>
      <c r="AB17" s="112">
        <f ca="1">Z17/X17</f>
        <v>6.5691158454543944E-3</v>
      </c>
      <c r="AC17" s="190">
        <f ca="1">AVERAGE(AA17:AB17)</f>
        <v>8.1241467021314108E-3</v>
      </c>
      <c r="AD17" s="109">
        <f t="shared" ca="1" si="5"/>
        <v>3.8995904170230772E-3</v>
      </c>
    </row>
    <row r="18" spans="2:30" x14ac:dyDescent="0.25">
      <c r="B18" s="101" t="str">
        <f t="shared" si="6"/>
        <v>2020 Com ED</v>
      </c>
      <c r="C18" s="98">
        <f t="shared" si="7"/>
        <v>0.55555555555555558</v>
      </c>
      <c r="D18" s="101" t="s">
        <v>139</v>
      </c>
      <c r="E18" s="102">
        <f>54400+120400</f>
        <v>174800</v>
      </c>
      <c r="F18" s="102">
        <v>52</v>
      </c>
      <c r="G18" s="105" t="s">
        <v>135</v>
      </c>
      <c r="H18" s="99">
        <f t="shared" si="8"/>
        <v>3190680</v>
      </c>
      <c r="I18" s="103">
        <f>E18/F18</f>
        <v>3361.5384615384614</v>
      </c>
      <c r="J18" s="103">
        <f>I18*C18</f>
        <v>1867.5213675213674</v>
      </c>
      <c r="K18" s="96">
        <f t="shared" si="9"/>
        <v>5.478456003109055E-2</v>
      </c>
      <c r="L18" s="104">
        <f t="shared" si="0"/>
        <v>0</v>
      </c>
      <c r="M18" s="91"/>
      <c r="N18" s="107">
        <f t="shared" si="1"/>
        <v>3.0435866683939196E-2</v>
      </c>
      <c r="O18" s="107">
        <f t="shared" si="10"/>
        <v>0</v>
      </c>
      <c r="Q18" s="2" t="s">
        <v>140</v>
      </c>
      <c r="R18" s="1" t="s">
        <v>84</v>
      </c>
      <c r="S18" s="95">
        <f t="shared" si="2"/>
        <v>4.646005228228044E-3</v>
      </c>
      <c r="T18" s="96">
        <f t="shared" si="2"/>
        <v>2.3815980076639289E-4</v>
      </c>
      <c r="V18" s="1" t="s">
        <v>85</v>
      </c>
      <c r="W18" s="111">
        <f ca="1">HLOOKUP($V18,'3b. Analysis'!$C$11:$L$17,7,0)</f>
        <v>2.3863636363636362</v>
      </c>
      <c r="X18" s="110">
        <f>IFERROR(HLOOKUP($V18,'3b. Analysis'!$C$32:$L$40,7,0)/100,0)</f>
        <v>0</v>
      </c>
      <c r="Y18" s="96">
        <f t="shared" si="3"/>
        <v>6.9451682528349296E-2</v>
      </c>
      <c r="Z18" s="96">
        <f t="shared" si="4"/>
        <v>0</v>
      </c>
      <c r="AA18" s="112">
        <f t="shared" ca="1" si="11"/>
        <v>2.9103562202355895E-2</v>
      </c>
      <c r="AB18" s="189" t="s">
        <v>135</v>
      </c>
      <c r="AC18" s="190">
        <f ca="1">AVERAGE(AA18:AB18)</f>
        <v>2.9103562202355895E-2</v>
      </c>
      <c r="AD18" s="109">
        <f t="shared" ca="1" si="5"/>
        <v>6.9451682528349296E-2</v>
      </c>
    </row>
    <row r="19" spans="2:30" x14ac:dyDescent="0.25">
      <c r="B19" s="101" t="str">
        <f t="shared" ref="B19:B21" si="12">$B$7</f>
        <v>2020 Com ED</v>
      </c>
      <c r="C19" s="98">
        <f t="shared" si="7"/>
        <v>0.55555555555555558</v>
      </c>
      <c r="D19" s="101" t="s">
        <v>140</v>
      </c>
      <c r="E19" s="102">
        <v>26000</v>
      </c>
      <c r="F19" s="102">
        <v>0</v>
      </c>
      <c r="G19" s="105" t="s">
        <v>135</v>
      </c>
      <c r="H19" s="99">
        <f t="shared" si="8"/>
        <v>3190680</v>
      </c>
      <c r="I19" s="108"/>
      <c r="J19" s="108"/>
      <c r="K19" s="96">
        <f t="shared" si="9"/>
        <v>8.148733185402485E-3</v>
      </c>
      <c r="L19" s="104">
        <f t="shared" si="0"/>
        <v>0</v>
      </c>
      <c r="M19" s="91"/>
      <c r="N19" s="107">
        <f t="shared" si="1"/>
        <v>4.52707399189027E-3</v>
      </c>
      <c r="O19" s="107">
        <f t="shared" si="10"/>
        <v>0</v>
      </c>
      <c r="Q19" s="2" t="s">
        <v>83</v>
      </c>
      <c r="R19" s="1" t="s">
        <v>83</v>
      </c>
      <c r="S19" s="95">
        <f t="shared" si="2"/>
        <v>6.92330848926936E-2</v>
      </c>
      <c r="T19" s="96">
        <f t="shared" si="2"/>
        <v>0</v>
      </c>
      <c r="V19" s="1" t="s">
        <v>86</v>
      </c>
      <c r="W19" s="111">
        <f ca="1">HLOOKUP($V19,'3b. Analysis'!$C$11:$L$17,7,0)</f>
        <v>0.44444444444444448</v>
      </c>
      <c r="X19" s="110">
        <f ca="1">IFERROR(HLOOKUP($V19,'3b. Analysis'!$C$32:$L$40,7,0)/100,0)</f>
        <v>9.7264051094890516E-2</v>
      </c>
      <c r="Y19" s="96">
        <f t="shared" si="3"/>
        <v>0</v>
      </c>
      <c r="Z19" s="96">
        <f t="shared" si="4"/>
        <v>0</v>
      </c>
      <c r="AA19" s="112">
        <f t="shared" ca="1" si="11"/>
        <v>0</v>
      </c>
      <c r="AB19" s="112">
        <f ca="1">Z19/X19</f>
        <v>0</v>
      </c>
      <c r="AC19" s="8">
        <f ca="1">SUM(Z14:Z23)/SUM(X14:X23)</f>
        <v>1.5278312725133579E-2</v>
      </c>
      <c r="AD19" s="109">
        <f t="shared" ca="1" si="5"/>
        <v>6.7903612111704795E-3</v>
      </c>
    </row>
    <row r="20" spans="2:30" x14ac:dyDescent="0.25">
      <c r="B20" s="101" t="str">
        <f t="shared" si="12"/>
        <v>2020 Com ED</v>
      </c>
      <c r="C20" s="98">
        <f t="shared" si="7"/>
        <v>0.55555555555555558</v>
      </c>
      <c r="D20" s="101" t="s">
        <v>83</v>
      </c>
      <c r="E20" s="102">
        <v>19600</v>
      </c>
      <c r="F20" s="102">
        <v>0</v>
      </c>
      <c r="G20" s="105" t="s">
        <v>135</v>
      </c>
      <c r="H20" s="99">
        <f t="shared" si="8"/>
        <v>3190680</v>
      </c>
      <c r="I20" s="108"/>
      <c r="J20" s="108"/>
      <c r="K20" s="96">
        <f t="shared" si="9"/>
        <v>6.1428911705341807E-3</v>
      </c>
      <c r="L20" s="104">
        <f t="shared" si="0"/>
        <v>0</v>
      </c>
      <c r="M20" s="91"/>
      <c r="N20" s="107">
        <f t="shared" si="1"/>
        <v>3.4127173169634338E-3</v>
      </c>
      <c r="O20" s="107">
        <f t="shared" si="10"/>
        <v>0</v>
      </c>
      <c r="Q20" s="2" t="s">
        <v>89</v>
      </c>
      <c r="R20" s="1" t="s">
        <v>89</v>
      </c>
      <c r="S20" s="95">
        <f t="shared" si="2"/>
        <v>2.1538425107570244E-2</v>
      </c>
      <c r="T20" s="96">
        <f t="shared" si="2"/>
        <v>0</v>
      </c>
      <c r="V20" s="1" t="s">
        <v>51</v>
      </c>
      <c r="W20" s="111">
        <f ca="1">HLOOKUP($V20,'3b. Analysis'!$C$11:$L$17,7,0)</f>
        <v>0.91428571428571448</v>
      </c>
      <c r="X20" s="110">
        <f>IFERROR(HLOOKUP($V20,'3b. Analysis'!$C$32:$L$40,7,0)/100,0)</f>
        <v>0</v>
      </c>
      <c r="Y20" s="96">
        <f t="shared" si="3"/>
        <v>1.4403060023429351E-2</v>
      </c>
      <c r="Z20" s="96">
        <f t="shared" si="4"/>
        <v>0</v>
      </c>
      <c r="AA20" s="112">
        <f t="shared" ca="1" si="11"/>
        <v>1.575334690062585E-2</v>
      </c>
      <c r="AB20" s="189" t="s">
        <v>135</v>
      </c>
      <c r="AC20" s="190">
        <f ca="1">AVERAGE(AA20:AB20)</f>
        <v>1.575334690062585E-2</v>
      </c>
      <c r="AD20" s="109">
        <f t="shared" ca="1" si="5"/>
        <v>1.4403060023429351E-2</v>
      </c>
    </row>
    <row r="21" spans="2:30" x14ac:dyDescent="0.25">
      <c r="B21" s="101" t="str">
        <f t="shared" si="12"/>
        <v>2020 Com ED</v>
      </c>
      <c r="C21" s="98">
        <f t="shared" si="7"/>
        <v>0.55555555555555558</v>
      </c>
      <c r="D21" s="101" t="s">
        <v>89</v>
      </c>
      <c r="E21" s="102">
        <v>123700</v>
      </c>
      <c r="F21" s="102">
        <v>0</v>
      </c>
      <c r="G21" s="105" t="s">
        <v>135</v>
      </c>
      <c r="H21" s="99">
        <f t="shared" si="8"/>
        <v>3190680</v>
      </c>
      <c r="I21" s="108"/>
      <c r="J21" s="108"/>
      <c r="K21" s="96">
        <f t="shared" si="9"/>
        <v>3.8769165193626436E-2</v>
      </c>
      <c r="L21" s="104">
        <f t="shared" si="0"/>
        <v>0</v>
      </c>
      <c r="M21" s="91"/>
      <c r="N21" s="107">
        <f t="shared" si="1"/>
        <v>2.1538425107570244E-2</v>
      </c>
      <c r="O21" s="107">
        <f t="shared" si="10"/>
        <v>0</v>
      </c>
      <c r="Q21" s="2" t="s">
        <v>38</v>
      </c>
      <c r="R21" s="1" t="s">
        <v>38</v>
      </c>
      <c r="S21" s="95">
        <f t="shared" si="2"/>
        <v>0</v>
      </c>
      <c r="T21" s="96">
        <f t="shared" si="2"/>
        <v>2.8683659205575394E-3</v>
      </c>
      <c r="V21" s="1" t="s">
        <v>87</v>
      </c>
      <c r="W21" s="111">
        <f ca="1">HLOOKUP($V21,'3b. Analysis'!$C$11:$L$17,7,0)</f>
        <v>0.1</v>
      </c>
      <c r="X21" s="110">
        <f>IFERROR(HLOOKUP($V21,'3b. Analysis'!$C$32:$L$40,7,0)/100,0)</f>
        <v>0</v>
      </c>
      <c r="Y21" s="96">
        <f t="shared" si="3"/>
        <v>0</v>
      </c>
      <c r="Z21" s="96">
        <f t="shared" si="4"/>
        <v>0</v>
      </c>
      <c r="AA21" s="112">
        <f t="shared" ca="1" si="11"/>
        <v>0</v>
      </c>
      <c r="AB21" s="189" t="s">
        <v>135</v>
      </c>
      <c r="AC21" s="190">
        <f ca="1">AVERAGE(AA21:AB21)</f>
        <v>0</v>
      </c>
      <c r="AD21" s="109">
        <f t="shared" ca="1" si="5"/>
        <v>0</v>
      </c>
    </row>
    <row r="22" spans="2:30" x14ac:dyDescent="0.25">
      <c r="B22" s="101" t="str">
        <f>$B$8</f>
        <v>2020 Ameren</v>
      </c>
      <c r="C22" s="98">
        <f t="shared" si="7"/>
        <v>0.16666666666666666</v>
      </c>
      <c r="D22" s="101" t="s">
        <v>83</v>
      </c>
      <c r="E22" s="102">
        <v>165000</v>
      </c>
      <c r="F22" s="102">
        <v>0</v>
      </c>
      <c r="G22" s="100"/>
      <c r="H22" s="99">
        <f t="shared" si="8"/>
        <v>420411</v>
      </c>
      <c r="I22" s="108"/>
      <c r="J22" s="108"/>
      <c r="K22" s="96">
        <f t="shared" si="9"/>
        <v>0.39247307991465497</v>
      </c>
      <c r="L22" s="104">
        <f>IF(G22="NA",0,G22/H22)</f>
        <v>0</v>
      </c>
      <c r="M22" s="91"/>
      <c r="N22" s="107">
        <f t="shared" si="1"/>
        <v>6.5412179985775823E-2</v>
      </c>
      <c r="O22" s="107">
        <f t="shared" si="10"/>
        <v>0</v>
      </c>
      <c r="Q22" s="403" t="s">
        <v>136</v>
      </c>
      <c r="R22" s="404"/>
      <c r="S22" s="404"/>
      <c r="T22" s="405"/>
      <c r="V22" s="1" t="s">
        <v>88</v>
      </c>
      <c r="W22" s="111">
        <f ca="1">HLOOKUP($V22,'3b. Analysis'!$C$11:$L$17,7,0)</f>
        <v>1.5111111111111111</v>
      </c>
      <c r="X22" s="110">
        <f>IFERROR(HLOOKUP($V22,'3b. Analysis'!$C$32:$L$40,7,0)/100,0)</f>
        <v>0</v>
      </c>
      <c r="Y22" s="96">
        <f t="shared" si="3"/>
        <v>0</v>
      </c>
      <c r="Z22" s="96">
        <f t="shared" si="4"/>
        <v>0</v>
      </c>
      <c r="AA22" s="112">
        <f t="shared" ca="1" si="11"/>
        <v>0</v>
      </c>
      <c r="AB22" s="189" t="s">
        <v>135</v>
      </c>
      <c r="AC22" s="8">
        <v>0</v>
      </c>
      <c r="AD22" s="109">
        <f t="shared" ca="1" si="5"/>
        <v>0</v>
      </c>
    </row>
    <row r="23" spans="2:30" x14ac:dyDescent="0.25">
      <c r="B23" s="101" t="str">
        <f t="shared" ref="B23:B26" si="13">$B$8</f>
        <v>2020 Ameren</v>
      </c>
      <c r="C23" s="98">
        <f t="shared" si="7"/>
        <v>0.16666666666666666</v>
      </c>
      <c r="D23" s="101" t="s">
        <v>85</v>
      </c>
      <c r="E23" s="102">
        <f>8300+4200+1200</f>
        <v>13700</v>
      </c>
      <c r="F23" s="102">
        <f>1.1+0.8+0.1</f>
        <v>2</v>
      </c>
      <c r="G23" s="100"/>
      <c r="H23" s="99">
        <f t="shared" si="8"/>
        <v>420411</v>
      </c>
      <c r="I23" s="108"/>
      <c r="J23" s="108"/>
      <c r="K23" s="96">
        <f t="shared" si="9"/>
        <v>3.258715875655014E-2</v>
      </c>
      <c r="L23" s="104">
        <f t="shared" ref="L23:L32" si="14">IF(G23="NA",0,G23/H23)</f>
        <v>0</v>
      </c>
      <c r="M23" s="91"/>
      <c r="N23" s="107">
        <f t="shared" si="1"/>
        <v>5.43119312609169E-3</v>
      </c>
      <c r="O23" s="107">
        <f t="shared" si="10"/>
        <v>0</v>
      </c>
      <c r="Q23" s="2" t="s">
        <v>136</v>
      </c>
      <c r="R23" s="1" t="s">
        <v>136</v>
      </c>
      <c r="S23" s="95">
        <f>SUMIFS(N:N,$D:$D,$Q23)</f>
        <v>7.2015300117146755E-2</v>
      </c>
      <c r="T23" s="96">
        <f>SUMIFS(O:O,$D:$D,$Q23)</f>
        <v>0</v>
      </c>
      <c r="V23" s="1" t="s">
        <v>89</v>
      </c>
      <c r="W23" s="111">
        <f ca="1">HLOOKUP($V23,'3b. Analysis'!$C$11:$L$17,7,0)</f>
        <v>3.546666666666666</v>
      </c>
      <c r="X23" s="110">
        <f ca="1">IFERROR(HLOOKUP($V23,'3b. Analysis'!$C$32:$L$40,7,0)/100,0)</f>
        <v>5.4736409090909079E-2</v>
      </c>
      <c r="Y23" s="96">
        <f t="shared" si="3"/>
        <v>9.0321700139892325E-2</v>
      </c>
      <c r="Z23" s="96">
        <f t="shared" si="4"/>
        <v>5.0672407416931797E-3</v>
      </c>
      <c r="AA23" s="112">
        <f t="shared" ca="1" si="11"/>
        <v>2.5466644776285435E-2</v>
      </c>
      <c r="AB23" s="189" t="s">
        <v>135</v>
      </c>
      <c r="AC23" s="190">
        <v>0.01</v>
      </c>
      <c r="AD23" s="109">
        <f t="shared" ca="1" si="5"/>
        <v>3.546666666666666E-2</v>
      </c>
    </row>
    <row r="24" spans="2:30" x14ac:dyDescent="0.25">
      <c r="B24" s="101" t="str">
        <f t="shared" si="13"/>
        <v>2020 Ameren</v>
      </c>
      <c r="C24" s="98">
        <f t="shared" si="7"/>
        <v>0.16666666666666666</v>
      </c>
      <c r="D24" s="101" t="s">
        <v>139</v>
      </c>
      <c r="E24" s="102">
        <f>1000</f>
        <v>1000</v>
      </c>
      <c r="F24" s="102">
        <f>0.5</f>
        <v>0.5</v>
      </c>
      <c r="G24" s="100"/>
      <c r="H24" s="99">
        <f t="shared" si="8"/>
        <v>420411</v>
      </c>
      <c r="I24" s="103">
        <f>E24/F24</f>
        <v>2000</v>
      </c>
      <c r="J24" s="103">
        <f>I24*C24</f>
        <v>333.33333333333331</v>
      </c>
      <c r="K24" s="96">
        <f t="shared" si="9"/>
        <v>2.3786247267554845E-3</v>
      </c>
      <c r="L24" s="104">
        <f t="shared" si="14"/>
        <v>0</v>
      </c>
      <c r="M24" s="91"/>
      <c r="N24" s="107">
        <f t="shared" si="1"/>
        <v>3.9643745445924739E-4</v>
      </c>
      <c r="O24" s="107">
        <f t="shared" si="10"/>
        <v>0</v>
      </c>
      <c r="Q24" s="53">
        <v>0.4</v>
      </c>
      <c r="R24" s="1" t="s">
        <v>83</v>
      </c>
      <c r="S24" s="95">
        <f t="shared" ref="S24:T27" si="15">S$23*$Q24</f>
        <v>2.8806120046858702E-2</v>
      </c>
      <c r="T24" s="96">
        <f t="shared" si="15"/>
        <v>0</v>
      </c>
      <c r="Y24" s="93"/>
      <c r="Z24" s="93"/>
    </row>
    <row r="25" spans="2:30" x14ac:dyDescent="0.25">
      <c r="B25" s="101" t="str">
        <f t="shared" si="13"/>
        <v>2020 Ameren</v>
      </c>
      <c r="C25" s="98">
        <f t="shared" si="7"/>
        <v>0.16666666666666666</v>
      </c>
      <c r="D25" s="101" t="s">
        <v>38</v>
      </c>
      <c r="E25" s="102">
        <v>0</v>
      </c>
      <c r="F25" s="102">
        <v>0</v>
      </c>
      <c r="G25" s="100">
        <v>2693</v>
      </c>
      <c r="H25" s="99">
        <f t="shared" si="8"/>
        <v>420411</v>
      </c>
      <c r="I25" s="108"/>
      <c r="J25" s="108"/>
      <c r="K25" s="96">
        <f t="shared" si="9"/>
        <v>0</v>
      </c>
      <c r="L25" s="104">
        <f t="shared" si="14"/>
        <v>6.4056363891525194E-3</v>
      </c>
      <c r="M25" s="91"/>
      <c r="N25" s="107">
        <f t="shared" si="1"/>
        <v>0</v>
      </c>
      <c r="O25" s="107">
        <f t="shared" si="10"/>
        <v>2.4021136459321944E-3</v>
      </c>
      <c r="Q25" s="53">
        <v>0.3</v>
      </c>
      <c r="R25" s="1" t="s">
        <v>34</v>
      </c>
      <c r="S25" s="95">
        <f t="shared" si="15"/>
        <v>2.1604590035144026E-2</v>
      </c>
      <c r="T25" s="96">
        <f t="shared" si="15"/>
        <v>0</v>
      </c>
    </row>
    <row r="26" spans="2:30" x14ac:dyDescent="0.25">
      <c r="B26" s="101" t="str">
        <f t="shared" si="13"/>
        <v>2020 Ameren</v>
      </c>
      <c r="C26" s="98">
        <f t="shared" si="7"/>
        <v>0.16666666666666666</v>
      </c>
      <c r="D26" s="101" t="s">
        <v>140</v>
      </c>
      <c r="E26" s="102">
        <v>300</v>
      </c>
      <c r="F26" s="102">
        <v>0</v>
      </c>
      <c r="G26" s="100">
        <v>267</v>
      </c>
      <c r="H26" s="99">
        <f t="shared" si="8"/>
        <v>420411</v>
      </c>
      <c r="I26" s="108"/>
      <c r="J26" s="108"/>
      <c r="K26" s="96">
        <f t="shared" si="9"/>
        <v>7.1358741802664532E-4</v>
      </c>
      <c r="L26" s="104">
        <f t="shared" si="14"/>
        <v>6.350928020437144E-4</v>
      </c>
      <c r="M26" s="91"/>
      <c r="N26" s="107">
        <f t="shared" si="1"/>
        <v>1.1893123633777421E-4</v>
      </c>
      <c r="O26" s="107">
        <f t="shared" si="10"/>
        <v>2.3815980076639289E-4</v>
      </c>
      <c r="Q26" s="53">
        <v>0.1</v>
      </c>
      <c r="R26" s="1" t="s">
        <v>85</v>
      </c>
      <c r="S26" s="95">
        <f t="shared" si="15"/>
        <v>7.2015300117146755E-3</v>
      </c>
      <c r="T26" s="96">
        <f t="shared" si="15"/>
        <v>0</v>
      </c>
    </row>
    <row r="27" spans="2:30" x14ac:dyDescent="0.25">
      <c r="B27" s="101" t="str">
        <f>$B$9</f>
        <v>2019 Ameren</v>
      </c>
      <c r="C27" s="98">
        <f t="shared" si="7"/>
        <v>0.27777777777777779</v>
      </c>
      <c r="D27" s="101" t="s">
        <v>85</v>
      </c>
      <c r="E27" s="102">
        <f>128000</f>
        <v>128000</v>
      </c>
      <c r="F27" s="102">
        <v>35</v>
      </c>
      <c r="G27" s="100"/>
      <c r="H27" s="99">
        <f t="shared" si="8"/>
        <v>2041545</v>
      </c>
      <c r="I27" s="108"/>
      <c r="J27" s="108"/>
      <c r="K27" s="96">
        <f t="shared" si="9"/>
        <v>6.2697613816986644E-2</v>
      </c>
      <c r="L27" s="104">
        <f t="shared" si="14"/>
        <v>0</v>
      </c>
      <c r="M27" s="89"/>
      <c r="N27" s="107">
        <f t="shared" si="1"/>
        <v>1.7416003838051846E-2</v>
      </c>
      <c r="O27" s="107">
        <f t="shared" si="10"/>
        <v>0</v>
      </c>
      <c r="Q27" s="53">
        <v>0.2</v>
      </c>
      <c r="R27" s="1" t="s">
        <v>51</v>
      </c>
      <c r="S27" s="95">
        <f t="shared" si="15"/>
        <v>1.4403060023429351E-2</v>
      </c>
      <c r="T27" s="96">
        <f t="shared" si="15"/>
        <v>0</v>
      </c>
    </row>
    <row r="28" spans="2:30" x14ac:dyDescent="0.25">
      <c r="B28" s="101" t="str">
        <f t="shared" ref="B28:B32" si="16">$B$9</f>
        <v>2019 Ameren</v>
      </c>
      <c r="C28" s="98">
        <f t="shared" si="7"/>
        <v>0.27777777777777779</v>
      </c>
      <c r="D28" s="101" t="s">
        <v>139</v>
      </c>
      <c r="E28" s="102">
        <f>109000+9000+4000+1000</f>
        <v>123000</v>
      </c>
      <c r="F28" s="102">
        <f>21+6+2</f>
        <v>29</v>
      </c>
      <c r="G28" s="100"/>
      <c r="H28" s="99">
        <f t="shared" si="8"/>
        <v>2041545</v>
      </c>
      <c r="I28" s="103">
        <f>E28/F28</f>
        <v>4241.3793103448279</v>
      </c>
      <c r="J28" s="103">
        <f>I28*C28</f>
        <v>1178.16091954023</v>
      </c>
      <c r="K28" s="96">
        <f t="shared" si="9"/>
        <v>6.0248488277260606E-2</v>
      </c>
      <c r="L28" s="104">
        <f t="shared" si="14"/>
        <v>0</v>
      </c>
      <c r="M28" s="89"/>
      <c r="N28" s="107">
        <f t="shared" si="1"/>
        <v>1.6735691188127948E-2</v>
      </c>
      <c r="O28" s="107">
        <f t="shared" si="10"/>
        <v>0</v>
      </c>
    </row>
    <row r="29" spans="2:30" x14ac:dyDescent="0.25">
      <c r="B29" s="101" t="str">
        <f t="shared" si="16"/>
        <v>2019 Ameren</v>
      </c>
      <c r="C29" s="98">
        <f t="shared" si="7"/>
        <v>0.27777777777777779</v>
      </c>
      <c r="D29" s="101" t="s">
        <v>83</v>
      </c>
      <c r="E29" s="102">
        <f>3000</f>
        <v>3000</v>
      </c>
      <c r="F29" s="102">
        <v>0</v>
      </c>
      <c r="G29" s="100"/>
      <c r="H29" s="99">
        <f t="shared" si="8"/>
        <v>2041545</v>
      </c>
      <c r="I29" s="108"/>
      <c r="J29" s="108"/>
      <c r="K29" s="96">
        <f t="shared" si="9"/>
        <v>1.4694753238356246E-3</v>
      </c>
      <c r="L29" s="104">
        <f t="shared" si="14"/>
        <v>0</v>
      </c>
      <c r="M29" s="89"/>
      <c r="N29" s="107">
        <f t="shared" si="1"/>
        <v>4.0818758995434017E-4</v>
      </c>
      <c r="O29" s="107">
        <f t="shared" si="10"/>
        <v>0</v>
      </c>
    </row>
    <row r="30" spans="2:30" x14ac:dyDescent="0.25">
      <c r="B30" s="101" t="str">
        <f t="shared" si="16"/>
        <v>2019 Ameren</v>
      </c>
      <c r="C30" s="98">
        <f t="shared" si="7"/>
        <v>0.27777777777777779</v>
      </c>
      <c r="D30" s="101" t="s">
        <v>137</v>
      </c>
      <c r="E30" s="102">
        <f>3000</f>
        <v>3000</v>
      </c>
      <c r="F30" s="102">
        <v>0</v>
      </c>
      <c r="G30" s="100"/>
      <c r="H30" s="99">
        <f t="shared" si="8"/>
        <v>2041545</v>
      </c>
      <c r="I30" s="108"/>
      <c r="J30" s="108"/>
      <c r="K30" s="96">
        <f t="shared" si="9"/>
        <v>1.4694753238356246E-3</v>
      </c>
      <c r="L30" s="104">
        <f t="shared" si="14"/>
        <v>0</v>
      </c>
      <c r="M30" s="89"/>
      <c r="N30" s="107">
        <f t="shared" si="1"/>
        <v>4.0818758995434017E-4</v>
      </c>
      <c r="O30" s="107">
        <f t="shared" si="10"/>
        <v>0</v>
      </c>
    </row>
    <row r="31" spans="2:30" x14ac:dyDescent="0.25">
      <c r="B31" s="101" t="str">
        <f t="shared" si="16"/>
        <v>2019 Ameren</v>
      </c>
      <c r="C31" s="98">
        <f t="shared" si="7"/>
        <v>0.27777777777777779</v>
      </c>
      <c r="D31" s="101" t="s">
        <v>137</v>
      </c>
      <c r="E31" s="102">
        <f>65000</f>
        <v>65000</v>
      </c>
      <c r="F31" s="102">
        <v>0</v>
      </c>
      <c r="G31" s="100">
        <f>16219+333</f>
        <v>16552</v>
      </c>
      <c r="H31" s="99">
        <f t="shared" si="8"/>
        <v>2041545</v>
      </c>
      <c r="I31" s="108"/>
      <c r="J31" s="108"/>
      <c r="K31" s="96">
        <f t="shared" si="9"/>
        <v>3.183863201643853E-2</v>
      </c>
      <c r="L31" s="104">
        <f t="shared" si="14"/>
        <v>8.1075851867090862E-3</v>
      </c>
      <c r="M31" s="89"/>
      <c r="N31" s="107">
        <f t="shared" si="1"/>
        <v>8.8440644490107023E-3</v>
      </c>
      <c r="O31" s="107">
        <f t="shared" si="10"/>
        <v>5.0672407416931797E-3</v>
      </c>
    </row>
    <row r="32" spans="2:30" x14ac:dyDescent="0.25">
      <c r="B32" s="101" t="str">
        <f t="shared" si="16"/>
        <v>2019 Ameren</v>
      </c>
      <c r="C32" s="98">
        <f t="shared" si="7"/>
        <v>0.27777777777777779</v>
      </c>
      <c r="D32" s="101" t="s">
        <v>38</v>
      </c>
      <c r="E32" s="102">
        <v>0</v>
      </c>
      <c r="F32" s="102">
        <v>0</v>
      </c>
      <c r="G32" s="100">
        <v>1523</v>
      </c>
      <c r="H32" s="99">
        <f t="shared" si="8"/>
        <v>2041545</v>
      </c>
      <c r="I32" s="108"/>
      <c r="J32" s="108"/>
      <c r="K32" s="96">
        <f t="shared" si="9"/>
        <v>0</v>
      </c>
      <c r="L32" s="104">
        <f t="shared" si="14"/>
        <v>7.46003639400552E-4</v>
      </c>
      <c r="M32" s="89"/>
      <c r="N32" s="107">
        <f t="shared" si="1"/>
        <v>0</v>
      </c>
      <c r="O32" s="107">
        <f t="shared" si="10"/>
        <v>4.6625227462534499E-4</v>
      </c>
    </row>
    <row r="33" spans="7:15" x14ac:dyDescent="0.25">
      <c r="J33" s="90"/>
      <c r="M33" s="91"/>
      <c r="N33" s="88"/>
      <c r="O33" s="88"/>
    </row>
    <row r="34" spans="7:15" x14ac:dyDescent="0.25">
      <c r="G34" s="83"/>
      <c r="H34" s="90"/>
      <c r="I34" s="90"/>
      <c r="J34" s="90"/>
      <c r="K34" s="88"/>
      <c r="M34" s="91"/>
    </row>
    <row r="45" spans="7:15" x14ac:dyDescent="0.25">
      <c r="M45" s="88"/>
      <c r="N45" s="88"/>
      <c r="O45" s="88"/>
    </row>
  </sheetData>
  <mergeCells count="2">
    <mergeCell ref="Q22:T22"/>
    <mergeCell ref="B12:G12"/>
  </mergeCells>
  <pageMargins left="0.7" right="0.7" top="0.75" bottom="0.75" header="0.3" footer="0.3"/>
  <pageSetup orientation="portrait" horizontalDpi="0" verticalDpi="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9B742-ECDE-4097-B6DC-7009E48C310F}">
  <sheetPr codeName="Sheet2">
    <tabColor rgb="FF7030A0"/>
  </sheetPr>
  <dimension ref="A2:AX390"/>
  <sheetViews>
    <sheetView zoomScale="90" zoomScaleNormal="90" workbookViewId="0">
      <selection activeCell="A2" sqref="A2:XFD3"/>
    </sheetView>
  </sheetViews>
  <sheetFormatPr defaultColWidth="8.85546875" defaultRowHeight="15" x14ac:dyDescent="0.25"/>
  <cols>
    <col min="1" max="1" width="2.7109375" style="28" customWidth="1"/>
    <col min="2" max="2" width="43.85546875" style="28" customWidth="1"/>
    <col min="3" max="14" width="14" style="28" customWidth="1"/>
    <col min="15" max="15" width="27.7109375" style="28" customWidth="1"/>
    <col min="16" max="22" width="8.85546875" style="28" customWidth="1"/>
    <col min="23" max="23" width="8.85546875" style="28"/>
    <col min="24" max="28" width="8.85546875" style="28" customWidth="1"/>
    <col min="29" max="16384" width="8.85546875" style="28"/>
  </cols>
  <sheetData>
    <row r="2" spans="1:50" s="21" customFormat="1" ht="22.5" x14ac:dyDescent="0.35">
      <c r="A2" s="17"/>
      <c r="B2" s="18" t="str">
        <f>Lookups!B2</f>
        <v>Ph V TRM Appendix F: Building Operator Certification Audit and Design Tool</v>
      </c>
      <c r="O2" s="19"/>
      <c r="P2" s="19"/>
      <c r="Q2" s="19"/>
      <c r="R2" s="19"/>
      <c r="S2" s="19"/>
      <c r="T2" s="19"/>
      <c r="U2" s="19"/>
      <c r="V2" s="19"/>
      <c r="W2" s="19"/>
      <c r="X2" s="19"/>
      <c r="Y2" s="19"/>
      <c r="Z2" s="19"/>
      <c r="AA2" s="19"/>
      <c r="AB2" s="19"/>
      <c r="AC2" s="19"/>
      <c r="AD2" s="19"/>
      <c r="AE2" s="19"/>
      <c r="AF2" s="20"/>
      <c r="AG2" s="20"/>
      <c r="AH2" s="20"/>
    </row>
    <row r="3" spans="1:50" s="25" customFormat="1" ht="17.25" x14ac:dyDescent="0.25">
      <c r="A3" s="22"/>
      <c r="B3" s="23" t="s">
        <v>141</v>
      </c>
      <c r="AL3" s="24"/>
      <c r="AM3" s="24"/>
      <c r="AN3" s="24"/>
      <c r="AO3" s="24"/>
      <c r="AP3" s="24"/>
      <c r="AQ3" s="24"/>
      <c r="AR3" s="24"/>
      <c r="AS3" s="24"/>
      <c r="AT3" s="24"/>
      <c r="AU3" s="24"/>
      <c r="AV3" s="24"/>
      <c r="AW3" s="24"/>
      <c r="AX3" s="24"/>
    </row>
    <row r="4" spans="1:50" x14ac:dyDescent="0.25">
      <c r="Q4" s="84"/>
    </row>
    <row r="5" spans="1:50" x14ac:dyDescent="0.25">
      <c r="Q5" s="48"/>
    </row>
    <row r="6" spans="1:50" ht="26.25" x14ac:dyDescent="0.4">
      <c r="B6" s="244" t="s">
        <v>142</v>
      </c>
      <c r="C6" s="245"/>
      <c r="D6" s="245"/>
      <c r="E6" s="245"/>
      <c r="F6" s="245"/>
      <c r="G6" s="245"/>
      <c r="H6" s="245"/>
      <c r="I6" s="245"/>
      <c r="J6" s="245"/>
      <c r="K6" s="245"/>
      <c r="L6" s="249"/>
      <c r="M6" s="249"/>
      <c r="N6" s="249"/>
      <c r="O6" s="249"/>
      <c r="Q6" s="48"/>
    </row>
    <row r="7" spans="1:50" ht="18.75" x14ac:dyDescent="0.3">
      <c r="L7" s="248"/>
      <c r="M7" s="248"/>
      <c r="N7" s="248"/>
      <c r="O7" s="248"/>
      <c r="Q7" s="48"/>
    </row>
    <row r="8" spans="1:50" x14ac:dyDescent="0.25">
      <c r="B8" s="409" t="s">
        <v>143</v>
      </c>
      <c r="C8" s="410"/>
      <c r="D8" s="410"/>
      <c r="E8" s="410"/>
      <c r="F8" s="410"/>
      <c r="G8" s="410"/>
      <c r="H8" s="410"/>
      <c r="I8" s="410"/>
      <c r="J8" s="410"/>
      <c r="K8" s="410"/>
      <c r="L8" s="411"/>
      <c r="Q8" s="48"/>
    </row>
    <row r="9" spans="1:50" x14ac:dyDescent="0.25">
      <c r="B9" s="412"/>
      <c r="C9" s="413"/>
      <c r="D9" s="413"/>
      <c r="E9" s="413"/>
      <c r="F9" s="413"/>
      <c r="G9" s="413"/>
      <c r="H9" s="413"/>
      <c r="I9" s="413"/>
      <c r="J9" s="413"/>
      <c r="K9" s="413"/>
      <c r="L9" s="414"/>
      <c r="Q9" s="48"/>
    </row>
    <row r="10" spans="1:50" x14ac:dyDescent="0.25">
      <c r="Q10" s="48"/>
    </row>
    <row r="11" spans="1:50" ht="30" x14ac:dyDescent="0.25">
      <c r="B11" s="41" t="s">
        <v>131</v>
      </c>
      <c r="C11" s="68" t="s">
        <v>81</v>
      </c>
      <c r="D11" s="68" t="s">
        <v>82</v>
      </c>
      <c r="E11" s="68" t="s">
        <v>83</v>
      </c>
      <c r="F11" s="68" t="s">
        <v>84</v>
      </c>
      <c r="G11" s="68" t="s">
        <v>85</v>
      </c>
      <c r="H11" s="68" t="s">
        <v>86</v>
      </c>
      <c r="I11" s="68" t="s">
        <v>51</v>
      </c>
      <c r="J11" s="68" t="s">
        <v>87</v>
      </c>
      <c r="K11" s="68" t="s">
        <v>88</v>
      </c>
      <c r="L11" s="68" t="s">
        <v>89</v>
      </c>
    </row>
    <row r="12" spans="1:50" x14ac:dyDescent="0.25">
      <c r="B12" s="7" t="str">
        <f>'CBECS Elec'!B9</f>
        <v>All buildings</v>
      </c>
      <c r="C12" s="150">
        <f t="shared" ref="C12:L14" ca="1" si="0">INDEX(CBECS_Elec_Index,MATCH($B12,CBECS_Elec_Rows,0),MATCH(C$11,CBECS_Elec_End_Uses,0))</f>
        <v>1.5</v>
      </c>
      <c r="D12" s="150">
        <f t="shared" ca="1" si="0"/>
        <v>2</v>
      </c>
      <c r="E12" s="150">
        <f t="shared" ca="1" si="0"/>
        <v>2.2999999999999998</v>
      </c>
      <c r="F12" s="150">
        <f t="shared" ca="1" si="0"/>
        <v>0.5</v>
      </c>
      <c r="G12" s="150">
        <f t="shared" ca="1" si="0"/>
        <v>2.2000000000000002</v>
      </c>
      <c r="H12" s="150">
        <f t="shared" ca="1" si="0"/>
        <v>0.9</v>
      </c>
      <c r="I12" s="150">
        <f t="shared" ca="1" si="0"/>
        <v>1.4</v>
      </c>
      <c r="J12" s="150">
        <f t="shared" ca="1" si="0"/>
        <v>0.2</v>
      </c>
      <c r="K12" s="150">
        <f t="shared" ca="1" si="0"/>
        <v>0.9</v>
      </c>
      <c r="L12" s="150">
        <f t="shared" ca="1" si="0"/>
        <v>3</v>
      </c>
    </row>
    <row r="13" spans="1:50" x14ac:dyDescent="0.25">
      <c r="B13" s="6" t="str">
        <f>'CBECS Elec'!B51</f>
        <v>Middle Atlantic</v>
      </c>
      <c r="C13" s="150">
        <f t="shared" ca="1" si="0"/>
        <v>1.7</v>
      </c>
      <c r="D13" s="150">
        <f t="shared" ca="1" si="0"/>
        <v>1.2</v>
      </c>
      <c r="E13" s="150">
        <f t="shared" ca="1" si="0"/>
        <v>2.5</v>
      </c>
      <c r="F13" s="150">
        <f t="shared" ca="1" si="0"/>
        <v>0.4</v>
      </c>
      <c r="G13" s="150">
        <f t="shared" ca="1" si="0"/>
        <v>2.4</v>
      </c>
      <c r="H13" s="150">
        <f t="shared" ca="1" si="0"/>
        <v>0.6</v>
      </c>
      <c r="I13" s="150">
        <f t="shared" ca="1" si="0"/>
        <v>1</v>
      </c>
      <c r="J13" s="150">
        <f t="shared" ca="1" si="0"/>
        <v>0.2</v>
      </c>
      <c r="K13" s="150">
        <f t="shared" ca="1" si="0"/>
        <v>1.1000000000000001</v>
      </c>
      <c r="L13" s="150">
        <f t="shared" ca="1" si="0"/>
        <v>2.9</v>
      </c>
      <c r="Q13" s="48"/>
    </row>
    <row r="14" spans="1:50" x14ac:dyDescent="0.25">
      <c r="B14" s="6" t="str">
        <f>'CBECS Elec'!B53</f>
        <v>East North Central</v>
      </c>
      <c r="C14" s="150">
        <f t="shared" ca="1" si="0"/>
        <v>2.2000000000000002</v>
      </c>
      <c r="D14" s="150">
        <f t="shared" ca="1" si="0"/>
        <v>1.4</v>
      </c>
      <c r="E14" s="150">
        <f t="shared" ca="1" si="0"/>
        <v>2.2999999999999998</v>
      </c>
      <c r="F14" s="150">
        <f t="shared" ca="1" si="0"/>
        <v>0.6</v>
      </c>
      <c r="G14" s="150">
        <f t="shared" ca="1" si="0"/>
        <v>2.1</v>
      </c>
      <c r="H14" s="150">
        <f t="shared" ca="1" si="0"/>
        <v>0.8</v>
      </c>
      <c r="I14" s="150">
        <f t="shared" ca="1" si="0"/>
        <v>1.6</v>
      </c>
      <c r="J14" s="150">
        <f t="shared" ca="1" si="0"/>
        <v>0.1</v>
      </c>
      <c r="K14" s="150">
        <f t="shared" ca="1" si="0"/>
        <v>0.8</v>
      </c>
      <c r="L14" s="150">
        <f t="shared" ca="1" si="0"/>
        <v>2.8</v>
      </c>
      <c r="Q14" s="48"/>
    </row>
    <row r="15" spans="1:50" x14ac:dyDescent="0.25">
      <c r="B15" s="70" t="s">
        <v>144</v>
      </c>
      <c r="C15" s="70">
        <f t="shared" ref="C15:L15" ca="1" si="1">C14/C12</f>
        <v>1.4666666666666668</v>
      </c>
      <c r="D15" s="70">
        <f t="shared" ca="1" si="1"/>
        <v>0.7</v>
      </c>
      <c r="E15" s="70">
        <f t="shared" ca="1" si="1"/>
        <v>1</v>
      </c>
      <c r="F15" s="70">
        <f t="shared" ca="1" si="1"/>
        <v>1.2</v>
      </c>
      <c r="G15" s="70">
        <f t="shared" ca="1" si="1"/>
        <v>0.95454545454545447</v>
      </c>
      <c r="H15" s="70">
        <f t="shared" ca="1" si="1"/>
        <v>0.88888888888888895</v>
      </c>
      <c r="I15" s="70">
        <f t="shared" ca="1" si="1"/>
        <v>1.142857142857143</v>
      </c>
      <c r="J15" s="70">
        <f t="shared" ca="1" si="1"/>
        <v>0.5</v>
      </c>
      <c r="K15" s="70">
        <f t="shared" ca="1" si="1"/>
        <v>0.88888888888888895</v>
      </c>
      <c r="L15" s="70">
        <f t="shared" ca="1" si="1"/>
        <v>0.93333333333333324</v>
      </c>
      <c r="Q15" s="48"/>
    </row>
    <row r="16" spans="1:50" x14ac:dyDescent="0.25">
      <c r="B16" s="7" t="str">
        <f>'CBECS Elec'!B17</f>
        <v xml:space="preserve">200,001 to 500,000 </v>
      </c>
      <c r="C16" s="150">
        <f t="shared" ref="C16:L16" ca="1" si="2">INDEX(CBECS_Elec_Index,MATCH($B16,CBECS_Elec_Rows,0),MATCH(C$11,CBECS_Elec_End_Uses,0))</f>
        <v>1.3</v>
      </c>
      <c r="D16" s="150">
        <f t="shared" ca="1" si="2"/>
        <v>2</v>
      </c>
      <c r="E16" s="150">
        <f t="shared" ca="1" si="2"/>
        <v>3.3</v>
      </c>
      <c r="F16" s="150">
        <f t="shared" ca="1" si="2"/>
        <v>0.4</v>
      </c>
      <c r="G16" s="150">
        <f t="shared" ca="1" si="2"/>
        <v>2.5</v>
      </c>
      <c r="H16" s="150">
        <f t="shared" ca="1" si="2"/>
        <v>0.5</v>
      </c>
      <c r="I16" s="150">
        <f t="shared" ca="1" si="2"/>
        <v>0.8</v>
      </c>
      <c r="J16" s="150">
        <f t="shared" ca="1" si="2"/>
        <v>0.2</v>
      </c>
      <c r="K16" s="150">
        <f t="shared" ca="1" si="2"/>
        <v>1.7</v>
      </c>
      <c r="L16" s="150">
        <f t="shared" ca="1" si="2"/>
        <v>3.8</v>
      </c>
      <c r="Q16" s="48"/>
    </row>
    <row r="17" spans="2:17" x14ac:dyDescent="0.25">
      <c r="B17" s="70" t="s">
        <v>145</v>
      </c>
      <c r="C17" s="70">
        <f t="shared" ref="C17:L17" ca="1" si="3">C16*C15</f>
        <v>1.906666666666667</v>
      </c>
      <c r="D17" s="70">
        <f t="shared" ca="1" si="3"/>
        <v>1.4</v>
      </c>
      <c r="E17" s="70">
        <f t="shared" ca="1" si="3"/>
        <v>3.3</v>
      </c>
      <c r="F17" s="70">
        <f t="shared" ca="1" si="3"/>
        <v>0.48</v>
      </c>
      <c r="G17" s="70">
        <f t="shared" ca="1" si="3"/>
        <v>2.3863636363636362</v>
      </c>
      <c r="H17" s="70">
        <f t="shared" ca="1" si="3"/>
        <v>0.44444444444444448</v>
      </c>
      <c r="I17" s="70">
        <f t="shared" ca="1" si="3"/>
        <v>0.91428571428571448</v>
      </c>
      <c r="J17" s="70">
        <f t="shared" ca="1" si="3"/>
        <v>0.1</v>
      </c>
      <c r="K17" s="70">
        <f t="shared" ca="1" si="3"/>
        <v>1.5111111111111111</v>
      </c>
      <c r="L17" s="70">
        <f t="shared" ca="1" si="3"/>
        <v>3.546666666666666</v>
      </c>
      <c r="Q17" s="48"/>
    </row>
    <row r="18" spans="2:17" x14ac:dyDescent="0.25">
      <c r="B18" s="70" t="s">
        <v>146</v>
      </c>
      <c r="C18" s="70">
        <f t="shared" ref="C18:L18" ca="1" si="4">C13/C12</f>
        <v>1.1333333333333333</v>
      </c>
      <c r="D18" s="70">
        <f t="shared" ca="1" si="4"/>
        <v>0.6</v>
      </c>
      <c r="E18" s="70">
        <f t="shared" ca="1" si="4"/>
        <v>1.0869565217391306</v>
      </c>
      <c r="F18" s="70">
        <f t="shared" ca="1" si="4"/>
        <v>0.8</v>
      </c>
      <c r="G18" s="70">
        <f t="shared" ca="1" si="4"/>
        <v>1.0909090909090908</v>
      </c>
      <c r="H18" s="70">
        <f t="shared" ca="1" si="4"/>
        <v>0.66666666666666663</v>
      </c>
      <c r="I18" s="70">
        <f t="shared" ca="1" si="4"/>
        <v>0.7142857142857143</v>
      </c>
      <c r="J18" s="70">
        <f t="shared" ca="1" si="4"/>
        <v>1</v>
      </c>
      <c r="K18" s="70">
        <f t="shared" ca="1" si="4"/>
        <v>1.2222222222222223</v>
      </c>
      <c r="L18" s="70">
        <f t="shared" ca="1" si="4"/>
        <v>0.96666666666666667</v>
      </c>
      <c r="Q18" s="48"/>
    </row>
    <row r="19" spans="2:17" x14ac:dyDescent="0.25">
      <c r="B19" s="71" t="s">
        <v>147</v>
      </c>
      <c r="C19" s="71">
        <f t="shared" ref="C19:L19" ca="1" si="5">C18*C16</f>
        <v>1.4733333333333334</v>
      </c>
      <c r="D19" s="71">
        <f t="shared" ca="1" si="5"/>
        <v>1.2</v>
      </c>
      <c r="E19" s="71">
        <f t="shared" ca="1" si="5"/>
        <v>3.5869565217391308</v>
      </c>
      <c r="F19" s="71">
        <f t="shared" ca="1" si="5"/>
        <v>0.32000000000000006</v>
      </c>
      <c r="G19" s="71">
        <f t="shared" ca="1" si="5"/>
        <v>2.7272727272727271</v>
      </c>
      <c r="H19" s="71">
        <f t="shared" ca="1" si="5"/>
        <v>0.33333333333333331</v>
      </c>
      <c r="I19" s="71">
        <f t="shared" ca="1" si="5"/>
        <v>0.57142857142857151</v>
      </c>
      <c r="J19" s="71">
        <f t="shared" ca="1" si="5"/>
        <v>0.2</v>
      </c>
      <c r="K19" s="71">
        <f t="shared" ca="1" si="5"/>
        <v>2.0777777777777779</v>
      </c>
      <c r="L19" s="71">
        <f t="shared" ca="1" si="5"/>
        <v>3.6733333333333333</v>
      </c>
      <c r="Q19" s="78"/>
    </row>
    <row r="20" spans="2:17" x14ac:dyDescent="0.25">
      <c r="Q20" s="48"/>
    </row>
    <row r="21" spans="2:17" x14ac:dyDescent="0.25">
      <c r="B21" s="184" t="s">
        <v>148</v>
      </c>
      <c r="C21" s="185"/>
      <c r="D21" s="227" t="str">
        <f>_xlfn.LET(_xlpm.X,'2 .Facility Charaterization'!$J$34,IF(_xlpm.X&gt;0.5,IF(_xlpm.X&lt;1,'CBECS Elec'!B215,'CBECS Elec'!B216),IF(_xlpm.X&gt;0,'CBECS Elec'!B214,'CBECS Elec'!B213)))</f>
        <v>100%</v>
      </c>
      <c r="Q21" s="48"/>
    </row>
    <row r="22" spans="2:17" x14ac:dyDescent="0.25">
      <c r="B22" s="184" t="s">
        <v>149</v>
      </c>
      <c r="C22" s="185"/>
      <c r="D22" s="149">
        <f>INDEX('CBECS Elec'!$C$213:$M$216,MATCH(D21,'CBECS Elec'!$B$213:$B$216,0),MATCH("Space cooling",CBECS_Elec_End_Uses,0))</f>
        <v>2.6</v>
      </c>
      <c r="Q22" s="48"/>
    </row>
    <row r="23" spans="2:17" x14ac:dyDescent="0.25">
      <c r="B23" s="184" t="s">
        <v>150</v>
      </c>
      <c r="C23" s="185"/>
      <c r="D23" s="149">
        <f>INDEX('CBECS Elec'!$C$213:$M$216,MATCH(D21,'CBECS Elec'!$B$213:$B$216,0),MATCH("Ventilation",CBECS_Elec_End_Uses,0))</f>
        <v>2.8</v>
      </c>
      <c r="Q23" s="48"/>
    </row>
    <row r="24" spans="2:17" x14ac:dyDescent="0.25">
      <c r="Q24" s="48"/>
    </row>
    <row r="25" spans="2:17" x14ac:dyDescent="0.25">
      <c r="B25" s="184" t="s">
        <v>151</v>
      </c>
      <c r="C25" s="185"/>
      <c r="D25" s="149">
        <f ca="1">INDEX(CBECS_Elec_Index,MATCH('2 .Facility Charaterization'!E35,CBECS_Elec_Rows,0),MATCH("Space cooling",CBECS_Elec_End_Uses,0))</f>
        <v>0.9</v>
      </c>
      <c r="Q25" s="48"/>
    </row>
    <row r="26" spans="2:17" x14ac:dyDescent="0.25">
      <c r="B26" s="184" t="s">
        <v>152</v>
      </c>
      <c r="C26" s="185"/>
      <c r="D26" s="149">
        <f ca="1">INDEX(CBECS_Elec_Index,MATCH('2 .Facility Charaterization'!E35,CBECS_Elec_Rows,0),MATCH("Ventilation",CBECS_Elec_End_Uses,0))</f>
        <v>3.6</v>
      </c>
      <c r="Q26" s="48"/>
    </row>
    <row r="27" spans="2:17" x14ac:dyDescent="0.25">
      <c r="Q27" s="48"/>
    </row>
    <row r="28" spans="2:17" x14ac:dyDescent="0.25">
      <c r="Q28" s="48"/>
    </row>
    <row r="29" spans="2:17" x14ac:dyDescent="0.25">
      <c r="B29" s="409" t="s">
        <v>153</v>
      </c>
      <c r="C29" s="410"/>
      <c r="D29" s="410"/>
      <c r="E29" s="410"/>
      <c r="F29" s="410"/>
      <c r="G29" s="410"/>
      <c r="H29" s="410"/>
      <c r="I29" s="410"/>
      <c r="J29" s="410"/>
      <c r="K29" s="410"/>
      <c r="L29" s="411"/>
      <c r="Q29" s="48"/>
    </row>
    <row r="30" spans="2:17" x14ac:dyDescent="0.25">
      <c r="B30" s="412"/>
      <c r="C30" s="413"/>
      <c r="D30" s="413"/>
      <c r="E30" s="413"/>
      <c r="F30" s="413"/>
      <c r="G30" s="413"/>
      <c r="H30" s="413"/>
      <c r="I30" s="413"/>
      <c r="J30" s="413"/>
      <c r="K30" s="413"/>
      <c r="L30" s="414"/>
      <c r="Q30" s="48"/>
    </row>
    <row r="31" spans="2:17" x14ac:dyDescent="0.25">
      <c r="Q31" s="48"/>
    </row>
    <row r="32" spans="2:17" ht="30" x14ac:dyDescent="0.25">
      <c r="B32" s="41" t="s">
        <v>131</v>
      </c>
      <c r="C32" s="68" t="str">
        <f>'CBECS Gas'!N10</f>
        <v>Space heating</v>
      </c>
      <c r="D32" s="68" t="s">
        <v>82</v>
      </c>
      <c r="E32" s="68" t="s">
        <v>83</v>
      </c>
      <c r="F32" s="68" t="s">
        <v>84</v>
      </c>
      <c r="G32" s="68" t="s">
        <v>85</v>
      </c>
      <c r="H32" s="68" t="s">
        <v>86</v>
      </c>
      <c r="I32" s="68" t="s">
        <v>51</v>
      </c>
      <c r="J32" s="68" t="s">
        <v>87</v>
      </c>
      <c r="K32" s="68" t="s">
        <v>88</v>
      </c>
      <c r="L32" s="68" t="s">
        <v>89</v>
      </c>
      <c r="Q32" s="48"/>
    </row>
    <row r="33" spans="2:17" x14ac:dyDescent="0.25">
      <c r="B33" s="161" t="s">
        <v>154</v>
      </c>
      <c r="C33" s="115" cm="1">
        <f t="array" aca="1" ref="C33" ca="1">INDEX(CBECS_Gas_Index,MATCH($B33,CBECS_Gas_Rows,0),MATCH(C$32,CBECS_Gas_End_Uses,0)+10)</f>
        <v>27.221799999999998</v>
      </c>
      <c r="D33" s="67"/>
      <c r="E33" s="67"/>
      <c r="F33" s="115" cm="1">
        <f t="array" aca="1" ref="F33" ca="1">INDEX(CBECS_Gas_Index,MATCH($B33,CBECS_Gas_Rows,0),MATCH(F$32,CBECS_Gas_End_Uses,0)+10)</f>
        <v>4.8833000000000002</v>
      </c>
      <c r="G33" s="67"/>
      <c r="H33" s="115" cm="1">
        <f t="array" aca="1" ref="H33" ca="1">INDEX(CBECS_Gas_Index,MATCH($B33,CBECS_Gas_Rows,0),MATCH(H$32,CBECS_Gas_End_Uses,0)+10)</f>
        <v>14.234299999999998</v>
      </c>
      <c r="I33" s="67"/>
      <c r="J33" s="67"/>
      <c r="K33" s="67"/>
      <c r="L33" s="115" cm="1">
        <f t="array" aca="1" ref="L33" ca="1">INDEX(CBECS_Gas_Index,MATCH($B33,CBECS_Gas_Rows,0),MATCH(L$32,CBECS_Gas_End_Uses,0)+10)</f>
        <v>9.1432000000000002</v>
      </c>
      <c r="Q33" s="48"/>
    </row>
    <row r="34" spans="2:17" x14ac:dyDescent="0.25">
      <c r="B34" s="162" t="str">
        <f>'CBECS Gas'!B54</f>
        <v>Middle Atlantic</v>
      </c>
      <c r="C34" s="115" cm="1">
        <f t="array" aca="1" ref="C34" ca="1">INDEX(CBECS_Gas_Index,MATCH($B34,CBECS_Gas_Rows,0),MATCH(C$32,CBECS_Gas_End_Uses,0)+10)</f>
        <v>32.208999999999996</v>
      </c>
      <c r="D34" s="67"/>
      <c r="E34" s="67"/>
      <c r="F34" s="115" cm="1">
        <f t="array" aca="1" ref="F34" ca="1">INDEX(CBECS_Gas_Index,MATCH($B34,CBECS_Gas_Rows,0),MATCH(F$32,CBECS_Gas_End_Uses,0)+10)</f>
        <v>3.7403999999999997</v>
      </c>
      <c r="G34" s="67"/>
      <c r="H34" s="115" cm="1">
        <f t="array" aca="1" ref="H34" ca="1">INDEX(CBECS_Gas_Index,MATCH($B34,CBECS_Gas_Rows,0),MATCH(H$32,CBECS_Gas_End_Uses,0)+10)</f>
        <v>8.8315000000000001</v>
      </c>
      <c r="I34" s="67"/>
      <c r="J34" s="67"/>
      <c r="K34" s="67"/>
      <c r="L34" s="115" cm="1">
        <f t="array" aca="1" ref="L34" ca="1">INDEX(CBECS_Gas_Index,MATCH($B34,CBECS_Gas_Rows,0),MATCH(L$32,CBECS_Gas_End_Uses,0)+10)</f>
        <v>9.039299999999999</v>
      </c>
      <c r="Q34" s="48"/>
    </row>
    <row r="35" spans="2:17" x14ac:dyDescent="0.25">
      <c r="B35" s="162" t="str">
        <f>'CBECS Gas'!B56</f>
        <v>East North Central</v>
      </c>
      <c r="C35" s="115" cm="1">
        <f t="array" aca="1" ref="C35" ca="1">INDEX(CBECS_Gas_Index,MATCH($B35,CBECS_Gas_Rows,0),MATCH(C$32,CBECS_Gas_End_Uses,0)+10)</f>
        <v>34.8065</v>
      </c>
      <c r="D35" s="67"/>
      <c r="E35" s="67"/>
      <c r="F35" s="115" cm="1">
        <f t="array" aca="1" ref="F35" ca="1">INDEX(CBECS_Gas_Index,MATCH($B35,CBECS_Gas_Rows,0),MATCH(F$32,CBECS_Gas_End_Uses,0)+10)</f>
        <v>4.1559999999999997</v>
      </c>
      <c r="G35" s="67"/>
      <c r="H35" s="115" cm="1">
        <f t="array" aca="1" ref="H35" ca="1">INDEX(CBECS_Gas_Index,MATCH($B35,CBECS_Gas_Rows,0),MATCH(H$32,CBECS_Gas_End_Uses,0)+10)</f>
        <v>14.026499999999999</v>
      </c>
      <c r="I35" s="67"/>
      <c r="J35" s="67"/>
      <c r="K35" s="67"/>
      <c r="L35" s="115" cm="1">
        <f t="array" aca="1" ref="L35" ca="1">INDEX(CBECS_Gas_Index,MATCH($B35,CBECS_Gas_Rows,0),MATCH(L$32,CBECS_Gas_End_Uses,0)+10)</f>
        <v>6.3378999999999994</v>
      </c>
      <c r="Q35" s="48"/>
    </row>
    <row r="36" spans="2:17" x14ac:dyDescent="0.25">
      <c r="B36" s="70" t="s">
        <v>144</v>
      </c>
      <c r="C36" s="70">
        <f ca="1">C35/C33</f>
        <v>1.2786259541984732</v>
      </c>
      <c r="D36" s="67"/>
      <c r="E36" s="67"/>
      <c r="F36" s="70">
        <f ca="1">F35/F33</f>
        <v>0.85106382978723394</v>
      </c>
      <c r="G36" s="67"/>
      <c r="H36" s="70">
        <f ca="1">H35/H33</f>
        <v>0.98540145985401473</v>
      </c>
      <c r="I36" s="67"/>
      <c r="J36" s="67"/>
      <c r="K36" s="67"/>
      <c r="L36" s="70">
        <f ca="1">L35/L33</f>
        <v>0.69318181818181812</v>
      </c>
      <c r="Q36" s="48"/>
    </row>
    <row r="37" spans="2:17" x14ac:dyDescent="0.25">
      <c r="B37" s="160" t="str">
        <f>'CBECS Gas'!B20</f>
        <v xml:space="preserve">200,001 to 500,000 </v>
      </c>
      <c r="C37" s="115" cm="1">
        <f t="array" aca="1" ref="C37" ca="1">INDEX(CBECS_Gas_Index,MATCH($B37,CBECS_Gas_Rows,0),MATCH(C$32,CBECS_Gas_End_Uses,0)+10)</f>
        <v>27.117899999999999</v>
      </c>
      <c r="D37" s="67"/>
      <c r="E37" s="67"/>
      <c r="F37" s="115" cm="1">
        <f t="array" aca="1" ref="F37" ca="1">INDEX(CBECS_Gas_Index,MATCH($B37,CBECS_Gas_Rows,0),MATCH(F$32,CBECS_Gas_End_Uses,0)+10)</f>
        <v>4.2598999999999991</v>
      </c>
      <c r="G37" s="67"/>
      <c r="H37" s="115" cm="1">
        <f t="array" aca="1" ref="H37" ca="1">INDEX(CBECS_Gas_Index,MATCH($B37,CBECS_Gas_Rows,0),MATCH(H$32,CBECS_Gas_End_Uses,0)+10)</f>
        <v>9.8704999999999998</v>
      </c>
      <c r="I37" s="67"/>
      <c r="J37" s="67"/>
      <c r="K37" s="67"/>
      <c r="L37" s="115" cm="1">
        <f t="array" aca="1" ref="L37" ca="1">INDEX(CBECS_Gas_Index,MATCH($B37,CBECS_Gas_Rows,0),MATCH(L$32,CBECS_Gas_End_Uses,0)+10)</f>
        <v>7.896399999999999</v>
      </c>
      <c r="Q37" s="48"/>
    </row>
    <row r="38" spans="2:17" x14ac:dyDescent="0.25">
      <c r="B38" s="188" t="str">
        <f>B17</f>
        <v>IL Building Area Adjusted Scaling Factor</v>
      </c>
      <c r="C38" s="70">
        <f ca="1">C37*C36</f>
        <v>34.673650763358779</v>
      </c>
      <c r="D38" s="67"/>
      <c r="E38" s="67"/>
      <c r="F38" s="70">
        <f ca="1">F37*F36</f>
        <v>3.6254468085106373</v>
      </c>
      <c r="G38" s="67"/>
      <c r="H38" s="70">
        <f ca="1">H37*H36</f>
        <v>9.7264051094890522</v>
      </c>
      <c r="I38" s="67"/>
      <c r="J38" s="67"/>
      <c r="K38" s="67"/>
      <c r="L38" s="70">
        <f ca="1">L37*L36</f>
        <v>5.4736409090909079</v>
      </c>
      <c r="Q38" s="48"/>
    </row>
    <row r="39" spans="2:17" x14ac:dyDescent="0.25">
      <c r="B39" s="70" t="s">
        <v>155</v>
      </c>
      <c r="C39" s="70">
        <f ca="1">C34/C33</f>
        <v>1.1832061068702289</v>
      </c>
      <c r="D39" s="67"/>
      <c r="E39" s="67"/>
      <c r="F39" s="70">
        <f ca="1">F34/F33</f>
        <v>0.76595744680851052</v>
      </c>
      <c r="G39" s="67"/>
      <c r="H39" s="70">
        <f ca="1">H34/H33</f>
        <v>0.62043795620437969</v>
      </c>
      <c r="I39" s="67"/>
      <c r="J39" s="67"/>
      <c r="K39" s="67"/>
      <c r="L39" s="70">
        <f ca="1">L34/L33</f>
        <v>0.98863636363636354</v>
      </c>
      <c r="Q39" s="48"/>
    </row>
    <row r="40" spans="2:17" x14ac:dyDescent="0.25">
      <c r="B40" s="71" t="s">
        <v>156</v>
      </c>
      <c r="C40" s="71">
        <f ca="1">C39*C37</f>
        <v>32.086064885496178</v>
      </c>
      <c r="D40" s="67"/>
      <c r="E40" s="67"/>
      <c r="F40" s="71">
        <f ca="1">F39*F37</f>
        <v>3.2629021276595731</v>
      </c>
      <c r="G40" s="67"/>
      <c r="H40" s="71">
        <f ca="1">H39*H37</f>
        <v>6.1240328467153295</v>
      </c>
      <c r="I40" s="67"/>
      <c r="J40" s="67"/>
      <c r="K40" s="67"/>
      <c r="L40" s="71">
        <f ca="1">L39*L37</f>
        <v>7.8066681818181802</v>
      </c>
      <c r="Q40" s="48"/>
    </row>
    <row r="41" spans="2:17" x14ac:dyDescent="0.25">
      <c r="Q41" s="48"/>
    </row>
    <row r="42" spans="2:17" x14ac:dyDescent="0.25">
      <c r="B42" s="184" t="str">
        <f>'2 .Facility Charaterization'!$C$46</f>
        <v xml:space="preserve">Percent of floorspace heated by the electric heating system: </v>
      </c>
      <c r="C42" s="185"/>
      <c r="D42" s="164">
        <f>'2 .Facility Charaterization'!$J$46</f>
        <v>0.1</v>
      </c>
      <c r="Q42" s="48"/>
    </row>
    <row r="43" spans="2:17" x14ac:dyDescent="0.25">
      <c r="B43" s="184" t="str">
        <f>'2 .Facility Charaterization'!$C$43</f>
        <v xml:space="preserve">Percent of floorspace heated by natural gas or propane: </v>
      </c>
      <c r="C43" s="185"/>
      <c r="D43" s="239">
        <f>'2 .Facility Charaterization'!$J$43</f>
        <v>0.6</v>
      </c>
      <c r="Q43" s="48"/>
    </row>
    <row r="44" spans="2:17" x14ac:dyDescent="0.25">
      <c r="Q44" s="48"/>
    </row>
    <row r="45" spans="2:17" x14ac:dyDescent="0.25">
      <c r="B45" s="184" t="s">
        <v>157</v>
      </c>
      <c r="C45" s="185"/>
      <c r="D45" s="227" t="str">
        <f>_xlfn.LET(_xlpm.X,D42+D43,IF(_xlpm.X&gt;0.5,IF(_xlpm.X&lt;1,'CBECS Elec'!B210,'CBECS Elec'!B211),IF(_xlpm.X&gt;0,'CBECS Elec'!B209,'CBECS Elec'!B208)))</f>
        <v>51% to 99%</v>
      </c>
      <c r="Q45" s="48"/>
    </row>
    <row r="46" spans="2:17" x14ac:dyDescent="0.25">
      <c r="B46" s="184" t="s">
        <v>158</v>
      </c>
      <c r="C46" s="185"/>
      <c r="D46" s="149" cm="1">
        <f t="array" ref="D46">INDEX('CBECS Gas'!C214:Q217,MATCH(FacilityChar_Heating_Percent,'CBECS Gas'!B214:B217,0),MATCH("Space heating",CBECS_Gas_End_Uses,0)+10)</f>
        <v>23.377499999999998</v>
      </c>
      <c r="Q46" s="48"/>
    </row>
    <row r="47" spans="2:17" x14ac:dyDescent="0.25">
      <c r="D47" s="47"/>
      <c r="Q47" s="48"/>
    </row>
    <row r="48" spans="2:17" x14ac:dyDescent="0.25">
      <c r="D48" s="47"/>
    </row>
    <row r="49" spans="2:19" x14ac:dyDescent="0.25">
      <c r="B49" s="409" t="s">
        <v>159</v>
      </c>
      <c r="C49" s="410"/>
      <c r="D49" s="410"/>
      <c r="E49" s="410"/>
      <c r="F49" s="410"/>
      <c r="G49" s="410"/>
      <c r="H49" s="410"/>
      <c r="I49" s="410"/>
      <c r="J49" s="410"/>
      <c r="K49" s="410"/>
      <c r="L49" s="411"/>
      <c r="Q49" s="48"/>
    </row>
    <row r="50" spans="2:19" x14ac:dyDescent="0.25">
      <c r="B50" s="412"/>
      <c r="C50" s="413"/>
      <c r="D50" s="413"/>
      <c r="E50" s="413"/>
      <c r="F50" s="413"/>
      <c r="G50" s="413"/>
      <c r="H50" s="413"/>
      <c r="I50" s="413"/>
      <c r="J50" s="413"/>
      <c r="K50" s="413"/>
      <c r="L50" s="414"/>
      <c r="Q50" s="48"/>
    </row>
    <row r="51" spans="2:19" x14ac:dyDescent="0.25">
      <c r="Q51" s="48"/>
    </row>
    <row r="52" spans="2:19" ht="30" x14ac:dyDescent="0.25">
      <c r="B52" s="41" t="s">
        <v>131</v>
      </c>
      <c r="C52" s="41" t="s">
        <v>81</v>
      </c>
      <c r="D52" s="41" t="s">
        <v>82</v>
      </c>
      <c r="E52" s="41" t="s">
        <v>83</v>
      </c>
      <c r="F52" s="41" t="s">
        <v>84</v>
      </c>
      <c r="G52" s="41" t="s">
        <v>85</v>
      </c>
      <c r="H52" s="41" t="s">
        <v>86</v>
      </c>
      <c r="I52" s="41" t="s">
        <v>51</v>
      </c>
      <c r="J52" s="68" t="s">
        <v>87</v>
      </c>
      <c r="K52" s="41" t="s">
        <v>88</v>
      </c>
      <c r="L52" s="41" t="s">
        <v>89</v>
      </c>
      <c r="Q52" s="48"/>
      <c r="R52" s="85"/>
      <c r="S52" s="85"/>
    </row>
    <row r="53" spans="2:19" x14ac:dyDescent="0.25">
      <c r="B53" s="7" t="s">
        <v>154</v>
      </c>
      <c r="C53" s="163">
        <f ca="1">C33</f>
        <v>27.221799999999998</v>
      </c>
      <c r="D53" s="150">
        <f t="shared" ref="D53:L54" ca="1" si="6">INDEX(CBECS_Elec_Index,MATCH($B53,CBECS_Elec_Rows,0),MATCH(D$52,CBECS_Elec_End_Uses,0))</f>
        <v>2</v>
      </c>
      <c r="E53" s="150">
        <f t="shared" ca="1" si="6"/>
        <v>2.2999999999999998</v>
      </c>
      <c r="F53" s="150">
        <f t="shared" ca="1" si="6"/>
        <v>0.5</v>
      </c>
      <c r="G53" s="150">
        <f t="shared" ca="1" si="6"/>
        <v>2.2000000000000002</v>
      </c>
      <c r="H53" s="150">
        <f t="shared" ca="1" si="6"/>
        <v>0.9</v>
      </c>
      <c r="I53" s="150">
        <f t="shared" ca="1" si="6"/>
        <v>1.4</v>
      </c>
      <c r="J53" s="150">
        <f t="shared" ca="1" si="6"/>
        <v>0.2</v>
      </c>
      <c r="K53" s="150">
        <f t="shared" ca="1" si="6"/>
        <v>0.9</v>
      </c>
      <c r="L53" s="150">
        <f t="shared" ca="1" si="6"/>
        <v>3</v>
      </c>
      <c r="Q53" s="48"/>
    </row>
    <row r="54" spans="2:19" x14ac:dyDescent="0.25">
      <c r="B54" s="50" t="str">
        <f>'CBECS Elec'!B51</f>
        <v>Middle Atlantic</v>
      </c>
      <c r="C54" s="163">
        <f ca="1">C34</f>
        <v>32.208999999999996</v>
      </c>
      <c r="D54" s="150">
        <f t="shared" ca="1" si="6"/>
        <v>1.2</v>
      </c>
      <c r="E54" s="150">
        <f t="shared" ca="1" si="6"/>
        <v>2.5</v>
      </c>
      <c r="F54" s="150">
        <f t="shared" ca="1" si="6"/>
        <v>0.4</v>
      </c>
      <c r="G54" s="150">
        <f t="shared" ca="1" si="6"/>
        <v>2.4</v>
      </c>
      <c r="H54" s="150">
        <f t="shared" ca="1" si="6"/>
        <v>0.6</v>
      </c>
      <c r="I54" s="150">
        <f t="shared" ca="1" si="6"/>
        <v>1</v>
      </c>
      <c r="J54" s="150">
        <f t="shared" ca="1" si="6"/>
        <v>0.2</v>
      </c>
      <c r="K54" s="150">
        <f t="shared" ca="1" si="6"/>
        <v>1.1000000000000001</v>
      </c>
      <c r="L54" s="150">
        <f t="shared" ca="1" si="6"/>
        <v>2.9</v>
      </c>
      <c r="Q54" s="48"/>
    </row>
    <row r="55" spans="2:19" x14ac:dyDescent="0.25">
      <c r="B55" s="7" t="s">
        <v>160</v>
      </c>
      <c r="C55" s="119">
        <f>IF(FacilityChar_Building_Type_Workbook="Public assembly ",IFERROR(C54/C53,1),1)</f>
        <v>1</v>
      </c>
      <c r="D55" s="181">
        <f>IF(FacilityChar_Building_Type_Workbook="Public Assembly ",IFERROR(D54/D53,1),1)</f>
        <v>1</v>
      </c>
      <c r="E55" s="181">
        <f>IF(FacilityChar_Building_Type_Workbook="Public Assembly ",IFERROR(E54/E53,1),1)</f>
        <v>1</v>
      </c>
      <c r="F55" s="181">
        <f>IF(FacilityChar_Building_Type_Workbook="Public Assembly ",IFERROR(F54/F53,1),1)</f>
        <v>1</v>
      </c>
      <c r="G55" s="181">
        <f>IF(FacilityChar_Building_Type_Workbook="Public Assembly ",IFERROR(G54/G53,1),1)</f>
        <v>1</v>
      </c>
      <c r="H55" s="181">
        <f>IF(FacilityChar_Building_Type_Workbook="Public Assembly ",IFERROR(H54/H53,1),1)</f>
        <v>1</v>
      </c>
      <c r="I55" s="181">
        <f>IF(FacilityChar_Building_Type_Workbook="Public Assembly ",IFERROR(I54/I53,1),1)</f>
        <v>1</v>
      </c>
      <c r="J55" s="181">
        <f>IF(FacilityChar_Building_Type_Workbook="Public Assembly ",IFERROR(J54/J53,1),1)</f>
        <v>1</v>
      </c>
      <c r="K55" s="181">
        <f>IF(FacilityChar_Building_Type_Workbook="Public Assembly ",IFERROR(K54/K53,1),1)</f>
        <v>1</v>
      </c>
      <c r="L55" s="181">
        <f>IF(FacilityChar_Building_Type_Workbook="Public Assembly ",IFERROR(L54/L53,1),1)</f>
        <v>1</v>
      </c>
      <c r="Q55" s="48"/>
    </row>
    <row r="56" spans="2:19" x14ac:dyDescent="0.25">
      <c r="B56" s="7" t="s">
        <v>161</v>
      </c>
      <c r="C56" s="119">
        <f ca="1">IFERROR(D46/C53,1)</f>
        <v>0.8587786259541984</v>
      </c>
      <c r="D56" s="67"/>
      <c r="E56" s="67"/>
      <c r="F56" s="67"/>
      <c r="G56" s="67"/>
      <c r="H56" s="67"/>
      <c r="I56" s="67"/>
      <c r="J56" s="67"/>
      <c r="K56" s="67"/>
      <c r="L56" s="67"/>
      <c r="Q56" s="48"/>
    </row>
    <row r="57" spans="2:19" x14ac:dyDescent="0.25">
      <c r="B57" s="7" t="s">
        <v>162</v>
      </c>
      <c r="C57" s="67"/>
      <c r="D57" s="119">
        <f ca="1">IFERROR(D22/D53,1)</f>
        <v>1.3</v>
      </c>
      <c r="E57" s="119">
        <f ca="1">IFERROR(D23/E145,1)</f>
        <v>0.77134986225895319</v>
      </c>
      <c r="F57" s="67"/>
      <c r="G57" s="67"/>
      <c r="H57" s="67"/>
      <c r="I57" s="67"/>
      <c r="J57" s="67"/>
      <c r="K57" s="67"/>
      <c r="L57" s="67"/>
      <c r="Q57" s="48"/>
    </row>
    <row r="58" spans="2:19" x14ac:dyDescent="0.25">
      <c r="B58" s="7" t="s">
        <v>163</v>
      </c>
      <c r="C58" s="67"/>
      <c r="D58" s="119">
        <f ca="1">IFERROR(D25/D53,1)</f>
        <v>0.45</v>
      </c>
      <c r="E58" s="119">
        <f ca="1">IFERROR(D26/E53,1)</f>
        <v>1.5652173913043479</v>
      </c>
      <c r="F58" s="67"/>
      <c r="G58" s="67"/>
      <c r="H58" s="67"/>
      <c r="I58" s="67"/>
      <c r="J58" s="67"/>
      <c r="K58" s="67"/>
      <c r="L58" s="67"/>
      <c r="Q58" s="48"/>
    </row>
    <row r="59" spans="2:19" x14ac:dyDescent="0.25">
      <c r="B59" s="51" t="s">
        <v>164</v>
      </c>
      <c r="C59" s="67"/>
      <c r="D59" s="67"/>
      <c r="E59" s="67"/>
      <c r="F59" s="67"/>
      <c r="G59" s="67"/>
      <c r="H59" s="67"/>
      <c r="I59" s="67"/>
      <c r="J59" s="67"/>
      <c r="K59" s="181" cm="1">
        <f t="array" aca="1" ref="K59" ca="1">IF(AND('2 .Facility Charaterization'!J79:J88&lt;&gt;"Yes",OR('2 .Facility Charaterization'!G89="None",'2 .Facility Charaterization'!G89="")),1,(IFERROR(MAX(IF('2 .Facility Charaterization'!J79:J88="Yes",'CBECS Elec'!L285:L294)),0)+IFERROR(INDEX(CBECS_Elec_Index,MATCH('2 .Facility Charaterization'!G89,CBECS_Elec_Rows,0),MATCH("Computing",CBECS_Elec_End_Uses,0)),0))/'CBECS Elec'!L9)</f>
        <v>3.333333333333333</v>
      </c>
      <c r="L59" s="67"/>
      <c r="Q59" s="48"/>
    </row>
    <row r="60" spans="2:19" x14ac:dyDescent="0.25">
      <c r="B60" s="7" t="s">
        <v>165</v>
      </c>
      <c r="C60" s="119">
        <f t="shared" ref="C60:L60" ca="1" si="7">PRODUCT(C55:C59)</f>
        <v>0.8587786259541984</v>
      </c>
      <c r="D60" s="119">
        <f t="shared" ca="1" si="7"/>
        <v>0.58500000000000008</v>
      </c>
      <c r="E60" s="119">
        <f t="shared" ca="1" si="7"/>
        <v>1.2073302191879267</v>
      </c>
      <c r="F60" s="119">
        <f t="shared" si="7"/>
        <v>1</v>
      </c>
      <c r="G60" s="119">
        <f t="shared" si="7"/>
        <v>1</v>
      </c>
      <c r="H60" s="119">
        <f t="shared" si="7"/>
        <v>1</v>
      </c>
      <c r="I60" s="119">
        <f t="shared" si="7"/>
        <v>1</v>
      </c>
      <c r="J60" s="119">
        <f t="shared" si="7"/>
        <v>1</v>
      </c>
      <c r="K60" s="119">
        <f t="shared" ca="1" si="7"/>
        <v>3.333333333333333</v>
      </c>
      <c r="L60" s="119">
        <f t="shared" si="7"/>
        <v>1</v>
      </c>
      <c r="Q60" s="79"/>
    </row>
    <row r="61" spans="2:19" x14ac:dyDescent="0.25">
      <c r="Q61" s="48"/>
    </row>
    <row r="62" spans="2:19" x14ac:dyDescent="0.25">
      <c r="Q62" s="48"/>
    </row>
    <row r="63" spans="2:19" x14ac:dyDescent="0.25">
      <c r="Q63" s="48"/>
    </row>
    <row r="64" spans="2:19" x14ac:dyDescent="0.25">
      <c r="Q64" s="48"/>
    </row>
    <row r="65" spans="2:17" x14ac:dyDescent="0.25">
      <c r="Q65" s="48"/>
    </row>
    <row r="66" spans="2:17" x14ac:dyDescent="0.25">
      <c r="Q66" s="48"/>
    </row>
    <row r="67" spans="2:17" ht="23.25" x14ac:dyDescent="0.35">
      <c r="B67" s="246" t="s">
        <v>166</v>
      </c>
      <c r="C67" s="247"/>
      <c r="D67" s="247"/>
      <c r="E67" s="247"/>
      <c r="F67" s="247"/>
      <c r="G67" s="247"/>
      <c r="H67" s="247"/>
      <c r="I67" s="247"/>
      <c r="J67" s="247"/>
      <c r="K67" s="247"/>
      <c r="L67" s="249"/>
      <c r="M67" s="249"/>
      <c r="N67" s="249"/>
      <c r="O67" s="249"/>
      <c r="Q67" s="48"/>
    </row>
    <row r="68" spans="2:17" ht="18.75" x14ac:dyDescent="0.3">
      <c r="C68" s="83"/>
      <c r="D68" s="83"/>
      <c r="E68" s="83"/>
      <c r="F68" s="83"/>
      <c r="G68" s="83"/>
      <c r="H68" s="83"/>
      <c r="I68" s="83"/>
      <c r="J68" s="83"/>
      <c r="K68" s="83"/>
      <c r="L68" s="248"/>
      <c r="M68" s="248"/>
      <c r="N68" s="248"/>
      <c r="O68" s="248"/>
      <c r="Q68" s="48"/>
    </row>
    <row r="69" spans="2:17" ht="30" x14ac:dyDescent="0.25">
      <c r="B69" s="243" t="s">
        <v>167</v>
      </c>
      <c r="C69" s="243" t="s">
        <v>168</v>
      </c>
      <c r="D69" s="243" t="s">
        <v>169</v>
      </c>
      <c r="E69" s="243" t="s">
        <v>139</v>
      </c>
      <c r="F69" s="243" t="s">
        <v>83</v>
      </c>
      <c r="G69" s="243" t="s">
        <v>140</v>
      </c>
      <c r="H69" s="243" t="s">
        <v>85</v>
      </c>
      <c r="I69" s="243" t="s">
        <v>86</v>
      </c>
      <c r="J69" s="243" t="s">
        <v>51</v>
      </c>
      <c r="K69" s="243" t="s">
        <v>170</v>
      </c>
      <c r="L69" s="243" t="s">
        <v>171</v>
      </c>
      <c r="Q69" s="48"/>
    </row>
    <row r="70" spans="2:17" x14ac:dyDescent="0.25">
      <c r="B70" s="86" t="str">
        <f>'Baseline Tables'!M7</f>
        <v>Education</v>
      </c>
      <c r="C70" s="87">
        <f>'Baseline Tables'!C7</f>
        <v>-0.12</v>
      </c>
      <c r="D70" s="87">
        <f>'Baseline Tables'!D7</f>
        <v>0.28000000000000003</v>
      </c>
      <c r="E70" s="87">
        <f>'Baseline Tables'!E7</f>
        <v>3.35</v>
      </c>
      <c r="F70" s="87">
        <f>'Baseline Tables'!F7</f>
        <v>2.02</v>
      </c>
      <c r="G70" s="87">
        <f>'Baseline Tables'!G7</f>
        <v>0.06</v>
      </c>
      <c r="H70" s="87">
        <f>'Baseline Tables'!H7</f>
        <v>1.51</v>
      </c>
      <c r="I70" s="87">
        <f>'Baseline Tables'!I7</f>
        <v>0.33</v>
      </c>
      <c r="J70" s="87">
        <f>'Baseline Tables'!J7</f>
        <v>0.48</v>
      </c>
      <c r="K70" s="87">
        <f>'Baseline Tables'!K7</f>
        <v>1.02</v>
      </c>
      <c r="L70" s="87">
        <f>'Baseline Tables'!L7</f>
        <v>2.0099999999999998</v>
      </c>
      <c r="Q70" s="48"/>
    </row>
    <row r="71" spans="2:17" x14ac:dyDescent="0.25">
      <c r="B71" s="86" t="str">
        <f>'Baseline Tables'!M8</f>
        <v>Grocery</v>
      </c>
      <c r="C71" s="87">
        <f>'Baseline Tables'!C8</f>
        <v>-0.01</v>
      </c>
      <c r="D71" s="87">
        <f>'Baseline Tables'!D8</f>
        <v>1.1000000000000001</v>
      </c>
      <c r="E71" s="87">
        <f>'Baseline Tables'!E8</f>
        <v>5.97</v>
      </c>
      <c r="F71" s="87">
        <f>'Baseline Tables'!F8</f>
        <v>2.91</v>
      </c>
      <c r="G71" s="87">
        <f>'Baseline Tables'!G8</f>
        <v>0.24</v>
      </c>
      <c r="H71" s="87">
        <f>'Baseline Tables'!H8</f>
        <v>4.68</v>
      </c>
      <c r="I71" s="87">
        <f>'Baseline Tables'!I8</f>
        <v>2.38</v>
      </c>
      <c r="J71" s="87">
        <f>'Baseline Tables'!J8</f>
        <v>17.89</v>
      </c>
      <c r="K71" s="87">
        <f>'Baseline Tables'!K8</f>
        <v>0.44</v>
      </c>
      <c r="L71" s="87">
        <f>'Baseline Tables'!L8</f>
        <v>2.8</v>
      </c>
      <c r="Q71" s="48"/>
    </row>
    <row r="72" spans="2:17" x14ac:dyDescent="0.25">
      <c r="B72" s="86" t="str">
        <f>'Baseline Tables'!M9</f>
        <v>Health</v>
      </c>
      <c r="C72" s="87">
        <f>'Baseline Tables'!C9</f>
        <v>-2.3199999999999998</v>
      </c>
      <c r="D72" s="87">
        <f>'Baseline Tables'!D9</f>
        <v>0.28999999999999998</v>
      </c>
      <c r="E72" s="87">
        <f>'Baseline Tables'!E9</f>
        <v>8.67</v>
      </c>
      <c r="F72" s="87">
        <f>'Baseline Tables'!F9</f>
        <v>3.63</v>
      </c>
      <c r="G72" s="87">
        <f>'Baseline Tables'!G9</f>
        <v>0.33</v>
      </c>
      <c r="H72" s="87">
        <f>'Baseline Tables'!H9</f>
        <v>4.9800000000000004</v>
      </c>
      <c r="I72" s="87">
        <f>'Baseline Tables'!I9</f>
        <v>0.26</v>
      </c>
      <c r="J72" s="87">
        <f>'Baseline Tables'!J9</f>
        <v>0.84</v>
      </c>
      <c r="K72" s="87">
        <f>'Baseline Tables'!K9</f>
        <v>2.41</v>
      </c>
      <c r="L72" s="87">
        <f>'Baseline Tables'!L9</f>
        <v>6.42</v>
      </c>
      <c r="Q72" s="48"/>
    </row>
    <row r="73" spans="2:17" x14ac:dyDescent="0.25">
      <c r="B73" s="86" t="str">
        <f>'Baseline Tables'!M10</f>
        <v>Industrial</v>
      </c>
      <c r="C73" s="87">
        <f>'Baseline Tables'!C10</f>
        <v>-0.36</v>
      </c>
      <c r="D73" s="87">
        <f>'Baseline Tables'!D10</f>
        <v>0.04</v>
      </c>
      <c r="E73" s="87">
        <f>'Baseline Tables'!E10</f>
        <v>1.51</v>
      </c>
      <c r="F73" s="87">
        <f>'Baseline Tables'!F10</f>
        <v>1.57</v>
      </c>
      <c r="G73" s="87">
        <f>'Baseline Tables'!G10</f>
        <v>0.37</v>
      </c>
      <c r="H73" s="87">
        <f>'Baseline Tables'!H10</f>
        <v>1.59</v>
      </c>
      <c r="I73" s="87">
        <f>'Baseline Tables'!I10</f>
        <v>0.01</v>
      </c>
      <c r="J73" s="87">
        <f>'Baseline Tables'!J10</f>
        <v>4.8600000000000003</v>
      </c>
      <c r="K73" s="87">
        <f>'Baseline Tables'!K10</f>
        <v>1.57</v>
      </c>
      <c r="L73" s="87">
        <f>'Baseline Tables'!L10</f>
        <v>31.91</v>
      </c>
      <c r="Q73" s="48"/>
    </row>
    <row r="74" spans="2:17" x14ac:dyDescent="0.25">
      <c r="B74" s="86" t="str">
        <f>'Baseline Tables'!M11</f>
        <v>Institutional</v>
      </c>
      <c r="C74" s="87">
        <f>'Baseline Tables'!C11</f>
        <v>-0.02</v>
      </c>
      <c r="D74" s="87">
        <f>'Baseline Tables'!D11</f>
        <v>0.38</v>
      </c>
      <c r="E74" s="87">
        <f>'Baseline Tables'!E11</f>
        <v>9.48</v>
      </c>
      <c r="F74" s="87">
        <f>'Baseline Tables'!F11</f>
        <v>1.89</v>
      </c>
      <c r="G74" s="87">
        <f>'Baseline Tables'!G11</f>
        <v>0.23</v>
      </c>
      <c r="H74" s="87">
        <f>'Baseline Tables'!H11</f>
        <v>2.79</v>
      </c>
      <c r="I74" s="87">
        <f>'Baseline Tables'!I11</f>
        <v>0.47</v>
      </c>
      <c r="J74" s="87">
        <f>'Baseline Tables'!J11</f>
        <v>0.23</v>
      </c>
      <c r="K74" s="87">
        <f>'Baseline Tables'!K11</f>
        <v>0.6</v>
      </c>
      <c r="L74" s="87">
        <f>'Baseline Tables'!L11</f>
        <v>0.88</v>
      </c>
      <c r="Q74" s="48"/>
    </row>
    <row r="75" spans="2:17" x14ac:dyDescent="0.25">
      <c r="B75" s="86" t="str">
        <f>'Baseline Tables'!M12</f>
        <v>Lodging</v>
      </c>
      <c r="C75" s="87">
        <f>'Baseline Tables'!C12</f>
        <v>-0.03</v>
      </c>
      <c r="D75" s="87">
        <f>'Baseline Tables'!D12</f>
        <v>2.0299999999999998</v>
      </c>
      <c r="E75" s="87">
        <f>'Baseline Tables'!E12</f>
        <v>3.47</v>
      </c>
      <c r="F75" s="87">
        <f>'Baseline Tables'!F12</f>
        <v>1.78</v>
      </c>
      <c r="G75" s="87">
        <f>'Baseline Tables'!G12</f>
        <v>0.23</v>
      </c>
      <c r="H75" s="87">
        <f>'Baseline Tables'!H12</f>
        <v>1.57</v>
      </c>
      <c r="I75" s="87">
        <f>'Baseline Tables'!I12</f>
        <v>0.23</v>
      </c>
      <c r="J75" s="87">
        <f>'Baseline Tables'!J12</f>
        <v>0.22</v>
      </c>
      <c r="K75" s="87">
        <f>'Baseline Tables'!K12</f>
        <v>0.2</v>
      </c>
      <c r="L75" s="87">
        <f>'Baseline Tables'!L12</f>
        <v>0.26</v>
      </c>
      <c r="Q75" s="48"/>
    </row>
    <row r="76" spans="2:17" x14ac:dyDescent="0.25">
      <c r="B76" s="86" t="str">
        <f>'Baseline Tables'!M13</f>
        <v>Miscellaneous</v>
      </c>
      <c r="C76" s="87">
        <f>'Baseline Tables'!C13</f>
        <v>0</v>
      </c>
      <c r="D76" s="87">
        <f>'Baseline Tables'!D13</f>
        <v>0.13</v>
      </c>
      <c r="E76" s="87">
        <f>'Baseline Tables'!E13</f>
        <v>2.39</v>
      </c>
      <c r="F76" s="87">
        <f>'Baseline Tables'!F13</f>
        <v>1.49</v>
      </c>
      <c r="G76" s="87">
        <f>'Baseline Tables'!G13</f>
        <v>0.16</v>
      </c>
      <c r="H76" s="87">
        <f>'Baseline Tables'!H13</f>
        <v>1.21</v>
      </c>
      <c r="I76" s="87">
        <f>'Baseline Tables'!I13</f>
        <v>0.34</v>
      </c>
      <c r="J76" s="87">
        <f>'Baseline Tables'!J13</f>
        <v>0.3</v>
      </c>
      <c r="K76" s="87">
        <f>'Baseline Tables'!K13</f>
        <v>0.3</v>
      </c>
      <c r="L76" s="87">
        <f>'Baseline Tables'!L13</f>
        <v>2.08</v>
      </c>
      <c r="Q76" s="48"/>
    </row>
    <row r="77" spans="2:17" x14ac:dyDescent="0.25">
      <c r="B77" s="86" t="str">
        <f>'Baseline Tables'!M14</f>
        <v>Office</v>
      </c>
      <c r="C77" s="87">
        <f>'Baseline Tables'!C14</f>
        <v>-0.01</v>
      </c>
      <c r="D77" s="87">
        <f>'Baseline Tables'!D14</f>
        <v>0.16</v>
      </c>
      <c r="E77" s="87">
        <f>'Baseline Tables'!E14</f>
        <v>2.84</v>
      </c>
      <c r="F77" s="87">
        <f>'Baseline Tables'!F14</f>
        <v>1.1599999999999999</v>
      </c>
      <c r="G77" s="87">
        <f>'Baseline Tables'!G14</f>
        <v>0.11</v>
      </c>
      <c r="H77" s="87">
        <f>'Baseline Tables'!H14</f>
        <v>0.86</v>
      </c>
      <c r="I77" s="87">
        <f>'Baseline Tables'!I14</f>
        <v>0.01</v>
      </c>
      <c r="J77" s="87">
        <f>'Baseline Tables'!J14</f>
        <v>0.04</v>
      </c>
      <c r="K77" s="87">
        <f>'Baseline Tables'!K14</f>
        <v>1.18</v>
      </c>
      <c r="L77" s="87">
        <f>'Baseline Tables'!L14</f>
        <v>1.18</v>
      </c>
      <c r="Q77" s="79"/>
    </row>
    <row r="78" spans="2:17" x14ac:dyDescent="0.25">
      <c r="B78" s="86" t="str">
        <f>'Baseline Tables'!M15</f>
        <v>Religious</v>
      </c>
      <c r="C78" s="87">
        <f>'Baseline Tables'!C15</f>
        <v>-0.44</v>
      </c>
      <c r="D78" s="87">
        <f>'Baseline Tables'!D15</f>
        <v>0.1</v>
      </c>
      <c r="E78" s="87">
        <f>'Baseline Tables'!E15</f>
        <v>1.38</v>
      </c>
      <c r="F78" s="87">
        <f>'Baseline Tables'!F15</f>
        <v>1.04</v>
      </c>
      <c r="G78" s="87">
        <f>'Baseline Tables'!G15</f>
        <v>0.15</v>
      </c>
      <c r="H78" s="87">
        <f>'Baseline Tables'!H15</f>
        <v>0.79</v>
      </c>
      <c r="I78" s="87">
        <f>'Baseline Tables'!I15</f>
        <v>0.49</v>
      </c>
      <c r="J78" s="87">
        <f>'Baseline Tables'!J15</f>
        <v>7.0000000000000007E-2</v>
      </c>
      <c r="K78" s="87">
        <f>'Baseline Tables'!K15</f>
        <v>0.12</v>
      </c>
      <c r="L78" s="87">
        <f>'Baseline Tables'!L15</f>
        <v>0</v>
      </c>
      <c r="Q78" s="48"/>
    </row>
    <row r="79" spans="2:17" x14ac:dyDescent="0.25">
      <c r="B79" s="86" t="str">
        <f>'Baseline Tables'!M16</f>
        <v>Restaurant</v>
      </c>
      <c r="C79" s="87">
        <f>'Baseline Tables'!C16</f>
        <v>-0.56000000000000005</v>
      </c>
      <c r="D79" s="87">
        <f>'Baseline Tables'!D16</f>
        <v>1.58</v>
      </c>
      <c r="E79" s="87">
        <f>'Baseline Tables'!E16</f>
        <v>3.78</v>
      </c>
      <c r="F79" s="87">
        <f>'Baseline Tables'!F16</f>
        <v>1.63</v>
      </c>
      <c r="G79" s="87">
        <f>'Baseline Tables'!G16</f>
        <v>3.01</v>
      </c>
      <c r="H79" s="87">
        <f>'Baseline Tables'!H16</f>
        <v>1.25</v>
      </c>
      <c r="I79" s="87">
        <f>'Baseline Tables'!I16</f>
        <v>8.86</v>
      </c>
      <c r="J79" s="87">
        <f>'Baseline Tables'!J16</f>
        <v>7.71</v>
      </c>
      <c r="K79" s="87">
        <f>'Baseline Tables'!K16</f>
        <v>0.32</v>
      </c>
      <c r="L79" s="87">
        <f>'Baseline Tables'!L16</f>
        <v>2.1800000000000002</v>
      </c>
      <c r="Q79" s="48"/>
    </row>
    <row r="80" spans="2:17" x14ac:dyDescent="0.25">
      <c r="B80" s="86" t="str">
        <f>'Baseline Tables'!M17</f>
        <v>Retail</v>
      </c>
      <c r="C80" s="87">
        <f>'Baseline Tables'!C17</f>
        <v>0</v>
      </c>
      <c r="D80" s="87">
        <f>'Baseline Tables'!D17</f>
        <v>0.17</v>
      </c>
      <c r="E80" s="87">
        <f>'Baseline Tables'!E17</f>
        <v>1.98</v>
      </c>
      <c r="F80" s="87">
        <f>'Baseline Tables'!F17</f>
        <v>1.57</v>
      </c>
      <c r="G80" s="87">
        <f>'Baseline Tables'!G17</f>
        <v>0.08</v>
      </c>
      <c r="H80" s="87">
        <f>'Baseline Tables'!H17</f>
        <v>1.24</v>
      </c>
      <c r="I80" s="87">
        <f>'Baseline Tables'!I17</f>
        <v>0.25</v>
      </c>
      <c r="J80" s="87">
        <f>'Baseline Tables'!J17</f>
        <v>0.43</v>
      </c>
      <c r="K80" s="87">
        <f>'Baseline Tables'!K17</f>
        <v>0.71</v>
      </c>
      <c r="L80" s="87">
        <f>'Baseline Tables'!L17</f>
        <v>0.65</v>
      </c>
      <c r="Q80" s="48"/>
    </row>
    <row r="81" spans="2:17" x14ac:dyDescent="0.25">
      <c r="B81" s="86" t="str">
        <f>'Baseline Tables'!M18</f>
        <v>Warehouse</v>
      </c>
      <c r="C81" s="87">
        <f>'Baseline Tables'!C18</f>
        <v>0</v>
      </c>
      <c r="D81" s="87">
        <f>'Baseline Tables'!D18</f>
        <v>7.0000000000000007E-2</v>
      </c>
      <c r="E81" s="87">
        <f>'Baseline Tables'!E18</f>
        <v>0.28999999999999998</v>
      </c>
      <c r="F81" s="87">
        <f>'Baseline Tables'!F18</f>
        <v>1.33</v>
      </c>
      <c r="G81" s="87">
        <f>'Baseline Tables'!G18</f>
        <v>0.12</v>
      </c>
      <c r="H81" s="87">
        <f>'Baseline Tables'!H18</f>
        <v>0.7</v>
      </c>
      <c r="I81" s="87">
        <f>'Baseline Tables'!I18</f>
        <v>0</v>
      </c>
      <c r="J81" s="87">
        <f>'Baseline Tables'!J18</f>
        <v>0.43</v>
      </c>
      <c r="K81" s="87">
        <f>'Baseline Tables'!K18</f>
        <v>0.38</v>
      </c>
      <c r="L81" s="87">
        <f>'Baseline Tables'!L18</f>
        <v>0.38</v>
      </c>
      <c r="Q81" s="48"/>
    </row>
    <row r="82" spans="2:17" x14ac:dyDescent="0.25">
      <c r="Q82" s="48"/>
    </row>
    <row r="83" spans="2:17" x14ac:dyDescent="0.25">
      <c r="Q83" s="48"/>
    </row>
    <row r="85" spans="2:17" ht="30" x14ac:dyDescent="0.25">
      <c r="B85" s="41" t="s">
        <v>172</v>
      </c>
      <c r="C85" s="68" t="s">
        <v>168</v>
      </c>
      <c r="D85" s="41" t="s">
        <v>81</v>
      </c>
      <c r="E85" s="41" t="s">
        <v>82</v>
      </c>
      <c r="F85" s="41" t="s">
        <v>83</v>
      </c>
      <c r="G85" s="41" t="s">
        <v>84</v>
      </c>
      <c r="H85" s="41" t="s">
        <v>85</v>
      </c>
      <c r="I85" s="41" t="s">
        <v>86</v>
      </c>
      <c r="J85" s="41" t="s">
        <v>51</v>
      </c>
      <c r="K85" s="68" t="s">
        <v>87</v>
      </c>
      <c r="L85" s="41" t="s">
        <v>88</v>
      </c>
      <c r="M85" s="41" t="s">
        <v>89</v>
      </c>
      <c r="N85" s="68" t="s">
        <v>173</v>
      </c>
      <c r="Q85" s="48"/>
    </row>
    <row r="86" spans="2:17" x14ac:dyDescent="0.25">
      <c r="B86" s="52" t="str">
        <f>'CBECS Elec'!B23</f>
        <v xml:space="preserve">Health care </v>
      </c>
      <c r="C86" s="67"/>
      <c r="D86" s="66">
        <f t="shared" ref="D86:M88" ca="1" si="8">INDEX(CBECS_Elec_Index,MATCH($B86,CBECS_Elec_Rows,0),MATCH(D$85,CBECS_Elec_End_Uses,0))</f>
        <v>1.3</v>
      </c>
      <c r="E86" s="66">
        <f t="shared" ca="1" si="8"/>
        <v>2.8</v>
      </c>
      <c r="F86" s="66">
        <f t="shared" ca="1" si="8"/>
        <v>7.2</v>
      </c>
      <c r="G86" s="66">
        <f t="shared" ca="1" si="8"/>
        <v>0.6</v>
      </c>
      <c r="H86" s="66">
        <f t="shared" ca="1" si="8"/>
        <v>3.6</v>
      </c>
      <c r="I86" s="66">
        <f t="shared" ca="1" si="8"/>
        <v>1.1000000000000001</v>
      </c>
      <c r="J86" s="66">
        <f t="shared" ca="1" si="8"/>
        <v>0.9</v>
      </c>
      <c r="K86" s="66">
        <f t="shared" ca="1" si="8"/>
        <v>0.3</v>
      </c>
      <c r="L86" s="66">
        <f t="shared" ca="1" si="8"/>
        <v>1.7</v>
      </c>
      <c r="M86" s="66">
        <f t="shared" ca="1" si="8"/>
        <v>6.5</v>
      </c>
      <c r="N86" s="120">
        <f>SUM(N87:N88)</f>
        <v>1</v>
      </c>
      <c r="Q86" s="48"/>
    </row>
    <row r="87" spans="2:17" x14ac:dyDescent="0.25">
      <c r="B87" s="52" t="str">
        <f>'CBECS Elec'!B24</f>
        <v xml:space="preserve">Inpatient </v>
      </c>
      <c r="C87" s="67"/>
      <c r="D87" s="66">
        <f t="shared" ca="1" si="8"/>
        <v>1.3</v>
      </c>
      <c r="E87" s="66">
        <f t="shared" ca="1" si="8"/>
        <v>3.8</v>
      </c>
      <c r="F87" s="66">
        <f t="shared" ca="1" si="8"/>
        <v>8.4</v>
      </c>
      <c r="G87" s="66">
        <f t="shared" ca="1" si="8"/>
        <v>1.4</v>
      </c>
      <c r="H87" s="66">
        <f t="shared" ca="1" si="8"/>
        <v>3.5</v>
      </c>
      <c r="I87" s="66">
        <f t="shared" ca="1" si="8"/>
        <v>1.2</v>
      </c>
      <c r="J87" s="66">
        <f t="shared" ca="1" si="8"/>
        <v>1.2</v>
      </c>
      <c r="K87" s="66">
        <f t="shared" ca="1" si="8"/>
        <v>0.3</v>
      </c>
      <c r="L87" s="66">
        <f t="shared" ca="1" si="8"/>
        <v>2.1</v>
      </c>
      <c r="M87" s="66">
        <f t="shared" ca="1" si="8"/>
        <v>8.3000000000000007</v>
      </c>
      <c r="N87" s="120">
        <f>1-N88</f>
        <v>0.56000000000000005</v>
      </c>
      <c r="Q87" s="48"/>
    </row>
    <row r="88" spans="2:17" x14ac:dyDescent="0.25">
      <c r="B88" s="52" t="str">
        <f>'CBECS Elec'!B25</f>
        <v xml:space="preserve">Outpatient </v>
      </c>
      <c r="C88" s="67"/>
      <c r="D88" s="66">
        <f t="shared" ca="1" si="8"/>
        <v>1.3</v>
      </c>
      <c r="E88" s="66">
        <f t="shared" ca="1" si="8"/>
        <v>1.4</v>
      </c>
      <c r="F88" s="66">
        <f t="shared" ca="1" si="8"/>
        <v>5.6</v>
      </c>
      <c r="G88" s="66">
        <f t="shared" ca="1" si="8"/>
        <v>0.1</v>
      </c>
      <c r="H88" s="66">
        <f t="shared" ca="1" si="8"/>
        <v>3.7</v>
      </c>
      <c r="I88" s="66">
        <f t="shared" ca="1" si="8"/>
        <v>0.6</v>
      </c>
      <c r="J88" s="66">
        <f t="shared" ca="1" si="8"/>
        <v>0.5</v>
      </c>
      <c r="K88" s="66">
        <f t="shared" ca="1" si="8"/>
        <v>0.3</v>
      </c>
      <c r="L88" s="66">
        <f t="shared" ca="1" si="8"/>
        <v>1.1000000000000001</v>
      </c>
      <c r="M88" s="66">
        <f t="shared" ca="1" si="8"/>
        <v>4.0999999999999996</v>
      </c>
      <c r="N88" s="53">
        <v>0.44</v>
      </c>
      <c r="Q88" s="48"/>
    </row>
    <row r="89" spans="2:17" x14ac:dyDescent="0.25">
      <c r="B89" s="44" t="s">
        <v>174</v>
      </c>
      <c r="C89" s="67"/>
      <c r="D89" s="95">
        <f t="shared" ref="D89:M89" ca="1" si="9">SUMPRODUCT(D87:D88,$N$87:$N$88)</f>
        <v>1.3000000000000003</v>
      </c>
      <c r="E89" s="95">
        <f t="shared" ca="1" si="9"/>
        <v>2.7440000000000002</v>
      </c>
      <c r="F89" s="95">
        <f t="shared" ca="1" si="9"/>
        <v>7.168000000000001</v>
      </c>
      <c r="G89" s="95">
        <f t="shared" ca="1" si="9"/>
        <v>0.82800000000000007</v>
      </c>
      <c r="H89" s="95">
        <f t="shared" ca="1" si="9"/>
        <v>3.5880000000000001</v>
      </c>
      <c r="I89" s="95">
        <f t="shared" ca="1" si="9"/>
        <v>0.93600000000000005</v>
      </c>
      <c r="J89" s="95">
        <f t="shared" ca="1" si="9"/>
        <v>0.89200000000000002</v>
      </c>
      <c r="K89" s="95">
        <f t="shared" ca="1" si="9"/>
        <v>0.30000000000000004</v>
      </c>
      <c r="L89" s="95">
        <f t="shared" ca="1" si="9"/>
        <v>1.6600000000000001</v>
      </c>
      <c r="M89" s="95">
        <f t="shared" ca="1" si="9"/>
        <v>6.452</v>
      </c>
      <c r="N89" s="54" t="s">
        <v>91</v>
      </c>
      <c r="Q89" s="48"/>
    </row>
    <row r="90" spans="2:17" x14ac:dyDescent="0.25">
      <c r="B90" s="44" t="s">
        <v>175</v>
      </c>
      <c r="C90" s="67"/>
      <c r="D90" s="95">
        <f t="shared" ref="D90:M90" ca="1" si="10">D86-D89</f>
        <v>0</v>
      </c>
      <c r="E90" s="95">
        <f t="shared" ca="1" si="10"/>
        <v>5.5999999999999606E-2</v>
      </c>
      <c r="F90" s="95">
        <f t="shared" ca="1" si="10"/>
        <v>3.199999999999914E-2</v>
      </c>
      <c r="G90" s="95">
        <f t="shared" ca="1" si="10"/>
        <v>-0.22800000000000009</v>
      </c>
      <c r="H90" s="95">
        <f t="shared" ca="1" si="10"/>
        <v>1.2000000000000011E-2</v>
      </c>
      <c r="I90" s="95">
        <f t="shared" ca="1" si="10"/>
        <v>0.16400000000000003</v>
      </c>
      <c r="J90" s="95">
        <f t="shared" ca="1" si="10"/>
        <v>8.0000000000000071E-3</v>
      </c>
      <c r="K90" s="95">
        <f t="shared" ca="1" si="10"/>
        <v>0</v>
      </c>
      <c r="L90" s="95">
        <f t="shared" ca="1" si="10"/>
        <v>3.9999999999999813E-2</v>
      </c>
      <c r="M90" s="95">
        <f t="shared" ca="1" si="10"/>
        <v>4.8000000000000043E-2</v>
      </c>
      <c r="N90" s="121">
        <f ca="1">SQRT(SUMSQ(D90:M90))</f>
        <v>0.29521517576168055</v>
      </c>
      <c r="Q90" s="48"/>
    </row>
    <row r="91" spans="2:17" x14ac:dyDescent="0.25">
      <c r="Q91" s="48"/>
    </row>
    <row r="92" spans="2:17" ht="30" x14ac:dyDescent="0.25">
      <c r="B92" s="41" t="s">
        <v>172</v>
      </c>
      <c r="C92" s="68" t="s">
        <v>168</v>
      </c>
      <c r="D92" s="41" t="s">
        <v>81</v>
      </c>
      <c r="E92" s="41" t="s">
        <v>82</v>
      </c>
      <c r="F92" s="41" t="s">
        <v>83</v>
      </c>
      <c r="G92" s="41" t="s">
        <v>84</v>
      </c>
      <c r="H92" s="41" t="s">
        <v>85</v>
      </c>
      <c r="I92" s="41" t="s">
        <v>86</v>
      </c>
      <c r="J92" s="41" t="s">
        <v>51</v>
      </c>
      <c r="K92" s="68" t="s">
        <v>87</v>
      </c>
      <c r="L92" s="41" t="s">
        <v>88</v>
      </c>
      <c r="M92" s="41" t="s">
        <v>89</v>
      </c>
      <c r="N92" s="68" t="s">
        <v>173</v>
      </c>
      <c r="Q92" s="78"/>
    </row>
    <row r="93" spans="2:17" x14ac:dyDescent="0.25">
      <c r="B93" s="52" t="str">
        <f>'CBECS Elec'!B27</f>
        <v xml:space="preserve">Mercantile </v>
      </c>
      <c r="C93" s="67"/>
      <c r="D93" s="66">
        <f t="shared" ref="D93:M95" ca="1" si="11">INDEX(CBECS_Elec_Index,MATCH($B93,CBECS_Elec_Rows,0),MATCH(D$85,CBECS_Elec_End_Uses,0))</f>
        <v>1.7</v>
      </c>
      <c r="E93" s="66">
        <f t="shared" ca="1" si="11"/>
        <v>2</v>
      </c>
      <c r="F93" s="66">
        <f t="shared" ca="1" si="11"/>
        <v>3.2</v>
      </c>
      <c r="G93" s="66">
        <f t="shared" ca="1" si="11"/>
        <v>0.8</v>
      </c>
      <c r="H93" s="66">
        <f t="shared" ca="1" si="11"/>
        <v>3.8</v>
      </c>
      <c r="I93" s="66">
        <f t="shared" ca="1" si="11"/>
        <v>0.4</v>
      </c>
      <c r="J93" s="66">
        <f t="shared" ca="1" si="11"/>
        <v>2.2000000000000002</v>
      </c>
      <c r="K93" s="66">
        <f t="shared" ca="1" si="11"/>
        <v>0.2</v>
      </c>
      <c r="L93" s="66">
        <f t="shared" ca="1" si="11"/>
        <v>0.6</v>
      </c>
      <c r="M93" s="66">
        <f t="shared" ca="1" si="11"/>
        <v>3.1</v>
      </c>
      <c r="N93" s="120">
        <f>SUM(N94:N95)</f>
        <v>1</v>
      </c>
      <c r="Q93" s="48"/>
    </row>
    <row r="94" spans="2:17" x14ac:dyDescent="0.25">
      <c r="B94" s="52" t="str">
        <f>'CBECS Elec'!B28</f>
        <v xml:space="preserve">Retail (other than mall) </v>
      </c>
      <c r="C94" s="67"/>
      <c r="D94" s="66">
        <f t="shared" ca="1" si="11"/>
        <v>1.5</v>
      </c>
      <c r="E94" s="66">
        <f t="shared" ca="1" si="11"/>
        <v>1.9</v>
      </c>
      <c r="F94" s="66">
        <f t="shared" ca="1" si="11"/>
        <v>3.4</v>
      </c>
      <c r="G94" s="66">
        <f t="shared" ca="1" si="11"/>
        <v>0.1</v>
      </c>
      <c r="H94" s="66">
        <f t="shared" ca="1" si="11"/>
        <v>3.5</v>
      </c>
      <c r="I94" s="66">
        <f t="shared" ca="1" si="11"/>
        <v>0.5</v>
      </c>
      <c r="J94" s="66">
        <f t="shared" ca="1" si="11"/>
        <v>1.1000000000000001</v>
      </c>
      <c r="K94" s="66">
        <f t="shared" ca="1" si="11"/>
        <v>0.1</v>
      </c>
      <c r="L94" s="66">
        <f t="shared" ca="1" si="11"/>
        <v>0.4</v>
      </c>
      <c r="M94" s="66">
        <f t="shared" ca="1" si="11"/>
        <v>2.9</v>
      </c>
      <c r="N94" s="120">
        <f>1-N95</f>
        <v>0.56000000000000005</v>
      </c>
      <c r="Q94" s="48"/>
    </row>
    <row r="95" spans="2:17" x14ac:dyDescent="0.25">
      <c r="B95" s="52" t="str">
        <f>'CBECS Elec'!B29</f>
        <v xml:space="preserve">Enclosed and strip malls </v>
      </c>
      <c r="C95" s="67"/>
      <c r="D95" s="66">
        <f t="shared" ca="1" si="11"/>
        <v>1.8</v>
      </c>
      <c r="E95" s="66">
        <f t="shared" ca="1" si="11"/>
        <v>2.1</v>
      </c>
      <c r="F95" s="66">
        <f t="shared" ca="1" si="11"/>
        <v>2.9</v>
      </c>
      <c r="G95" s="66">
        <f t="shared" ca="1" si="11"/>
        <v>1.3</v>
      </c>
      <c r="H95" s="66">
        <f t="shared" ca="1" si="11"/>
        <v>4.0999999999999996</v>
      </c>
      <c r="I95" s="66">
        <f t="shared" ca="1" si="11"/>
        <v>0.4</v>
      </c>
      <c r="J95" s="66">
        <f t="shared" ca="1" si="11"/>
        <v>3.1</v>
      </c>
      <c r="K95" s="66">
        <f t="shared" ca="1" si="11"/>
        <v>0.3</v>
      </c>
      <c r="L95" s="66">
        <f t="shared" ca="1" si="11"/>
        <v>0.8</v>
      </c>
      <c r="M95" s="66">
        <f t="shared" ca="1" si="11"/>
        <v>3.3</v>
      </c>
      <c r="N95" s="53">
        <v>0.44</v>
      </c>
      <c r="Q95" s="48"/>
    </row>
    <row r="96" spans="2:17" x14ac:dyDescent="0.25">
      <c r="B96" s="44" t="s">
        <v>174</v>
      </c>
      <c r="C96" s="67"/>
      <c r="D96" s="95">
        <f t="shared" ref="D96:M96" ca="1" si="12">SUMPRODUCT(D94:D95,$N$87:$N$88)</f>
        <v>1.6320000000000001</v>
      </c>
      <c r="E96" s="95">
        <f t="shared" ca="1" si="12"/>
        <v>1.988</v>
      </c>
      <c r="F96" s="95">
        <f t="shared" ca="1" si="12"/>
        <v>3.18</v>
      </c>
      <c r="G96" s="95">
        <f t="shared" ca="1" si="12"/>
        <v>0.62800000000000011</v>
      </c>
      <c r="H96" s="95">
        <f t="shared" ca="1" si="12"/>
        <v>3.7640000000000002</v>
      </c>
      <c r="I96" s="95">
        <f t="shared" ca="1" si="12"/>
        <v>0.45600000000000007</v>
      </c>
      <c r="J96" s="95">
        <f t="shared" ca="1" si="12"/>
        <v>1.9800000000000002</v>
      </c>
      <c r="K96" s="95">
        <f t="shared" ca="1" si="12"/>
        <v>0.188</v>
      </c>
      <c r="L96" s="95">
        <f t="shared" ca="1" si="12"/>
        <v>0.57600000000000007</v>
      </c>
      <c r="M96" s="95">
        <f t="shared" ca="1" si="12"/>
        <v>3.0760000000000001</v>
      </c>
      <c r="N96" s="54" t="s">
        <v>91</v>
      </c>
      <c r="Q96" s="48"/>
    </row>
    <row r="97" spans="2:17" x14ac:dyDescent="0.25">
      <c r="B97" s="44" t="s">
        <v>175</v>
      </c>
      <c r="C97" s="67"/>
      <c r="D97" s="95">
        <f t="shared" ref="D97:M97" ca="1" si="13">D93-D96</f>
        <v>6.7999999999999838E-2</v>
      </c>
      <c r="E97" s="95">
        <f t="shared" ca="1" si="13"/>
        <v>1.2000000000000011E-2</v>
      </c>
      <c r="F97" s="95">
        <f t="shared" ca="1" si="13"/>
        <v>2.0000000000000018E-2</v>
      </c>
      <c r="G97" s="95">
        <f t="shared" ca="1" si="13"/>
        <v>0.17199999999999993</v>
      </c>
      <c r="H97" s="95">
        <f t="shared" ca="1" si="13"/>
        <v>3.5999999999999588E-2</v>
      </c>
      <c r="I97" s="95">
        <f t="shared" ca="1" si="13"/>
        <v>-5.600000000000005E-2</v>
      </c>
      <c r="J97" s="95">
        <f t="shared" ca="1" si="13"/>
        <v>0.21999999999999997</v>
      </c>
      <c r="K97" s="95">
        <f t="shared" ca="1" si="13"/>
        <v>1.2000000000000011E-2</v>
      </c>
      <c r="L97" s="95">
        <f t="shared" ca="1" si="13"/>
        <v>2.399999999999991E-2</v>
      </c>
      <c r="M97" s="95">
        <f t="shared" ca="1" si="13"/>
        <v>2.4000000000000021E-2</v>
      </c>
      <c r="N97" s="121">
        <f ca="1">SQRT(SUMSQ(D97:M97))</f>
        <v>0.29812748950742524</v>
      </c>
      <c r="Q97" s="48"/>
    </row>
    <row r="98" spans="2:17" x14ac:dyDescent="0.25">
      <c r="Q98" s="48"/>
    </row>
    <row r="99" spans="2:17" ht="30" x14ac:dyDescent="0.25">
      <c r="B99" s="41" t="s">
        <v>176</v>
      </c>
      <c r="C99" s="68" t="s">
        <v>168</v>
      </c>
      <c r="D99" s="41" t="s">
        <v>81</v>
      </c>
      <c r="E99" s="41" t="s">
        <v>82</v>
      </c>
      <c r="F99" s="41" t="s">
        <v>83</v>
      </c>
      <c r="G99" s="41" t="s">
        <v>84</v>
      </c>
      <c r="H99" s="41" t="s">
        <v>85</v>
      </c>
      <c r="I99" s="41" t="s">
        <v>86</v>
      </c>
      <c r="J99" s="41" t="s">
        <v>51</v>
      </c>
      <c r="K99" s="68" t="s">
        <v>87</v>
      </c>
      <c r="L99" s="41" t="s">
        <v>88</v>
      </c>
      <c r="M99" s="41" t="s">
        <v>89</v>
      </c>
      <c r="Q99" s="48"/>
    </row>
    <row r="100" spans="2:17" x14ac:dyDescent="0.25">
      <c r="B100" s="141" t="str">
        <f>'CBECS Elec'!B20</f>
        <v>Education</v>
      </c>
      <c r="C100" s="67"/>
      <c r="D100" s="67"/>
      <c r="E100" s="67"/>
      <c r="F100" s="67"/>
      <c r="G100" s="67"/>
      <c r="H100" s="67"/>
      <c r="I100" s="67"/>
      <c r="J100" s="67"/>
      <c r="K100" s="140">
        <f>'CBECS Elec'!K20</f>
        <v>0.1</v>
      </c>
      <c r="L100" s="140">
        <f>'CBECS Elec'!L20</f>
        <v>0.7</v>
      </c>
      <c r="M100" s="67"/>
      <c r="Q100" s="48"/>
    </row>
    <row r="101" spans="2:17" x14ac:dyDescent="0.25">
      <c r="B101" s="141" t="str">
        <f>'CBECS Elec'!B21</f>
        <v xml:space="preserve">Food sales </v>
      </c>
      <c r="C101" s="67"/>
      <c r="D101" s="67"/>
      <c r="E101" s="67"/>
      <c r="F101" s="67"/>
      <c r="G101" s="67"/>
      <c r="H101" s="67"/>
      <c r="I101" s="67"/>
      <c r="J101" s="67"/>
      <c r="K101" s="140">
        <f>'CBECS Elec'!K21</f>
        <v>0.2</v>
      </c>
      <c r="L101" s="140">
        <f>'CBECS Elec'!L21</f>
        <v>0.80000000000000016</v>
      </c>
      <c r="M101" s="67"/>
      <c r="Q101" s="48"/>
    </row>
    <row r="102" spans="2:17" x14ac:dyDescent="0.25">
      <c r="B102" s="141" t="str">
        <f>'CBECS Elec'!B22</f>
        <v xml:space="preserve">Food service </v>
      </c>
      <c r="C102" s="67"/>
      <c r="D102" s="67"/>
      <c r="E102" s="67"/>
      <c r="F102" s="67"/>
      <c r="G102" s="67"/>
      <c r="H102" s="67"/>
      <c r="I102" s="67"/>
      <c r="J102" s="67"/>
      <c r="K102" s="140">
        <f>'CBECS Elec'!K22</f>
        <v>0.3</v>
      </c>
      <c r="L102" s="140">
        <f>'CBECS Elec'!L22</f>
        <v>0.3</v>
      </c>
      <c r="M102" s="67"/>
      <c r="Q102" s="48"/>
    </row>
    <row r="103" spans="2:17" x14ac:dyDescent="0.25">
      <c r="B103" s="141" t="str">
        <f>'CBECS Elec'!B23</f>
        <v xml:space="preserve">Health care </v>
      </c>
      <c r="C103" s="67"/>
      <c r="D103" s="67"/>
      <c r="E103" s="67"/>
      <c r="F103" s="67"/>
      <c r="G103" s="67"/>
      <c r="H103" s="67"/>
      <c r="I103" s="67"/>
      <c r="J103" s="67"/>
      <c r="K103" s="140">
        <f>'CBECS Elec'!K23</f>
        <v>0.3</v>
      </c>
      <c r="L103" s="140">
        <f>'CBECS Elec'!L23</f>
        <v>1.7</v>
      </c>
      <c r="M103" s="67"/>
      <c r="Q103" s="78"/>
    </row>
    <row r="104" spans="2:17" x14ac:dyDescent="0.25">
      <c r="B104" s="141" t="str">
        <f>'CBECS Elec'!B24</f>
        <v xml:space="preserve">Inpatient </v>
      </c>
      <c r="C104" s="67"/>
      <c r="D104" s="67"/>
      <c r="E104" s="67"/>
      <c r="F104" s="67"/>
      <c r="G104" s="67"/>
      <c r="H104" s="67"/>
      <c r="I104" s="67"/>
      <c r="J104" s="67"/>
      <c r="K104" s="140">
        <f>'CBECS Elec'!K24</f>
        <v>0.3</v>
      </c>
      <c r="L104" s="140">
        <f>'CBECS Elec'!L24</f>
        <v>2.1</v>
      </c>
      <c r="M104" s="67"/>
      <c r="Q104" s="48"/>
    </row>
    <row r="105" spans="2:17" x14ac:dyDescent="0.25">
      <c r="B105" s="141" t="str">
        <f>'CBECS Elec'!B25</f>
        <v xml:space="preserve">Outpatient </v>
      </c>
      <c r="C105" s="67"/>
      <c r="D105" s="67"/>
      <c r="E105" s="67"/>
      <c r="F105" s="67"/>
      <c r="G105" s="67"/>
      <c r="H105" s="67"/>
      <c r="I105" s="67"/>
      <c r="J105" s="67"/>
      <c r="K105" s="140">
        <f>'CBECS Elec'!K25</f>
        <v>0.3</v>
      </c>
      <c r="L105" s="140">
        <f>'CBECS Elec'!L25</f>
        <v>1.1000000000000001</v>
      </c>
      <c r="M105" s="67"/>
      <c r="Q105" s="48"/>
    </row>
    <row r="106" spans="2:17" x14ac:dyDescent="0.25">
      <c r="B106" s="141" t="str">
        <f>'CBECS Elec'!B26</f>
        <v xml:space="preserve">Lodging </v>
      </c>
      <c r="C106" s="67"/>
      <c r="D106" s="67"/>
      <c r="E106" s="67"/>
      <c r="F106" s="67"/>
      <c r="G106" s="67"/>
      <c r="H106" s="67"/>
      <c r="I106" s="67"/>
      <c r="J106" s="67"/>
      <c r="K106" s="140">
        <f>'CBECS Elec'!K26</f>
        <v>0.1</v>
      </c>
      <c r="L106" s="140">
        <f>'CBECS Elec'!L26</f>
        <v>0.4</v>
      </c>
      <c r="M106" s="67"/>
      <c r="Q106" s="48"/>
    </row>
    <row r="107" spans="2:17" x14ac:dyDescent="0.25">
      <c r="B107" s="141" t="str">
        <f>'CBECS Elec'!B27</f>
        <v xml:space="preserve">Mercantile </v>
      </c>
      <c r="C107" s="67"/>
      <c r="D107" s="67"/>
      <c r="E107" s="67"/>
      <c r="F107" s="67"/>
      <c r="G107" s="67"/>
      <c r="H107" s="67"/>
      <c r="I107" s="67"/>
      <c r="J107" s="67"/>
      <c r="K107" s="140">
        <f>'CBECS Elec'!K27</f>
        <v>0.2</v>
      </c>
      <c r="L107" s="140">
        <f>'CBECS Elec'!L27</f>
        <v>0.6</v>
      </c>
      <c r="M107" s="67"/>
      <c r="Q107" s="48"/>
    </row>
    <row r="108" spans="2:17" x14ac:dyDescent="0.25">
      <c r="B108" s="141" t="str">
        <f>'CBECS Elec'!B28</f>
        <v xml:space="preserve">Retail (other than mall) </v>
      </c>
      <c r="C108" s="67"/>
      <c r="D108" s="67"/>
      <c r="E108" s="67"/>
      <c r="F108" s="67"/>
      <c r="G108" s="67"/>
      <c r="H108" s="67"/>
      <c r="I108" s="67"/>
      <c r="J108" s="67"/>
      <c r="K108" s="140">
        <f>'CBECS Elec'!K28</f>
        <v>0.1</v>
      </c>
      <c r="L108" s="140">
        <f>'CBECS Elec'!L28</f>
        <v>0.4</v>
      </c>
      <c r="M108" s="67"/>
      <c r="Q108" s="48"/>
    </row>
    <row r="109" spans="2:17" x14ac:dyDescent="0.25">
      <c r="B109" s="141" t="str">
        <f>'CBECS Elec'!B29</f>
        <v xml:space="preserve">Enclosed and strip malls </v>
      </c>
      <c r="C109" s="67"/>
      <c r="D109" s="67"/>
      <c r="E109" s="67"/>
      <c r="F109" s="67"/>
      <c r="G109" s="67"/>
      <c r="H109" s="67"/>
      <c r="I109" s="67"/>
      <c r="J109" s="67"/>
      <c r="K109" s="140">
        <f>'CBECS Elec'!K29</f>
        <v>0.3</v>
      </c>
      <c r="L109" s="140">
        <f>'CBECS Elec'!L29</f>
        <v>0.8</v>
      </c>
      <c r="M109" s="67"/>
      <c r="Q109" s="48"/>
    </row>
    <row r="110" spans="2:17" x14ac:dyDescent="0.25">
      <c r="B110" s="141" t="str">
        <f>'CBECS Elec'!B30</f>
        <v xml:space="preserve">Office </v>
      </c>
      <c r="C110" s="67"/>
      <c r="D110" s="67"/>
      <c r="E110" s="67"/>
      <c r="F110" s="67"/>
      <c r="G110" s="67"/>
      <c r="H110" s="67"/>
      <c r="I110" s="67"/>
      <c r="J110" s="67"/>
      <c r="K110" s="140">
        <f>'CBECS Elec'!K30</f>
        <v>0.2</v>
      </c>
      <c r="L110" s="140">
        <f>'CBECS Elec'!L30</f>
        <v>1.5</v>
      </c>
      <c r="M110" s="67"/>
      <c r="Q110" s="78"/>
    </row>
    <row r="111" spans="2:17" x14ac:dyDescent="0.25">
      <c r="B111" s="141" t="str">
        <f>'CBECS Elec'!B31</f>
        <v xml:space="preserve">Public assembly </v>
      </c>
      <c r="C111" s="67"/>
      <c r="D111" s="67"/>
      <c r="E111" s="67"/>
      <c r="F111" s="67"/>
      <c r="G111" s="67"/>
      <c r="H111" s="67"/>
      <c r="I111" s="67"/>
      <c r="J111" s="67"/>
      <c r="K111" s="140">
        <f>'CBECS Elec'!K31</f>
        <v>0.1</v>
      </c>
      <c r="L111" s="140">
        <f>'CBECS Elec'!L31</f>
        <v>0.3</v>
      </c>
      <c r="M111" s="67"/>
      <c r="Q111" s="48"/>
    </row>
    <row r="112" spans="2:17" x14ac:dyDescent="0.25">
      <c r="B112" s="141" t="str">
        <f>'CBECS Elec'!B32</f>
        <v xml:space="preserve">Public order and safety </v>
      </c>
      <c r="C112" s="67"/>
      <c r="D112" s="67"/>
      <c r="E112" s="67"/>
      <c r="F112" s="67"/>
      <c r="G112" s="67"/>
      <c r="H112" s="67"/>
      <c r="I112" s="67"/>
      <c r="J112" s="67"/>
      <c r="K112" s="140">
        <f>'CBECS Elec'!K32</f>
        <v>0.2</v>
      </c>
      <c r="L112" s="140">
        <f>'CBECS Elec'!L32</f>
        <v>0.8</v>
      </c>
      <c r="M112" s="67"/>
      <c r="Q112" s="48"/>
    </row>
    <row r="113" spans="2:17" x14ac:dyDescent="0.25">
      <c r="B113" s="141" t="str">
        <f>'CBECS Elec'!B33</f>
        <v xml:space="preserve">Religious worship </v>
      </c>
      <c r="C113" s="67"/>
      <c r="D113" s="67"/>
      <c r="E113" s="67"/>
      <c r="F113" s="67"/>
      <c r="G113" s="67"/>
      <c r="H113" s="67"/>
      <c r="I113" s="67"/>
      <c r="J113" s="67"/>
      <c r="K113" s="140">
        <f>'CBECS Elec'!K33</f>
        <v>0.1</v>
      </c>
      <c r="L113" s="140">
        <f>'CBECS Elec'!L33</f>
        <v>0.1</v>
      </c>
      <c r="M113" s="67"/>
      <c r="Q113" s="48"/>
    </row>
    <row r="114" spans="2:17" x14ac:dyDescent="0.25">
      <c r="B114" s="141" t="str">
        <f>'CBECS Elec'!B34</f>
        <v xml:space="preserve">Service </v>
      </c>
      <c r="C114" s="67"/>
      <c r="D114" s="67"/>
      <c r="E114" s="67"/>
      <c r="F114" s="67"/>
      <c r="G114" s="67"/>
      <c r="H114" s="67"/>
      <c r="I114" s="67"/>
      <c r="J114" s="67"/>
      <c r="K114" s="140">
        <f>'CBECS Elec'!K34</f>
        <v>0.1</v>
      </c>
      <c r="L114" s="140">
        <f>'CBECS Elec'!L34</f>
        <v>0.2</v>
      </c>
      <c r="M114" s="67"/>
      <c r="Q114" s="48"/>
    </row>
    <row r="115" spans="2:17" x14ac:dyDescent="0.25">
      <c r="B115" s="141" t="str">
        <f>'CBECS Elec'!B35</f>
        <v xml:space="preserve">Warehouse and storage </v>
      </c>
      <c r="C115" s="67"/>
      <c r="D115" s="67"/>
      <c r="E115" s="67"/>
      <c r="F115" s="67"/>
      <c r="G115" s="67"/>
      <c r="H115" s="67"/>
      <c r="I115" s="67"/>
      <c r="J115" s="67"/>
      <c r="K115" s="140">
        <f>'CBECS Elec'!K35</f>
        <v>0.10000000000000002</v>
      </c>
      <c r="L115" s="140">
        <f>'CBECS Elec'!L35</f>
        <v>0.2</v>
      </c>
      <c r="M115" s="67"/>
      <c r="Q115" s="48"/>
    </row>
    <row r="116" spans="2:17" x14ac:dyDescent="0.25">
      <c r="B116" s="141" t="str">
        <f>'CBECS Elec'!B36</f>
        <v xml:space="preserve">Other </v>
      </c>
      <c r="C116" s="67"/>
      <c r="D116" s="67"/>
      <c r="E116" s="67"/>
      <c r="F116" s="67"/>
      <c r="G116" s="67"/>
      <c r="H116" s="67"/>
      <c r="I116" s="67"/>
      <c r="J116" s="67"/>
      <c r="K116" s="140">
        <f>'CBECS Elec'!K36</f>
        <v>0.1</v>
      </c>
      <c r="L116" s="140">
        <f>'CBECS Elec'!L36</f>
        <v>9.6999999999999993</v>
      </c>
      <c r="M116" s="67"/>
      <c r="Q116" s="48"/>
    </row>
    <row r="117" spans="2:17" x14ac:dyDescent="0.25">
      <c r="B117" s="141" t="str">
        <f>'CBECS Elec'!B37</f>
        <v xml:space="preserve">Vacant </v>
      </c>
      <c r="C117" s="67"/>
      <c r="D117" s="67"/>
      <c r="E117" s="67"/>
      <c r="F117" s="67"/>
      <c r="G117" s="67"/>
      <c r="H117" s="67"/>
      <c r="I117" s="67"/>
      <c r="J117" s="67"/>
      <c r="K117" s="140" t="str">
        <f>'CBECS Elec'!K37</f>
        <v>Q</v>
      </c>
      <c r="L117" s="140">
        <f>'CBECS Elec'!L37</f>
        <v>0.2</v>
      </c>
      <c r="M117" s="67"/>
      <c r="Q117" s="48"/>
    </row>
    <row r="118" spans="2:17" x14ac:dyDescent="0.25">
      <c r="Q118" s="78"/>
    </row>
    <row r="119" spans="2:17" ht="30" x14ac:dyDescent="0.25">
      <c r="B119" s="64" t="s">
        <v>177</v>
      </c>
      <c r="C119" s="64" t="str">
        <f t="shared" ref="C119:J119" si="14">C69</f>
        <v>On-Site Generation</v>
      </c>
      <c r="D119" s="64" t="str">
        <f t="shared" si="14"/>
        <v>Heating</v>
      </c>
      <c r="E119" s="64" t="str">
        <f t="shared" si="14"/>
        <v>Cooling</v>
      </c>
      <c r="F119" s="64" t="str">
        <f t="shared" si="14"/>
        <v>Ventilation</v>
      </c>
      <c r="G119" s="64" t="str">
        <f t="shared" si="14"/>
        <v>DHW</v>
      </c>
      <c r="H119" s="64" t="str">
        <f t="shared" si="14"/>
        <v>Lighting</v>
      </c>
      <c r="I119" s="64" t="str">
        <f t="shared" si="14"/>
        <v>Cooking</v>
      </c>
      <c r="J119" s="64" t="str">
        <f t="shared" si="14"/>
        <v>Refrigeration</v>
      </c>
      <c r="K119" s="65" t="str">
        <f>K99</f>
        <v>Office equipment</v>
      </c>
      <c r="L119" s="65" t="str">
        <f>L99</f>
        <v>Computing</v>
      </c>
      <c r="M119" s="64" t="str">
        <f>L69</f>
        <v>Process</v>
      </c>
      <c r="N119" s="64" t="s">
        <v>170</v>
      </c>
      <c r="O119" s="64" t="s">
        <v>178</v>
      </c>
      <c r="Q119" s="48"/>
    </row>
    <row r="120" spans="2:17" x14ac:dyDescent="0.25">
      <c r="B120" s="55" t="str">
        <f>B70</f>
        <v>Education</v>
      </c>
      <c r="C120" s="143">
        <f t="shared" ref="C120:J122" si="15">INDEX($C$70:$L$81,MATCH($B120,$B$70:$B$81,0),MATCH(C$119,$C$69:$L$69,0))</f>
        <v>-0.12</v>
      </c>
      <c r="D120" s="143">
        <f t="shared" si="15"/>
        <v>0.28000000000000003</v>
      </c>
      <c r="E120" s="143">
        <f t="shared" si="15"/>
        <v>3.35</v>
      </c>
      <c r="F120" s="143">
        <f t="shared" si="15"/>
        <v>2.02</v>
      </c>
      <c r="G120" s="143">
        <f t="shared" si="15"/>
        <v>0.06</v>
      </c>
      <c r="H120" s="143">
        <f t="shared" si="15"/>
        <v>1.51</v>
      </c>
      <c r="I120" s="143">
        <f t="shared" si="15"/>
        <v>0.33</v>
      </c>
      <c r="J120" s="143">
        <f t="shared" si="15"/>
        <v>0.48</v>
      </c>
      <c r="K120" s="145">
        <f t="shared" ref="K120:L135" ca="1" si="16">$N120*INDEX(K$100:K$117,MATCH($O120,$B$100:$B$117,0))/SUM(OFFSET($K$99:$L$99,MATCH($O120,$B$100:$B$117,0),0,1,2))</f>
        <v>0.12750000000000003</v>
      </c>
      <c r="L120" s="145">
        <f t="shared" ca="1" si="16"/>
        <v>0.89250000000000007</v>
      </c>
      <c r="M120" s="143">
        <f t="shared" ref="M120:N122" si="17">INDEX($C$70:$L$81,MATCH($B120,$B$70:$B$81,0),MATCH(M$119,$C$69:$L$69,0))</f>
        <v>2.0099999999999998</v>
      </c>
      <c r="N120" s="143">
        <f t="shared" si="17"/>
        <v>1.02</v>
      </c>
      <c r="O120" s="142" t="str" cm="1">
        <f t="array" aca="1" ref="O120" ca="1">_xlfn.XLOOKUP($B120,Lookups_Building_List_TRM,Lookups_Building_List_CBECS,,0)</f>
        <v>Education</v>
      </c>
      <c r="Q120" s="48"/>
    </row>
    <row r="121" spans="2:17" x14ac:dyDescent="0.25">
      <c r="B121" s="55" t="str">
        <f>B71</f>
        <v>Grocery</v>
      </c>
      <c r="C121" s="143">
        <f t="shared" si="15"/>
        <v>-0.01</v>
      </c>
      <c r="D121" s="143">
        <f t="shared" si="15"/>
        <v>1.1000000000000001</v>
      </c>
      <c r="E121" s="143">
        <f t="shared" si="15"/>
        <v>5.97</v>
      </c>
      <c r="F121" s="143">
        <f t="shared" si="15"/>
        <v>2.91</v>
      </c>
      <c r="G121" s="143">
        <f t="shared" si="15"/>
        <v>0.24</v>
      </c>
      <c r="H121" s="143">
        <f t="shared" si="15"/>
        <v>4.68</v>
      </c>
      <c r="I121" s="143">
        <f t="shared" si="15"/>
        <v>2.38</v>
      </c>
      <c r="J121" s="143">
        <f t="shared" si="15"/>
        <v>17.89</v>
      </c>
      <c r="K121" s="145">
        <f t="shared" ca="1" si="16"/>
        <v>8.7999999999999995E-2</v>
      </c>
      <c r="L121" s="145">
        <f t="shared" ca="1" si="16"/>
        <v>0.35200000000000004</v>
      </c>
      <c r="M121" s="143">
        <f t="shared" si="17"/>
        <v>2.8</v>
      </c>
      <c r="N121" s="143">
        <f t="shared" si="17"/>
        <v>0.44</v>
      </c>
      <c r="O121" s="142" t="str" cm="1">
        <f t="array" aca="1" ref="O121" ca="1">_xlfn.XLOOKUP($B121,Lookups_Building_List_TRM,Lookups_Building_List_CBECS,,0)</f>
        <v xml:space="preserve">Food sales </v>
      </c>
      <c r="Q121" s="48"/>
    </row>
    <row r="122" spans="2:17" x14ac:dyDescent="0.25">
      <c r="B122" s="55" t="str">
        <f>B72</f>
        <v>Health</v>
      </c>
      <c r="C122" s="143">
        <f t="shared" si="15"/>
        <v>-2.3199999999999998</v>
      </c>
      <c r="D122" s="143">
        <f t="shared" si="15"/>
        <v>0.28999999999999998</v>
      </c>
      <c r="E122" s="143">
        <f t="shared" si="15"/>
        <v>8.67</v>
      </c>
      <c r="F122" s="143">
        <f t="shared" si="15"/>
        <v>3.63</v>
      </c>
      <c r="G122" s="143">
        <f t="shared" si="15"/>
        <v>0.33</v>
      </c>
      <c r="H122" s="143">
        <f t="shared" si="15"/>
        <v>4.9800000000000004</v>
      </c>
      <c r="I122" s="143">
        <f t="shared" si="15"/>
        <v>0.26</v>
      </c>
      <c r="J122" s="143">
        <f t="shared" si="15"/>
        <v>0.84</v>
      </c>
      <c r="K122" s="145">
        <f t="shared" ca="1" si="16"/>
        <v>0.36149999999999999</v>
      </c>
      <c r="L122" s="145">
        <f t="shared" ca="1" si="16"/>
        <v>2.0485000000000002</v>
      </c>
      <c r="M122" s="143">
        <f t="shared" si="17"/>
        <v>6.42</v>
      </c>
      <c r="N122" s="143">
        <f t="shared" si="17"/>
        <v>2.41</v>
      </c>
      <c r="O122" s="142" t="str" cm="1">
        <f t="array" aca="1" ref="O122" ca="1">_xlfn.XLOOKUP($B122,Lookups_Building_List_TRM,Lookups_Building_List_CBECS,,0)</f>
        <v xml:space="preserve">Health care </v>
      </c>
      <c r="Q122" s="48"/>
    </row>
    <row r="123" spans="2:17" x14ac:dyDescent="0.25">
      <c r="B123" s="56" t="s">
        <v>179</v>
      </c>
      <c r="C123" s="147">
        <f ca="1">C122*M87/M86</f>
        <v>-2.9624615384615387</v>
      </c>
      <c r="D123" s="146">
        <f t="shared" ref="D123:J124" ca="1" si="18">D$122*D87/D$86</f>
        <v>0.28999999999999998</v>
      </c>
      <c r="E123" s="146">
        <f t="shared" ca="1" si="18"/>
        <v>11.766428571428571</v>
      </c>
      <c r="F123" s="146">
        <f t="shared" ca="1" si="18"/>
        <v>4.2350000000000003</v>
      </c>
      <c r="G123" s="146">
        <f t="shared" ca="1" si="18"/>
        <v>0.77</v>
      </c>
      <c r="H123" s="146">
        <f t="shared" ca="1" si="18"/>
        <v>4.8416666666666668</v>
      </c>
      <c r="I123" s="146">
        <f t="shared" ca="1" si="18"/>
        <v>0.28363636363636363</v>
      </c>
      <c r="J123" s="146">
        <f t="shared" ca="1" si="18"/>
        <v>1.1199999999999999</v>
      </c>
      <c r="K123" s="145">
        <f t="shared" ca="1" si="16"/>
        <v>0.38467307692307701</v>
      </c>
      <c r="L123" s="145">
        <f t="shared" ca="1" si="16"/>
        <v>2.6927115384615394</v>
      </c>
      <c r="M123" s="146">
        <f ca="1">M$122*M87/M$86</f>
        <v>8.1978461538461538</v>
      </c>
      <c r="N123" s="146">
        <f ca="1">N$122*M87/M$86</f>
        <v>3.0773846153846161</v>
      </c>
      <c r="O123" s="142" t="str" cm="1">
        <f t="array" aca="1" ref="O123" ca="1">_xlfn.XLOOKUP($B123,Lookups_Building_List_TRM,Lookups_Building_List_CBECS,,0)</f>
        <v xml:space="preserve">Inpatient </v>
      </c>
      <c r="Q123" s="78"/>
    </row>
    <row r="124" spans="2:17" x14ac:dyDescent="0.25">
      <c r="B124" s="56" t="s">
        <v>180</v>
      </c>
      <c r="C124" s="147">
        <f ca="1">C122*M88/M86</f>
        <v>-1.4633846153846153</v>
      </c>
      <c r="D124" s="146">
        <f t="shared" ca="1" si="18"/>
        <v>0.28999999999999998</v>
      </c>
      <c r="E124" s="146">
        <f t="shared" ca="1" si="18"/>
        <v>4.335</v>
      </c>
      <c r="F124" s="146">
        <f t="shared" ca="1" si="18"/>
        <v>2.8233333333333333</v>
      </c>
      <c r="G124" s="146">
        <f t="shared" ca="1" si="18"/>
        <v>5.5000000000000007E-2</v>
      </c>
      <c r="H124" s="146">
        <f t="shared" ca="1" si="18"/>
        <v>5.1183333333333341</v>
      </c>
      <c r="I124" s="146">
        <f t="shared" ca="1" si="18"/>
        <v>0.14181818181818182</v>
      </c>
      <c r="J124" s="146">
        <f t="shared" ca="1" si="18"/>
        <v>0.46666666666666662</v>
      </c>
      <c r="K124" s="145">
        <f t="shared" ca="1" si="16"/>
        <v>0.32574725274725269</v>
      </c>
      <c r="L124" s="145">
        <f t="shared" ca="1" si="16"/>
        <v>1.1944065934065933</v>
      </c>
      <c r="M124" s="146">
        <f ca="1">M$122*M88/M$86</f>
        <v>4.0495384615384618</v>
      </c>
      <c r="N124" s="146">
        <f ca="1">N$122*M88/M$86</f>
        <v>1.5201538461538462</v>
      </c>
      <c r="O124" s="142" t="str" cm="1">
        <f t="array" aca="1" ref="O124" ca="1">_xlfn.XLOOKUP($B124,Lookups_Building_List_TRM,Lookups_Building_List_CBECS,,0)</f>
        <v xml:space="preserve">Outpatient </v>
      </c>
      <c r="Q124" s="48"/>
    </row>
    <row r="125" spans="2:17" x14ac:dyDescent="0.25">
      <c r="B125" s="55" t="str">
        <f t="shared" ref="B125:B132" si="19">B73</f>
        <v>Industrial</v>
      </c>
      <c r="C125" s="143">
        <f t="shared" ref="C125:J132" si="20">INDEX($C$70:$L$81,MATCH($B125,$B$70:$B$81,0),MATCH(C$119,$C$69:$L$69,0))</f>
        <v>-0.36</v>
      </c>
      <c r="D125" s="143">
        <f t="shared" si="20"/>
        <v>0.04</v>
      </c>
      <c r="E125" s="143">
        <f t="shared" si="20"/>
        <v>1.51</v>
      </c>
      <c r="F125" s="143">
        <f t="shared" si="20"/>
        <v>1.57</v>
      </c>
      <c r="G125" s="143">
        <f t="shared" si="20"/>
        <v>0.37</v>
      </c>
      <c r="H125" s="143">
        <f t="shared" si="20"/>
        <v>1.59</v>
      </c>
      <c r="I125" s="143">
        <f t="shared" si="20"/>
        <v>0.01</v>
      </c>
      <c r="J125" s="143">
        <f t="shared" si="20"/>
        <v>4.8600000000000003</v>
      </c>
      <c r="K125" s="145">
        <f t="shared" ca="1" si="16"/>
        <v>1.6020408163265311E-2</v>
      </c>
      <c r="L125" s="145">
        <f t="shared" ca="1" si="16"/>
        <v>1.5539795918367347</v>
      </c>
      <c r="M125" s="143">
        <f t="shared" ref="M125:N132" si="21">INDEX($C$70:$L$81,MATCH($B125,$B$70:$B$81,0),MATCH(M$119,$C$69:$L$69,0))</f>
        <v>31.91</v>
      </c>
      <c r="N125" s="143">
        <f t="shared" si="21"/>
        <v>1.57</v>
      </c>
      <c r="O125" s="142" t="str" cm="1">
        <f t="array" aca="1" ref="O125" ca="1">_xlfn.XLOOKUP($B125,Lookups_Building_List_TRM,Lookups_Building_List_CBECS,,0)</f>
        <v xml:space="preserve">Other </v>
      </c>
      <c r="Q125" s="48"/>
    </row>
    <row r="126" spans="2:17" x14ac:dyDescent="0.25">
      <c r="B126" s="55" t="str">
        <f t="shared" si="19"/>
        <v>Institutional</v>
      </c>
      <c r="C126" s="143">
        <f t="shared" si="20"/>
        <v>-0.02</v>
      </c>
      <c r="D126" s="143">
        <f t="shared" si="20"/>
        <v>0.38</v>
      </c>
      <c r="E126" s="143">
        <f t="shared" si="20"/>
        <v>9.48</v>
      </c>
      <c r="F126" s="143">
        <f t="shared" si="20"/>
        <v>1.89</v>
      </c>
      <c r="G126" s="143">
        <f t="shared" si="20"/>
        <v>0.23</v>
      </c>
      <c r="H126" s="143">
        <f t="shared" si="20"/>
        <v>2.79</v>
      </c>
      <c r="I126" s="143">
        <f t="shared" si="20"/>
        <v>0.47</v>
      </c>
      <c r="J126" s="143">
        <f t="shared" si="20"/>
        <v>0.23</v>
      </c>
      <c r="K126" s="145">
        <f t="shared" ca="1" si="16"/>
        <v>0.12</v>
      </c>
      <c r="L126" s="145">
        <f t="shared" ca="1" si="16"/>
        <v>0.48</v>
      </c>
      <c r="M126" s="143">
        <f t="shared" si="21"/>
        <v>0.88</v>
      </c>
      <c r="N126" s="143">
        <f t="shared" si="21"/>
        <v>0.6</v>
      </c>
      <c r="O126" s="142" t="str" cm="1">
        <f t="array" aca="1" ref="O126" ca="1">_xlfn.XLOOKUP($B126,Lookups_Building_List_TRM,Lookups_Building_List_CBECS,,0)</f>
        <v xml:space="preserve">Public order and safety </v>
      </c>
      <c r="Q126" s="48"/>
    </row>
    <row r="127" spans="2:17" x14ac:dyDescent="0.25">
      <c r="B127" s="55" t="str">
        <f t="shared" si="19"/>
        <v>Lodging</v>
      </c>
      <c r="C127" s="143">
        <f t="shared" si="20"/>
        <v>-0.03</v>
      </c>
      <c r="D127" s="143">
        <f t="shared" si="20"/>
        <v>2.0299999999999998</v>
      </c>
      <c r="E127" s="143">
        <f t="shared" si="20"/>
        <v>3.47</v>
      </c>
      <c r="F127" s="143">
        <f t="shared" si="20"/>
        <v>1.78</v>
      </c>
      <c r="G127" s="143">
        <f t="shared" si="20"/>
        <v>0.23</v>
      </c>
      <c r="H127" s="143">
        <f t="shared" si="20"/>
        <v>1.57</v>
      </c>
      <c r="I127" s="143">
        <f t="shared" si="20"/>
        <v>0.23</v>
      </c>
      <c r="J127" s="143">
        <f t="shared" si="20"/>
        <v>0.22</v>
      </c>
      <c r="K127" s="145">
        <f t="shared" ca="1" si="16"/>
        <v>4.0000000000000008E-2</v>
      </c>
      <c r="L127" s="145">
        <f t="shared" ca="1" si="16"/>
        <v>0.16000000000000003</v>
      </c>
      <c r="M127" s="143">
        <f t="shared" si="21"/>
        <v>0.26</v>
      </c>
      <c r="N127" s="143">
        <f t="shared" si="21"/>
        <v>0.2</v>
      </c>
      <c r="O127" s="142" t="str" cm="1">
        <f t="array" aca="1" ref="O127" ca="1">_xlfn.XLOOKUP($B127,Lookups_Building_List_TRM,Lookups_Building_List_CBECS,,0)</f>
        <v xml:space="preserve">Lodging </v>
      </c>
      <c r="Q127" s="48"/>
    </row>
    <row r="128" spans="2:17" x14ac:dyDescent="0.25">
      <c r="B128" s="55" t="str">
        <f t="shared" si="19"/>
        <v>Miscellaneous</v>
      </c>
      <c r="C128" s="143">
        <f t="shared" si="20"/>
        <v>0</v>
      </c>
      <c r="D128" s="143">
        <f t="shared" si="20"/>
        <v>0.13</v>
      </c>
      <c r="E128" s="143">
        <f t="shared" si="20"/>
        <v>2.39</v>
      </c>
      <c r="F128" s="143">
        <f t="shared" si="20"/>
        <v>1.49</v>
      </c>
      <c r="G128" s="143">
        <f t="shared" si="20"/>
        <v>0.16</v>
      </c>
      <c r="H128" s="143">
        <f t="shared" si="20"/>
        <v>1.21</v>
      </c>
      <c r="I128" s="143">
        <f t="shared" si="20"/>
        <v>0.34</v>
      </c>
      <c r="J128" s="143">
        <f t="shared" si="20"/>
        <v>0.3</v>
      </c>
      <c r="K128" s="145">
        <f t="shared" ca="1" si="16"/>
        <v>3.0612244897959186E-3</v>
      </c>
      <c r="L128" s="145">
        <f t="shared" ca="1" si="16"/>
        <v>0.29693877551020409</v>
      </c>
      <c r="M128" s="143">
        <f t="shared" si="21"/>
        <v>2.08</v>
      </c>
      <c r="N128" s="143">
        <f t="shared" si="21"/>
        <v>0.3</v>
      </c>
      <c r="O128" s="142" t="str" cm="1">
        <f t="array" aca="1" ref="O128" ca="1">_xlfn.XLOOKUP($B128,Lookups_Building_List_TRM,Lookups_Building_List_CBECS,,0)</f>
        <v xml:space="preserve">Other </v>
      </c>
      <c r="Q128" s="48"/>
    </row>
    <row r="129" spans="2:17" x14ac:dyDescent="0.25">
      <c r="B129" s="55" t="str">
        <f t="shared" si="19"/>
        <v>Office</v>
      </c>
      <c r="C129" s="143">
        <f t="shared" si="20"/>
        <v>-0.01</v>
      </c>
      <c r="D129" s="143">
        <f t="shared" si="20"/>
        <v>0.16</v>
      </c>
      <c r="E129" s="143">
        <f t="shared" si="20"/>
        <v>2.84</v>
      </c>
      <c r="F129" s="143">
        <f t="shared" si="20"/>
        <v>1.1599999999999999</v>
      </c>
      <c r="G129" s="143">
        <f t="shared" si="20"/>
        <v>0.11</v>
      </c>
      <c r="H129" s="143">
        <f t="shared" si="20"/>
        <v>0.86</v>
      </c>
      <c r="I129" s="143">
        <f t="shared" si="20"/>
        <v>0.01</v>
      </c>
      <c r="J129" s="143">
        <f t="shared" si="20"/>
        <v>0.04</v>
      </c>
      <c r="K129" s="145">
        <f t="shared" ca="1" si="16"/>
        <v>0.13882352941176471</v>
      </c>
      <c r="L129" s="145">
        <f t="shared" ca="1" si="16"/>
        <v>1.0411764705882354</v>
      </c>
      <c r="M129" s="143">
        <f t="shared" si="21"/>
        <v>1.18</v>
      </c>
      <c r="N129" s="143">
        <f t="shared" si="21"/>
        <v>1.18</v>
      </c>
      <c r="O129" s="142" t="str" cm="1">
        <f t="array" aca="1" ref="O129" ca="1">_xlfn.XLOOKUP($B129,Lookups_Building_List_TRM,Lookups_Building_List_CBECS,,0)</f>
        <v xml:space="preserve">Office </v>
      </c>
      <c r="Q129" s="48"/>
    </row>
    <row r="130" spans="2:17" x14ac:dyDescent="0.25">
      <c r="B130" s="55" t="str">
        <f t="shared" si="19"/>
        <v>Religious</v>
      </c>
      <c r="C130" s="143">
        <f t="shared" si="20"/>
        <v>-0.44</v>
      </c>
      <c r="D130" s="143">
        <f t="shared" si="20"/>
        <v>0.1</v>
      </c>
      <c r="E130" s="143">
        <f t="shared" si="20"/>
        <v>1.38</v>
      </c>
      <c r="F130" s="143">
        <f t="shared" si="20"/>
        <v>1.04</v>
      </c>
      <c r="G130" s="143">
        <f t="shared" si="20"/>
        <v>0.15</v>
      </c>
      <c r="H130" s="143">
        <f t="shared" si="20"/>
        <v>0.79</v>
      </c>
      <c r="I130" s="143">
        <f t="shared" si="20"/>
        <v>0.49</v>
      </c>
      <c r="J130" s="143">
        <f t="shared" si="20"/>
        <v>7.0000000000000007E-2</v>
      </c>
      <c r="K130" s="145">
        <f t="shared" ca="1" si="16"/>
        <v>0.06</v>
      </c>
      <c r="L130" s="145">
        <f t="shared" ca="1" si="16"/>
        <v>0.06</v>
      </c>
      <c r="M130" s="143">
        <f t="shared" si="21"/>
        <v>0</v>
      </c>
      <c r="N130" s="143">
        <f t="shared" si="21"/>
        <v>0.12</v>
      </c>
      <c r="O130" s="142" t="str" cm="1">
        <f t="array" aca="1" ref="O130" ca="1">_xlfn.XLOOKUP($B130,Lookups_Building_List_TRM,Lookups_Building_List_CBECS,,0)</f>
        <v xml:space="preserve">Religious worship </v>
      </c>
      <c r="Q130" s="48"/>
    </row>
    <row r="131" spans="2:17" x14ac:dyDescent="0.25">
      <c r="B131" s="55" t="str">
        <f t="shared" si="19"/>
        <v>Restaurant</v>
      </c>
      <c r="C131" s="143">
        <f t="shared" si="20"/>
        <v>-0.56000000000000005</v>
      </c>
      <c r="D131" s="143">
        <f t="shared" si="20"/>
        <v>1.58</v>
      </c>
      <c r="E131" s="143">
        <f t="shared" si="20"/>
        <v>3.78</v>
      </c>
      <c r="F131" s="143">
        <f t="shared" si="20"/>
        <v>1.63</v>
      </c>
      <c r="G131" s="143">
        <f t="shared" si="20"/>
        <v>3.01</v>
      </c>
      <c r="H131" s="143">
        <f t="shared" si="20"/>
        <v>1.25</v>
      </c>
      <c r="I131" s="143">
        <f t="shared" si="20"/>
        <v>8.86</v>
      </c>
      <c r="J131" s="143">
        <f t="shared" si="20"/>
        <v>7.71</v>
      </c>
      <c r="K131" s="145">
        <f t="shared" ca="1" si="16"/>
        <v>0.16</v>
      </c>
      <c r="L131" s="145">
        <f t="shared" ca="1" si="16"/>
        <v>0.16</v>
      </c>
      <c r="M131" s="143">
        <f t="shared" si="21"/>
        <v>2.1800000000000002</v>
      </c>
      <c r="N131" s="143">
        <f t="shared" si="21"/>
        <v>0.32</v>
      </c>
      <c r="O131" s="142" t="str" cm="1">
        <f t="array" aca="1" ref="O131" ca="1">_xlfn.XLOOKUP($B131,Lookups_Building_List_TRM,Lookups_Building_List_CBECS,,0)</f>
        <v xml:space="preserve">Food service </v>
      </c>
      <c r="Q131" s="48"/>
    </row>
    <row r="132" spans="2:17" x14ac:dyDescent="0.25">
      <c r="B132" s="55" t="str">
        <f t="shared" si="19"/>
        <v>Retail</v>
      </c>
      <c r="C132" s="143">
        <f t="shared" si="20"/>
        <v>0</v>
      </c>
      <c r="D132" s="143">
        <f t="shared" si="20"/>
        <v>0.17</v>
      </c>
      <c r="E132" s="143">
        <f t="shared" si="20"/>
        <v>1.98</v>
      </c>
      <c r="F132" s="143">
        <f t="shared" si="20"/>
        <v>1.57</v>
      </c>
      <c r="G132" s="143">
        <f t="shared" si="20"/>
        <v>0.08</v>
      </c>
      <c r="H132" s="143">
        <f t="shared" si="20"/>
        <v>1.24</v>
      </c>
      <c r="I132" s="143">
        <f t="shared" si="20"/>
        <v>0.25</v>
      </c>
      <c r="J132" s="143">
        <f t="shared" si="20"/>
        <v>0.43</v>
      </c>
      <c r="K132" s="145">
        <f t="shared" ca="1" si="16"/>
        <v>0.17749999999999996</v>
      </c>
      <c r="L132" s="145">
        <f t="shared" ca="1" si="16"/>
        <v>0.53249999999999997</v>
      </c>
      <c r="M132" s="143">
        <f t="shared" si="21"/>
        <v>0.65</v>
      </c>
      <c r="N132" s="143">
        <f t="shared" si="21"/>
        <v>0.71</v>
      </c>
      <c r="O132" s="142" t="str" cm="1">
        <f t="array" aca="1" ref="O132" ca="1">_xlfn.XLOOKUP($B132,Lookups_Building_List_TRM,Lookups_Building_List_CBECS,,0)</f>
        <v xml:space="preserve">Public assembly </v>
      </c>
      <c r="Q132" s="48"/>
    </row>
    <row r="133" spans="2:17" x14ac:dyDescent="0.25">
      <c r="B133" s="56" t="str">
        <f>B108</f>
        <v xml:space="preserve">Retail (other than mall) </v>
      </c>
      <c r="C133" s="147">
        <f ca="1">C132*M94/M93</f>
        <v>0</v>
      </c>
      <c r="D133" s="146">
        <f t="shared" ref="D133:J134" ca="1" si="22">D$132*D94/D$93</f>
        <v>0.15</v>
      </c>
      <c r="E133" s="146">
        <f t="shared" ca="1" si="22"/>
        <v>1.881</v>
      </c>
      <c r="F133" s="146">
        <f t="shared" ca="1" si="22"/>
        <v>1.6681249999999999</v>
      </c>
      <c r="G133" s="146">
        <f t="shared" ca="1" si="22"/>
        <v>0.01</v>
      </c>
      <c r="H133" s="146">
        <f t="shared" ca="1" si="22"/>
        <v>1.1421052631578947</v>
      </c>
      <c r="I133" s="146">
        <f t="shared" ca="1" si="22"/>
        <v>0.3125</v>
      </c>
      <c r="J133" s="146">
        <f t="shared" ca="1" si="22"/>
        <v>0.215</v>
      </c>
      <c r="K133" s="145">
        <f t="shared" ca="1" si="16"/>
        <v>0.13283870967741934</v>
      </c>
      <c r="L133" s="145">
        <f t="shared" ca="1" si="16"/>
        <v>0.53135483870967737</v>
      </c>
      <c r="M133" s="146">
        <f ca="1">M$132*M94/M$93</f>
        <v>0.60806451612903223</v>
      </c>
      <c r="N133" s="146">
        <f ca="1">N$132*M94/M$93</f>
        <v>0.66419354838709666</v>
      </c>
      <c r="O133" s="142" t="str" cm="1">
        <f t="array" aca="1" ref="O133" ca="1">_xlfn.XLOOKUP($B133,Lookups_Building_List_TRM,Lookups_Building_List_CBECS,,0)</f>
        <v xml:space="preserve">Retail (other than mall) </v>
      </c>
      <c r="Q133" s="78"/>
    </row>
    <row r="134" spans="2:17" x14ac:dyDescent="0.25">
      <c r="B134" s="56" t="str">
        <f>B109</f>
        <v xml:space="preserve">Enclosed and strip malls </v>
      </c>
      <c r="C134" s="147">
        <f ca="1">C132*M95/M93</f>
        <v>0</v>
      </c>
      <c r="D134" s="146">
        <f t="shared" ca="1" si="22"/>
        <v>0.18000000000000002</v>
      </c>
      <c r="E134" s="146">
        <f t="shared" ca="1" si="22"/>
        <v>2.0790000000000002</v>
      </c>
      <c r="F134" s="146">
        <f t="shared" ca="1" si="22"/>
        <v>1.4228124999999998</v>
      </c>
      <c r="G134" s="146">
        <f t="shared" ca="1" si="22"/>
        <v>0.13</v>
      </c>
      <c r="H134" s="146">
        <f t="shared" ca="1" si="22"/>
        <v>1.3378947368421052</v>
      </c>
      <c r="I134" s="146">
        <f t="shared" ca="1" si="22"/>
        <v>0.25</v>
      </c>
      <c r="J134" s="146">
        <f t="shared" ca="1" si="22"/>
        <v>0.60590909090909084</v>
      </c>
      <c r="K134" s="145">
        <f t="shared" ca="1" si="16"/>
        <v>0.20612903225806448</v>
      </c>
      <c r="L134" s="145">
        <f t="shared" ca="1" si="16"/>
        <v>0.5496774193548386</v>
      </c>
      <c r="M134" s="146">
        <f ca="1">M$132*M95/M$93</f>
        <v>0.6919354838709677</v>
      </c>
      <c r="N134" s="146">
        <f ca="1">N$132*M95/M$93</f>
        <v>0.75580645161290316</v>
      </c>
      <c r="O134" s="142" t="str" cm="1">
        <f t="array" aca="1" ref="O134" ca="1">_xlfn.XLOOKUP($B134,Lookups_Building_List_TRM,Lookups_Building_List_CBECS,,0)</f>
        <v xml:space="preserve">Enclosed and strip malls </v>
      </c>
      <c r="Q134" s="48"/>
    </row>
    <row r="135" spans="2:17" x14ac:dyDescent="0.25">
      <c r="B135" s="55" t="str">
        <f>B81</f>
        <v>Warehouse</v>
      </c>
      <c r="C135" s="143">
        <f t="shared" ref="C135:J135" si="23">INDEX($C$70:$L$81,MATCH($B135,$B$70:$B$81,0),MATCH(C$119,$C$69:$L$69,0))</f>
        <v>0</v>
      </c>
      <c r="D135" s="143">
        <f t="shared" si="23"/>
        <v>7.0000000000000007E-2</v>
      </c>
      <c r="E135" s="143">
        <f t="shared" si="23"/>
        <v>0.28999999999999998</v>
      </c>
      <c r="F135" s="143">
        <f t="shared" si="23"/>
        <v>1.33</v>
      </c>
      <c r="G135" s="143">
        <f t="shared" si="23"/>
        <v>0.12</v>
      </c>
      <c r="H135" s="143">
        <f t="shared" si="23"/>
        <v>0.7</v>
      </c>
      <c r="I135" s="143">
        <f t="shared" si="23"/>
        <v>0</v>
      </c>
      <c r="J135" s="143">
        <f t="shared" si="23"/>
        <v>0.43</v>
      </c>
      <c r="K135" s="145">
        <f t="shared" ca="1" si="16"/>
        <v>0.12666666666666668</v>
      </c>
      <c r="L135" s="145">
        <f t="shared" ca="1" si="16"/>
        <v>0.25333333333333335</v>
      </c>
      <c r="M135" s="143">
        <f>INDEX($C$70:$L$81,MATCH($B135,$B$70:$B$81,0),MATCH(M$119,$C$69:$L$69,0))</f>
        <v>0.38</v>
      </c>
      <c r="N135" s="143">
        <f>INDEX($C$70:$L$81,MATCH($B135,$B$70:$B$81,0),MATCH(N$119,$C$69:$L$69,0))</f>
        <v>0.38</v>
      </c>
      <c r="O135" s="142" t="str" cm="1">
        <f t="array" aca="1" ref="O135" ca="1">_xlfn.XLOOKUP($B135,Lookups_Building_List_TRM,Lookups_Building_List_CBECS,,0)</f>
        <v xml:space="preserve">Warehouse and storage </v>
      </c>
      <c r="Q135" s="48"/>
    </row>
    <row r="136" spans="2:17" x14ac:dyDescent="0.25">
      <c r="E136" s="144"/>
      <c r="Q136" s="48"/>
    </row>
    <row r="137" spans="2:17" x14ac:dyDescent="0.25">
      <c r="E137" s="144"/>
      <c r="Q137" s="48"/>
    </row>
    <row r="138" spans="2:17" x14ac:dyDescent="0.25">
      <c r="E138" s="144"/>
      <c r="Q138" s="48"/>
    </row>
    <row r="139" spans="2:17" x14ac:dyDescent="0.25">
      <c r="E139" s="144"/>
      <c r="Q139" s="48"/>
    </row>
    <row r="140" spans="2:17" x14ac:dyDescent="0.25">
      <c r="E140" s="144"/>
      <c r="Q140" s="48"/>
    </row>
    <row r="141" spans="2:17" x14ac:dyDescent="0.25">
      <c r="E141" s="144"/>
      <c r="Q141" s="48"/>
    </row>
    <row r="142" spans="2:17" ht="23.25" x14ac:dyDescent="0.35">
      <c r="B142" s="250" t="s">
        <v>181</v>
      </c>
      <c r="C142" s="249"/>
      <c r="D142" s="249"/>
      <c r="E142" s="249"/>
      <c r="F142" s="249"/>
      <c r="G142" s="249"/>
      <c r="H142" s="249"/>
      <c r="I142" s="249"/>
      <c r="J142" s="249"/>
      <c r="K142" s="249"/>
      <c r="L142" s="249"/>
      <c r="M142" s="249"/>
      <c r="N142" s="249"/>
      <c r="O142" s="249"/>
      <c r="Q142" s="78"/>
    </row>
    <row r="143" spans="2:17" ht="18.75" x14ac:dyDescent="0.3">
      <c r="B143" s="248"/>
      <c r="C143" s="248"/>
      <c r="D143" s="248"/>
      <c r="E143" s="248"/>
      <c r="F143" s="248"/>
      <c r="G143" s="248"/>
      <c r="H143" s="248"/>
      <c r="I143" s="248"/>
      <c r="J143" s="248"/>
      <c r="K143" s="248"/>
      <c r="L143" s="248"/>
      <c r="M143" s="248"/>
      <c r="N143" s="248"/>
      <c r="O143" s="248"/>
      <c r="Q143" s="78"/>
    </row>
    <row r="144" spans="2:17" ht="30" x14ac:dyDescent="0.25">
      <c r="B144" s="41" t="str">
        <f>FacilityChar_Building_Type_Workbook</f>
        <v>Health, Other</v>
      </c>
      <c r="C144" s="41" t="s">
        <v>81</v>
      </c>
      <c r="D144" s="41" t="s">
        <v>82</v>
      </c>
      <c r="E144" s="41" t="s">
        <v>83</v>
      </c>
      <c r="F144" s="41" t="s">
        <v>84</v>
      </c>
      <c r="G144" s="41" t="s">
        <v>85</v>
      </c>
      <c r="H144" s="41" t="s">
        <v>86</v>
      </c>
      <c r="I144" s="41" t="s">
        <v>51</v>
      </c>
      <c r="J144" s="68" t="s">
        <v>87</v>
      </c>
      <c r="K144" s="41" t="s">
        <v>88</v>
      </c>
      <c r="L144" s="41" t="s">
        <v>89</v>
      </c>
      <c r="Q144" s="48"/>
    </row>
    <row r="145" spans="2:17" ht="17.25" x14ac:dyDescent="0.25">
      <c r="B145" s="1" t="s">
        <v>107</v>
      </c>
      <c r="C145" s="182" cm="1">
        <f t="array" aca="1" ref="C145" ca="1">_xlfn.LET(_xlpm.Base_Use,_xlfn.XLOOKUP(C$144,Lookups_End_Use_CBECS,Lookups_End_Use_Base,,0),INDEX($C$120:$N$135,MATCH(FacilityChar_Building_Type_TRM,$B$120:$B$135,0),MATCH(_xlpm.Base_Use,$C$119:$N$119,0)))</f>
        <v>0.28999999999999998</v>
      </c>
      <c r="D145" s="182" cm="1">
        <f t="array" aca="1" ref="D145" ca="1">_xlfn.LET(_xlpm.Base_Use,_xlfn.XLOOKUP(D$144,Lookups_End_Use_CBECS,Lookups_End_Use_Base,,0),INDEX($C$120:$N$135,MATCH(FacilityChar_Building_Type_TRM,$B$120:$B$135,0),MATCH(_xlpm.Base_Use,$C$119:$N$119,0)))</f>
        <v>8.67</v>
      </c>
      <c r="E145" s="182" cm="1">
        <f t="array" aca="1" ref="E145" ca="1">_xlfn.LET(_xlpm.Base_Use,_xlfn.XLOOKUP(E$144,Lookups_End_Use_CBECS,Lookups_End_Use_Base,,0),INDEX($C$120:$N$135,MATCH(FacilityChar_Building_Type_TRM,$B$120:$B$135,0),MATCH(_xlpm.Base_Use,$C$119:$N$119,0)))</f>
        <v>3.63</v>
      </c>
      <c r="F145" s="182" cm="1">
        <f t="array" aca="1" ref="F145" ca="1">_xlfn.LET(_xlpm.Base_Use,_xlfn.XLOOKUP(F$144,Lookups_End_Use_CBECS,Lookups_End_Use_Base,,0),INDEX($C$120:$N$135,MATCH(FacilityChar_Building_Type_TRM,$B$120:$B$135,0),MATCH(_xlpm.Base_Use,$C$119:$N$119,0)))</f>
        <v>0.33</v>
      </c>
      <c r="G145" s="182" cm="1">
        <f t="array" aca="1" ref="G145" ca="1">_xlfn.LET(_xlpm.Base_Use,_xlfn.XLOOKUP(G$144,Lookups_End_Use_CBECS,Lookups_End_Use_Base,,0),INDEX($C$120:$N$135,MATCH(FacilityChar_Building_Type_TRM,$B$120:$B$135,0),MATCH(_xlpm.Base_Use,$C$119:$N$119,0)))</f>
        <v>4.9800000000000004</v>
      </c>
      <c r="H145" s="182" cm="1">
        <f t="array" aca="1" ref="H145" ca="1">_xlfn.LET(_xlpm.Base_Use,_xlfn.XLOOKUP(H$144,Lookups_End_Use_CBECS,Lookups_End_Use_Base,,0),INDEX($C$120:$N$135,MATCH(FacilityChar_Building_Type_TRM,$B$120:$B$135,0),MATCH(_xlpm.Base_Use,$C$119:$N$119,0)))</f>
        <v>0.26</v>
      </c>
      <c r="I145" s="182" cm="1">
        <f t="array" aca="1" ref="I145" ca="1">_xlfn.LET(_xlpm.Base_Use,_xlfn.XLOOKUP(I$144,Lookups_End_Use_CBECS,Lookups_End_Use_Base,,0),INDEX($C$120:$N$135,MATCH(FacilityChar_Building_Type_TRM,$B$120:$B$135,0),MATCH(_xlpm.Base_Use,$C$119:$N$119,0)))</f>
        <v>0.84</v>
      </c>
      <c r="J145" s="182" cm="1">
        <f t="array" aca="1" ref="J145" ca="1">_xlfn.LET(_xlpm.Base_Use,_xlfn.XLOOKUP(J$144,Lookups_End_Use_CBECS,Lookups_End_Use_Base,,0),INDEX($C$120:$N$135,MATCH(FacilityChar_Building_Type_TRM,$B$120:$B$135,0),MATCH(_xlpm.Base_Use,$C$119:$N$119,0)))</f>
        <v>0.36149999999999999</v>
      </c>
      <c r="K145" s="182" cm="1">
        <f t="array" aca="1" ref="K145" ca="1">_xlfn.LET(_xlpm.Base_Use,_xlfn.XLOOKUP(K$144,Lookups_End_Use_CBECS,Lookups_End_Use_Base,,0),INDEX($C$120:$N$135,MATCH(FacilityChar_Building_Type_TRM,$B$120:$B$135,0),MATCH(_xlpm.Base_Use,$C$119:$N$119,0)))</f>
        <v>2.0485000000000002</v>
      </c>
      <c r="L145" s="182" cm="1">
        <f t="array" aca="1" ref="L145" ca="1">_xlfn.LET(_xlpm.Base_Use,_xlfn.XLOOKUP(L$144,Lookups_End_Use_CBECS,Lookups_End_Use_Base,,0),INDEX($C$120:$N$135,MATCH(FacilityChar_Building_Type_TRM,$B$120:$B$135,0),MATCH(_xlpm.Base_Use,$C$119:$N$119,0)))</f>
        <v>6.42</v>
      </c>
      <c r="Q145" s="48"/>
    </row>
    <row r="146" spans="2:17" ht="17.25" x14ac:dyDescent="0.25">
      <c r="B146" s="1" t="s">
        <v>108</v>
      </c>
      <c r="C146" s="138" cm="1">
        <f t="array" aca="1" ref="C146" ca="1">INDEX(CBECS_Gas_Index,MATCH(FacilityChar_Building_Type_CBECS,CBECS_Gas_Rows,0),MATCH(C144,CBECS_Gas_End_Uses,0)+10)</f>
        <v>48.417400000000001</v>
      </c>
      <c r="D146" s="118"/>
      <c r="E146" s="118"/>
      <c r="F146" s="138" cm="1">
        <f t="array" aca="1" ref="F146" ca="1">INDEX(CBECS_Gas_Index,MATCH(FacilityChar_Building_Type_CBECS,CBECS_Gas_Rows,0),MATCH(F144,CBECS_Gas_End_Uses,0)+10)</f>
        <v>9.8704999999999998</v>
      </c>
      <c r="G146" s="118"/>
      <c r="H146" s="138" cm="1">
        <f t="array" aca="1" ref="H146" ca="1">INDEX(CBECS_Gas_Index,MATCH(FacilityChar_Building_Type_CBECS,CBECS_Gas_Rows,0),MATCH(H144,CBECS_Gas_End_Uses,0)+10)</f>
        <v>17.039599999999997</v>
      </c>
      <c r="I146" s="118"/>
      <c r="J146" s="118"/>
      <c r="K146" s="118"/>
      <c r="L146" s="138" cm="1">
        <f t="array" aca="1" ref="L146" ca="1">INDEX(CBECS_Gas_Index,MATCH(FacilityChar_Building_Type_CBECS,CBECS_Gas_Rows,0),MATCH(L144,CBECS_Gas_End_Uses,0)+10)</f>
        <v>16.104499999999998</v>
      </c>
      <c r="Q146" s="48"/>
    </row>
    <row r="147" spans="2:17" x14ac:dyDescent="0.25">
      <c r="Q147" s="48"/>
    </row>
    <row r="148" spans="2:17" x14ac:dyDescent="0.25">
      <c r="Q148" s="78"/>
    </row>
    <row r="149" spans="2:17" x14ac:dyDescent="0.25">
      <c r="B149" s="409" t="s">
        <v>182</v>
      </c>
      <c r="C149" s="410"/>
      <c r="D149" s="410"/>
      <c r="E149" s="410"/>
      <c r="F149" s="410"/>
      <c r="G149" s="410"/>
      <c r="H149" s="410"/>
      <c r="I149" s="410"/>
      <c r="J149" s="410"/>
      <c r="K149" s="410"/>
      <c r="L149" s="411"/>
      <c r="Q149" s="48"/>
    </row>
    <row r="150" spans="2:17" x14ac:dyDescent="0.25">
      <c r="B150" s="412"/>
      <c r="C150" s="413"/>
      <c r="D150" s="413"/>
      <c r="E150" s="413"/>
      <c r="F150" s="413"/>
      <c r="G150" s="413"/>
      <c r="H150" s="413"/>
      <c r="I150" s="413"/>
      <c r="J150" s="413"/>
      <c r="K150" s="413"/>
      <c r="L150" s="414"/>
      <c r="Q150" s="48"/>
    </row>
    <row r="151" spans="2:17" x14ac:dyDescent="0.25">
      <c r="Q151" s="48"/>
    </row>
    <row r="152" spans="2:17" x14ac:dyDescent="0.25">
      <c r="B152" s="123" t="s">
        <v>183</v>
      </c>
      <c r="C152" s="167" cm="1">
        <f t="array" aca="1" ref="C152" ca="1">_xlfn.XLOOKUP(F153,Lookups_Heating_Type_Gas,Lookups_Heating_Type_Gas_Eff,,0)</f>
        <v>0.8</v>
      </c>
      <c r="D152" s="124" t="s">
        <v>91</v>
      </c>
      <c r="F152" s="127" t="s">
        <v>184</v>
      </c>
      <c r="G152" s="128"/>
      <c r="H152" s="126" t="s">
        <v>185</v>
      </c>
      <c r="I152" s="41" t="s">
        <v>186</v>
      </c>
      <c r="J152" s="41" t="s">
        <v>96</v>
      </c>
      <c r="Q152" s="48"/>
    </row>
    <row r="153" spans="2:17" ht="17.25" x14ac:dyDescent="0.25">
      <c r="B153" s="122" t="s">
        <v>187</v>
      </c>
      <c r="C153" s="125">
        <f ca="1">C146*C60*C152</f>
        <v>33.263862595419845</v>
      </c>
      <c r="D153" s="28" t="s">
        <v>108</v>
      </c>
      <c r="F153" s="168" t="str">
        <f>'2 .Facility Charaterization'!H41</f>
        <v>Boiler / Central Plant</v>
      </c>
      <c r="G153" s="169"/>
      <c r="H153" s="165">
        <f ca="1">C153*C154/(C154+C155)</f>
        <v>28.511882224645582</v>
      </c>
      <c r="I153" s="134">
        <f ca="1">H153/C152</f>
        <v>35.639852780806976</v>
      </c>
      <c r="J153" s="148" t="s">
        <v>108</v>
      </c>
      <c r="Q153" s="48"/>
    </row>
    <row r="154" spans="2:17" ht="17.25" x14ac:dyDescent="0.25">
      <c r="B154" s="122" t="s">
        <v>188</v>
      </c>
      <c r="C154" s="164">
        <f>'2 .Facility Charaterization'!J43</f>
        <v>0.6</v>
      </c>
      <c r="D154" s="124" t="s">
        <v>91</v>
      </c>
      <c r="F154" s="168" t="str">
        <f>'2 .Facility Charaterization'!H44</f>
        <v>Ground Source Heat Pump</v>
      </c>
      <c r="G154" s="169"/>
      <c r="H154" s="165">
        <f ca="1">C153*C155/(C155+C154)</f>
        <v>4.7519803707742643</v>
      </c>
      <c r="I154" s="166" cm="1">
        <f t="array" aca="1" ref="I154" ca="1">H154/_xlfn.XLOOKUP(F154,Lookups_Heating_Types_Elec,Lookups_Heating_Types_Elec_COP,,0)/3.412</f>
        <v>0.39792165221690373</v>
      </c>
      <c r="J154" s="148" t="s">
        <v>107</v>
      </c>
      <c r="Q154" s="48"/>
    </row>
    <row r="155" spans="2:17" x14ac:dyDescent="0.25">
      <c r="B155" s="123" t="s">
        <v>189</v>
      </c>
      <c r="C155" s="164">
        <f>'2 .Facility Charaterization'!J46</f>
        <v>0.1</v>
      </c>
      <c r="D155" s="124" t="s">
        <v>91</v>
      </c>
      <c r="Q155" s="78"/>
    </row>
    <row r="156" spans="2:17" x14ac:dyDescent="0.25">
      <c r="Q156" s="48"/>
    </row>
    <row r="157" spans="2:17" x14ac:dyDescent="0.25">
      <c r="Q157" s="48"/>
    </row>
    <row r="158" spans="2:17" x14ac:dyDescent="0.25">
      <c r="B158" s="409" t="s">
        <v>190</v>
      </c>
      <c r="C158" s="410"/>
      <c r="D158" s="410"/>
      <c r="E158" s="410"/>
      <c r="F158" s="410"/>
      <c r="G158" s="410"/>
      <c r="H158" s="410"/>
      <c r="I158" s="410"/>
      <c r="J158" s="410"/>
      <c r="K158" s="410"/>
      <c r="L158" s="411"/>
      <c r="Q158" s="48"/>
    </row>
    <row r="159" spans="2:17" x14ac:dyDescent="0.25">
      <c r="B159" s="412"/>
      <c r="C159" s="413"/>
      <c r="D159" s="413"/>
      <c r="E159" s="413"/>
      <c r="F159" s="413"/>
      <c r="G159" s="413"/>
      <c r="H159" s="413"/>
      <c r="I159" s="413"/>
      <c r="J159" s="413"/>
      <c r="K159" s="413"/>
      <c r="L159" s="414"/>
      <c r="Q159" s="48"/>
    </row>
    <row r="160" spans="2:17" x14ac:dyDescent="0.25">
      <c r="Q160" s="48"/>
    </row>
    <row r="161" spans="2:17" ht="17.25" x14ac:dyDescent="0.25">
      <c r="B161" s="41" t="s">
        <v>191</v>
      </c>
      <c r="C161" s="41" t="s">
        <v>192</v>
      </c>
      <c r="D161" s="41" t="s">
        <v>193</v>
      </c>
      <c r="E161" s="41" t="s">
        <v>194</v>
      </c>
      <c r="Q161" s="48"/>
    </row>
    <row r="162" spans="2:17" x14ac:dyDescent="0.25">
      <c r="B162" s="133" t="str">
        <f>'CBECS Elec'!B276</f>
        <v>Any refrigeration</v>
      </c>
      <c r="C162" s="137">
        <f>1*('2 .Facility Charaterization'!J60="yes")</f>
        <v>1</v>
      </c>
      <c r="D162" s="136">
        <f>INDEX('CBECS Elec'!$J$9:$J$328,MATCH($B162,'CBECS Elec'!$B$9:$B$328,0))</f>
        <v>1.4</v>
      </c>
      <c r="E162" s="134">
        <f t="shared" ref="E162:E168" si="24">D162*C162</f>
        <v>1.4</v>
      </c>
      <c r="Q162" s="48"/>
    </row>
    <row r="163" spans="2:17" x14ac:dyDescent="0.25">
      <c r="B163" s="133" t="str">
        <f>'CBECS Elec'!B277</f>
        <v>Walk-in units</v>
      </c>
      <c r="C163" s="137">
        <f>1*('2 .Facility Charaterization'!J61="yes")</f>
        <v>1</v>
      </c>
      <c r="D163" s="136">
        <f>INDEX('CBECS Elec'!$J$9:$J$328,MATCH($B163,'CBECS Elec'!$B$9:$B$328,0))</f>
        <v>2.7</v>
      </c>
      <c r="E163" s="134">
        <f t="shared" si="24"/>
        <v>2.7</v>
      </c>
      <c r="Q163" s="48"/>
    </row>
    <row r="164" spans="2:17" x14ac:dyDescent="0.25">
      <c r="B164" s="133" t="str">
        <f>'CBECS Elec'!B278</f>
        <v>Cases or cabinets</v>
      </c>
      <c r="C164" s="137">
        <f>1*('2 .Facility Charaterization'!J62="yes")</f>
        <v>1</v>
      </c>
      <c r="D164" s="136">
        <f>INDEX('CBECS Elec'!$J$9:$J$328,MATCH($B164,'CBECS Elec'!$B$9:$B$328,0))</f>
        <v>2.6</v>
      </c>
      <c r="E164" s="134">
        <f t="shared" si="24"/>
        <v>2.6</v>
      </c>
      <c r="Q164" s="78"/>
    </row>
    <row r="165" spans="2:17" x14ac:dyDescent="0.25">
      <c r="B165" s="133" t="str">
        <f>'CBECS Elec'!B279</f>
        <v>Large cold storage areas</v>
      </c>
      <c r="C165" s="137">
        <f>1*('2 .Facility Charaterization'!J63="yes")</f>
        <v>1</v>
      </c>
      <c r="D165" s="136">
        <f>INDEX('CBECS Elec'!$J$9:$J$328,MATCH($B165,'CBECS Elec'!$B$9:$B$328,0))</f>
        <v>6.2</v>
      </c>
      <c r="E165" s="134">
        <f t="shared" si="24"/>
        <v>6.2</v>
      </c>
      <c r="Q165" s="48"/>
    </row>
    <row r="166" spans="2:17" x14ac:dyDescent="0.25">
      <c r="B166" s="133" t="str">
        <f>'CBECS Elec'!B280</f>
        <v>Commercial ice makers</v>
      </c>
      <c r="C166" s="137">
        <f>1*('2 .Facility Charaterization'!J64="yes")</f>
        <v>1</v>
      </c>
      <c r="D166" s="136">
        <f>INDEX('CBECS Elec'!$J$9:$J$328,MATCH($B166,'CBECS Elec'!$B$9:$B$328,0))</f>
        <v>2.1</v>
      </c>
      <c r="E166" s="134">
        <f t="shared" si="24"/>
        <v>2.1</v>
      </c>
      <c r="Q166" s="48"/>
    </row>
    <row r="167" spans="2:17" x14ac:dyDescent="0.25">
      <c r="B167" s="133" t="str">
        <f>'CBECS Elec'!B281</f>
        <v>Residential-type or compact units</v>
      </c>
      <c r="C167" s="137">
        <f>1*('2 .Facility Charaterization'!J65="yes")</f>
        <v>1</v>
      </c>
      <c r="D167" s="136">
        <f>INDEX('CBECS Elec'!$J$9:$J$328,MATCH($B167,'CBECS Elec'!$B$9:$B$328,0))</f>
        <v>1.1000000000000001</v>
      </c>
      <c r="E167" s="134">
        <f t="shared" si="24"/>
        <v>1.1000000000000001</v>
      </c>
      <c r="Q167" s="48"/>
    </row>
    <row r="168" spans="2:17" x14ac:dyDescent="0.25">
      <c r="B168" s="133" t="str">
        <f>'CBECS Elec'!B282</f>
        <v>Vending machines</v>
      </c>
      <c r="C168" s="137">
        <f>1*(SUM(C162:C167)=0)</f>
        <v>0</v>
      </c>
      <c r="D168" s="136">
        <f>INDEX('CBECS Elec'!$J$9:$J$328,MATCH($B168,'CBECS Elec'!$B$9:$B$328,0))</f>
        <v>1.3</v>
      </c>
      <c r="E168" s="134">
        <f t="shared" si="24"/>
        <v>0</v>
      </c>
      <c r="Q168" s="48"/>
    </row>
    <row r="169" spans="2:17" x14ac:dyDescent="0.25">
      <c r="E169" s="135">
        <f>MAX(E162:E167)</f>
        <v>6.2</v>
      </c>
      <c r="Q169" s="48"/>
    </row>
    <row r="170" spans="2:17" x14ac:dyDescent="0.25">
      <c r="Q170" s="48"/>
    </row>
    <row r="171" spans="2:17" x14ac:dyDescent="0.25">
      <c r="Q171" s="48"/>
    </row>
    <row r="172" spans="2:17" x14ac:dyDescent="0.25">
      <c r="D172" s="409" t="s">
        <v>195</v>
      </c>
      <c r="E172" s="410"/>
      <c r="F172" s="410"/>
      <c r="G172" s="410"/>
      <c r="H172" s="410"/>
      <c r="I172" s="410"/>
      <c r="J172" s="410"/>
      <c r="K172" s="410"/>
      <c r="L172" s="411"/>
      <c r="Q172" s="48"/>
    </row>
    <row r="173" spans="2:17" x14ac:dyDescent="0.25">
      <c r="D173" s="412"/>
      <c r="E173" s="413"/>
      <c r="F173" s="413"/>
      <c r="G173" s="413"/>
      <c r="H173" s="413"/>
      <c r="I173" s="413"/>
      <c r="J173" s="413"/>
      <c r="K173" s="413"/>
      <c r="L173" s="414"/>
      <c r="Q173" s="48"/>
    </row>
    <row r="174" spans="2:17" ht="30" x14ac:dyDescent="0.25">
      <c r="B174" s="40" t="str">
        <f>FacilityChar_Building_Type_Workbook</f>
        <v>Health, Other</v>
      </c>
      <c r="C174" s="40" t="s">
        <v>81</v>
      </c>
      <c r="D174" s="40" t="s">
        <v>82</v>
      </c>
      <c r="E174" s="40" t="s">
        <v>83</v>
      </c>
      <c r="F174" s="40" t="s">
        <v>84</v>
      </c>
      <c r="G174" s="40" t="s">
        <v>85</v>
      </c>
      <c r="H174" s="40" t="s">
        <v>86</v>
      </c>
      <c r="I174" s="40" t="s">
        <v>51</v>
      </c>
      <c r="J174" s="240" t="s">
        <v>87</v>
      </c>
      <c r="K174" s="40" t="s">
        <v>88</v>
      </c>
      <c r="L174" s="40" t="s">
        <v>89</v>
      </c>
      <c r="Q174" s="78"/>
    </row>
    <row r="175" spans="2:17" ht="17.25" x14ac:dyDescent="0.25">
      <c r="B175" s="1" t="s">
        <v>107</v>
      </c>
      <c r="C175" s="241">
        <f ca="1">I154</f>
        <v>0.39792165221690373</v>
      </c>
      <c r="D175" s="139">
        <f ca="1">D145*D60</f>
        <v>5.0719500000000002</v>
      </c>
      <c r="E175" s="139">
        <f ca="1">E145*E60</f>
        <v>4.3826086956521735</v>
      </c>
      <c r="F175" s="139">
        <f>IF('2 .Facility Charaterization'!I52="Electric",F145*F60,0)</f>
        <v>0</v>
      </c>
      <c r="G175" s="139">
        <f ca="1">G145*G60</f>
        <v>4.9800000000000004</v>
      </c>
      <c r="H175" s="139">
        <f ca="1">('2 .Facility Charaterization'!$I$71="Electric")*H145*H60</f>
        <v>0</v>
      </c>
      <c r="I175" s="139">
        <f ca="1">MAX(I145*I60,E169)</f>
        <v>6.2</v>
      </c>
      <c r="J175" s="139">
        <f ca="1">J145*J60</f>
        <v>0.36149999999999999</v>
      </c>
      <c r="K175" s="139">
        <f ca="1">K145*K60</f>
        <v>6.8283333333333331</v>
      </c>
      <c r="L175" s="139">
        <f ca="1">L145*L60</f>
        <v>6.42</v>
      </c>
      <c r="Q175" s="48"/>
    </row>
    <row r="176" spans="2:17" ht="17.25" x14ac:dyDescent="0.25">
      <c r="B176" s="1" t="s">
        <v>108</v>
      </c>
      <c r="C176" s="242">
        <f ca="1">I153</f>
        <v>35.639852780806976</v>
      </c>
      <c r="D176" s="118"/>
      <c r="E176" s="118"/>
      <c r="F176" s="183" cm="1">
        <f t="array" aca="1" ref="F176" ca="1">INDEX(CBECS_Gas_Index,MATCH(FacilityChar_Building_Type_CBECS,CBECS_Gas_Rows,0),MATCH(F174,CBECS_Gas_End_Uses,0)+10)*('2 .Facility Charaterization'!$I$52="Natural Gas")</f>
        <v>9.8704999999999998</v>
      </c>
      <c r="G176" s="118"/>
      <c r="H176" s="183" cm="1">
        <f t="array" aca="1" ref="H176" ca="1">INDEX(CBECS_Gas_Index,MATCH(FacilityChar_Building_Type_CBECS,CBECS_Gas_Rows,0),MATCH(H174,CBECS_Gas_End_Uses,0)+10)*('2 .Facility Charaterization'!$I$71="Natural Gas")</f>
        <v>17.039599999999997</v>
      </c>
      <c r="I176" s="118"/>
      <c r="J176" s="118"/>
      <c r="K176" s="118"/>
      <c r="L176" s="183" cm="1">
        <f t="array" aca="1" ref="L176" ca="1">INDEX(CBECS_Gas_Index,MATCH(FacilityChar_Building_Type_CBECS,CBECS_Gas_Rows,0),MATCH(L174,CBECS_Gas_End_Uses,0)+10)</f>
        <v>16.104499999999998</v>
      </c>
      <c r="Q176" s="48"/>
    </row>
    <row r="177" spans="17:17" x14ac:dyDescent="0.25">
      <c r="Q177" s="48"/>
    </row>
    <row r="178" spans="17:17" x14ac:dyDescent="0.25">
      <c r="Q178" s="48"/>
    </row>
    <row r="179" spans="17:17" x14ac:dyDescent="0.25">
      <c r="Q179" s="48"/>
    </row>
    <row r="180" spans="17:17" x14ac:dyDescent="0.25">
      <c r="Q180" s="78"/>
    </row>
    <row r="181" spans="17:17" x14ac:dyDescent="0.25">
      <c r="Q181" s="48"/>
    </row>
    <row r="182" spans="17:17" x14ac:dyDescent="0.25">
      <c r="Q182" s="48"/>
    </row>
    <row r="183" spans="17:17" x14ac:dyDescent="0.25">
      <c r="Q183" s="48"/>
    </row>
    <row r="184" spans="17:17" x14ac:dyDescent="0.25">
      <c r="Q184" s="48"/>
    </row>
    <row r="185" spans="17:17" x14ac:dyDescent="0.25">
      <c r="Q185" s="48"/>
    </row>
    <row r="186" spans="17:17" x14ac:dyDescent="0.25">
      <c r="Q186" s="48"/>
    </row>
    <row r="187" spans="17:17" x14ac:dyDescent="0.25">
      <c r="Q187" s="48"/>
    </row>
    <row r="188" spans="17:17" x14ac:dyDescent="0.25">
      <c r="Q188" s="48"/>
    </row>
    <row r="189" spans="17:17" x14ac:dyDescent="0.25">
      <c r="Q189" s="48"/>
    </row>
    <row r="190" spans="17:17" x14ac:dyDescent="0.25">
      <c r="Q190" s="48"/>
    </row>
    <row r="191" spans="17:17" x14ac:dyDescent="0.25">
      <c r="Q191" s="48"/>
    </row>
    <row r="192" spans="17:17" x14ac:dyDescent="0.25">
      <c r="Q192" s="48"/>
    </row>
    <row r="193" spans="17:17" x14ac:dyDescent="0.25">
      <c r="Q193" s="48"/>
    </row>
    <row r="194" spans="17:17" x14ac:dyDescent="0.25">
      <c r="Q194" s="48"/>
    </row>
    <row r="195" spans="17:17" x14ac:dyDescent="0.25">
      <c r="Q195" s="48"/>
    </row>
    <row r="196" spans="17:17" x14ac:dyDescent="0.25">
      <c r="Q196" s="48"/>
    </row>
    <row r="197" spans="17:17" x14ac:dyDescent="0.25">
      <c r="Q197" s="48"/>
    </row>
    <row r="198" spans="17:17" x14ac:dyDescent="0.25">
      <c r="Q198" s="78"/>
    </row>
    <row r="199" spans="17:17" x14ac:dyDescent="0.25">
      <c r="Q199" s="48"/>
    </row>
    <row r="200" spans="17:17" x14ac:dyDescent="0.25">
      <c r="Q200" s="48"/>
    </row>
    <row r="201" spans="17:17" x14ac:dyDescent="0.25">
      <c r="Q201" s="48"/>
    </row>
    <row r="202" spans="17:17" x14ac:dyDescent="0.25">
      <c r="Q202" s="48"/>
    </row>
    <row r="203" spans="17:17" x14ac:dyDescent="0.25">
      <c r="Q203" s="48"/>
    </row>
    <row r="204" spans="17:17" x14ac:dyDescent="0.25">
      <c r="Q204" s="48"/>
    </row>
    <row r="205" spans="17:17" x14ac:dyDescent="0.25">
      <c r="Q205" s="48"/>
    </row>
    <row r="206" spans="17:17" x14ac:dyDescent="0.25">
      <c r="Q206" s="78"/>
    </row>
    <row r="207" spans="17:17" x14ac:dyDescent="0.25">
      <c r="Q207" s="48"/>
    </row>
    <row r="208" spans="17:17" x14ac:dyDescent="0.25">
      <c r="Q208" s="48"/>
    </row>
    <row r="209" spans="17:17" x14ac:dyDescent="0.25">
      <c r="Q209" s="48"/>
    </row>
    <row r="210" spans="17:17" x14ac:dyDescent="0.25">
      <c r="Q210" s="48"/>
    </row>
    <row r="211" spans="17:17" x14ac:dyDescent="0.25">
      <c r="Q211" s="48"/>
    </row>
    <row r="212" spans="17:17" x14ac:dyDescent="0.25">
      <c r="Q212" s="78"/>
    </row>
    <row r="213" spans="17:17" x14ac:dyDescent="0.25">
      <c r="Q213" s="48"/>
    </row>
    <row r="214" spans="17:17" x14ac:dyDescent="0.25">
      <c r="Q214" s="48"/>
    </row>
    <row r="215" spans="17:17" x14ac:dyDescent="0.25">
      <c r="Q215" s="48"/>
    </row>
    <row r="216" spans="17:17" x14ac:dyDescent="0.25">
      <c r="Q216" s="48"/>
    </row>
    <row r="217" spans="17:17" x14ac:dyDescent="0.25">
      <c r="Q217" s="48"/>
    </row>
    <row r="218" spans="17:17" x14ac:dyDescent="0.25">
      <c r="Q218" s="48"/>
    </row>
    <row r="219" spans="17:17" x14ac:dyDescent="0.25">
      <c r="Q219" s="78"/>
    </row>
    <row r="220" spans="17:17" x14ac:dyDescent="0.25">
      <c r="Q220" s="48"/>
    </row>
    <row r="221" spans="17:17" x14ac:dyDescent="0.25">
      <c r="Q221" s="48"/>
    </row>
    <row r="222" spans="17:17" x14ac:dyDescent="0.25">
      <c r="Q222" s="48"/>
    </row>
    <row r="223" spans="17:17" x14ac:dyDescent="0.25">
      <c r="Q223" s="78"/>
    </row>
    <row r="224" spans="17:17" x14ac:dyDescent="0.25">
      <c r="Q224" s="48"/>
    </row>
    <row r="225" spans="17:17" x14ac:dyDescent="0.25">
      <c r="Q225" s="48"/>
    </row>
    <row r="226" spans="17:17" x14ac:dyDescent="0.25">
      <c r="Q226" s="48"/>
    </row>
    <row r="227" spans="17:17" x14ac:dyDescent="0.25">
      <c r="Q227" s="78"/>
    </row>
    <row r="228" spans="17:17" x14ac:dyDescent="0.25">
      <c r="Q228" s="48"/>
    </row>
    <row r="229" spans="17:17" x14ac:dyDescent="0.25">
      <c r="Q229" s="48"/>
    </row>
    <row r="230" spans="17:17" x14ac:dyDescent="0.25">
      <c r="Q230" s="48"/>
    </row>
    <row r="231" spans="17:17" x14ac:dyDescent="0.25">
      <c r="Q231" s="78"/>
    </row>
    <row r="232" spans="17:17" x14ac:dyDescent="0.25">
      <c r="Q232" s="48"/>
    </row>
    <row r="233" spans="17:17" x14ac:dyDescent="0.25">
      <c r="Q233" s="48"/>
    </row>
    <row r="234" spans="17:17" x14ac:dyDescent="0.25">
      <c r="Q234" s="48"/>
    </row>
    <row r="235" spans="17:17" x14ac:dyDescent="0.25">
      <c r="Q235" s="48"/>
    </row>
    <row r="236" spans="17:17" x14ac:dyDescent="0.25">
      <c r="Q236" s="48"/>
    </row>
    <row r="237" spans="17:17" x14ac:dyDescent="0.25">
      <c r="Q237" s="48"/>
    </row>
    <row r="238" spans="17:17" x14ac:dyDescent="0.25">
      <c r="Q238" s="78"/>
    </row>
    <row r="239" spans="17:17" x14ac:dyDescent="0.25">
      <c r="Q239" s="48"/>
    </row>
    <row r="240" spans="17:17" x14ac:dyDescent="0.25">
      <c r="Q240" s="48"/>
    </row>
    <row r="241" spans="17:17" x14ac:dyDescent="0.25">
      <c r="Q241" s="48"/>
    </row>
    <row r="242" spans="17:17" x14ac:dyDescent="0.25">
      <c r="Q242" s="48"/>
    </row>
    <row r="243" spans="17:17" x14ac:dyDescent="0.25">
      <c r="Q243" s="78"/>
    </row>
    <row r="244" spans="17:17" x14ac:dyDescent="0.25">
      <c r="Q244" s="48"/>
    </row>
    <row r="245" spans="17:17" x14ac:dyDescent="0.25">
      <c r="Q245" s="48"/>
    </row>
    <row r="246" spans="17:17" x14ac:dyDescent="0.25">
      <c r="Q246" s="48"/>
    </row>
    <row r="247" spans="17:17" x14ac:dyDescent="0.25">
      <c r="Q247" s="48"/>
    </row>
    <row r="248" spans="17:17" x14ac:dyDescent="0.25">
      <c r="Q248" s="78"/>
    </row>
    <row r="249" spans="17:17" x14ac:dyDescent="0.25">
      <c r="Q249" s="48"/>
    </row>
    <row r="250" spans="17:17" x14ac:dyDescent="0.25">
      <c r="Q250" s="48"/>
    </row>
    <row r="251" spans="17:17" x14ac:dyDescent="0.25">
      <c r="Q251" s="48"/>
    </row>
    <row r="252" spans="17:17" x14ac:dyDescent="0.25">
      <c r="Q252" s="48"/>
    </row>
    <row r="253" spans="17:17" x14ac:dyDescent="0.25">
      <c r="Q253" s="48"/>
    </row>
    <row r="254" spans="17:17" x14ac:dyDescent="0.25">
      <c r="Q254" s="78"/>
    </row>
    <row r="255" spans="17:17" x14ac:dyDescent="0.25">
      <c r="Q255" s="48"/>
    </row>
    <row r="256" spans="17:17" x14ac:dyDescent="0.25">
      <c r="Q256" s="48"/>
    </row>
    <row r="257" spans="17:17" x14ac:dyDescent="0.25">
      <c r="Q257" s="48"/>
    </row>
    <row r="258" spans="17:17" x14ac:dyDescent="0.25">
      <c r="Q258" s="48"/>
    </row>
    <row r="259" spans="17:17" x14ac:dyDescent="0.25">
      <c r="Q259" s="48"/>
    </row>
    <row r="260" spans="17:17" x14ac:dyDescent="0.25">
      <c r="Q260" s="78"/>
    </row>
    <row r="261" spans="17:17" x14ac:dyDescent="0.25">
      <c r="Q261" s="48"/>
    </row>
    <row r="262" spans="17:17" x14ac:dyDescent="0.25">
      <c r="Q262" s="48"/>
    </row>
    <row r="263" spans="17:17" x14ac:dyDescent="0.25">
      <c r="Q263" s="48"/>
    </row>
    <row r="264" spans="17:17" x14ac:dyDescent="0.25">
      <c r="Q264" s="48"/>
    </row>
    <row r="265" spans="17:17" x14ac:dyDescent="0.25">
      <c r="Q265" s="48"/>
    </row>
    <row r="266" spans="17:17" x14ac:dyDescent="0.25">
      <c r="Q266" s="48"/>
    </row>
    <row r="267" spans="17:17" x14ac:dyDescent="0.25">
      <c r="Q267" s="48"/>
    </row>
    <row r="268" spans="17:17" x14ac:dyDescent="0.25">
      <c r="Q268" s="78"/>
    </row>
    <row r="269" spans="17:17" x14ac:dyDescent="0.25">
      <c r="Q269" s="48"/>
    </row>
    <row r="270" spans="17:17" x14ac:dyDescent="0.25">
      <c r="Q270" s="48"/>
    </row>
    <row r="271" spans="17:17" x14ac:dyDescent="0.25">
      <c r="Q271" s="48"/>
    </row>
    <row r="272" spans="17:17" x14ac:dyDescent="0.25">
      <c r="Q272" s="48"/>
    </row>
    <row r="273" spans="17:17" x14ac:dyDescent="0.25">
      <c r="Q273" s="48"/>
    </row>
    <row r="274" spans="17:17" x14ac:dyDescent="0.25">
      <c r="Q274" s="48"/>
    </row>
    <row r="275" spans="17:17" x14ac:dyDescent="0.25">
      <c r="Q275" s="48"/>
    </row>
    <row r="276" spans="17:17" x14ac:dyDescent="0.25">
      <c r="Q276" s="48"/>
    </row>
    <row r="277" spans="17:17" x14ac:dyDescent="0.25">
      <c r="Q277" s="78"/>
    </row>
    <row r="278" spans="17:17" x14ac:dyDescent="0.25">
      <c r="Q278" s="48"/>
    </row>
    <row r="279" spans="17:17" x14ac:dyDescent="0.25">
      <c r="Q279" s="48"/>
    </row>
    <row r="280" spans="17:17" x14ac:dyDescent="0.25">
      <c r="Q280" s="78"/>
    </row>
    <row r="281" spans="17:17" x14ac:dyDescent="0.25">
      <c r="Q281" s="48"/>
    </row>
    <row r="282" spans="17:17" x14ac:dyDescent="0.25">
      <c r="Q282" s="48"/>
    </row>
    <row r="283" spans="17:17" x14ac:dyDescent="0.25">
      <c r="Q283" s="48"/>
    </row>
    <row r="284" spans="17:17" x14ac:dyDescent="0.25">
      <c r="Q284" s="78"/>
    </row>
    <row r="285" spans="17:17" x14ac:dyDescent="0.25">
      <c r="Q285" s="48"/>
    </row>
    <row r="286" spans="17:17" x14ac:dyDescent="0.25">
      <c r="Q286" s="48"/>
    </row>
    <row r="287" spans="17:17" x14ac:dyDescent="0.25">
      <c r="Q287" s="48"/>
    </row>
    <row r="288" spans="17:17" x14ac:dyDescent="0.25">
      <c r="Q288" s="48"/>
    </row>
    <row r="289" spans="17:17" x14ac:dyDescent="0.25">
      <c r="Q289" s="48"/>
    </row>
    <row r="290" spans="17:17" x14ac:dyDescent="0.25">
      <c r="Q290" s="48"/>
    </row>
    <row r="291" spans="17:17" x14ac:dyDescent="0.25">
      <c r="Q291" s="48"/>
    </row>
    <row r="292" spans="17:17" x14ac:dyDescent="0.25">
      <c r="Q292" s="78"/>
    </row>
    <row r="293" spans="17:17" x14ac:dyDescent="0.25">
      <c r="Q293" s="48"/>
    </row>
    <row r="294" spans="17:17" x14ac:dyDescent="0.25">
      <c r="Q294" s="48"/>
    </row>
    <row r="295" spans="17:17" x14ac:dyDescent="0.25">
      <c r="Q295" s="48"/>
    </row>
    <row r="296" spans="17:17" x14ac:dyDescent="0.25">
      <c r="Q296" s="48"/>
    </row>
    <row r="297" spans="17:17" x14ac:dyDescent="0.25">
      <c r="Q297" s="48"/>
    </row>
    <row r="298" spans="17:17" x14ac:dyDescent="0.25">
      <c r="Q298" s="48"/>
    </row>
    <row r="299" spans="17:17" x14ac:dyDescent="0.25">
      <c r="Q299" s="48"/>
    </row>
    <row r="300" spans="17:17" x14ac:dyDescent="0.25">
      <c r="Q300" s="48"/>
    </row>
    <row r="301" spans="17:17" x14ac:dyDescent="0.25">
      <c r="Q301" s="78"/>
    </row>
    <row r="302" spans="17:17" x14ac:dyDescent="0.25">
      <c r="Q302" s="48"/>
    </row>
    <row r="303" spans="17:17" x14ac:dyDescent="0.25">
      <c r="Q303" s="48"/>
    </row>
    <row r="304" spans="17:17" x14ac:dyDescent="0.25">
      <c r="Q304" s="48"/>
    </row>
    <row r="305" spans="17:17" x14ac:dyDescent="0.25">
      <c r="Q305" s="48"/>
    </row>
    <row r="306" spans="17:17" x14ac:dyDescent="0.25">
      <c r="Q306" s="48"/>
    </row>
    <row r="307" spans="17:17" x14ac:dyDescent="0.25">
      <c r="Q307" s="48"/>
    </row>
    <row r="308" spans="17:17" x14ac:dyDescent="0.25">
      <c r="Q308" s="48"/>
    </row>
    <row r="309" spans="17:17" x14ac:dyDescent="0.25">
      <c r="Q309" s="48"/>
    </row>
    <row r="310" spans="17:17" x14ac:dyDescent="0.25">
      <c r="Q310" s="48"/>
    </row>
    <row r="311" spans="17:17" x14ac:dyDescent="0.25">
      <c r="Q311" s="78"/>
    </row>
    <row r="312" spans="17:17" x14ac:dyDescent="0.25">
      <c r="Q312" s="48"/>
    </row>
    <row r="313" spans="17:17" x14ac:dyDescent="0.25">
      <c r="Q313" s="48"/>
    </row>
    <row r="314" spans="17:17" x14ac:dyDescent="0.25">
      <c r="Q314" s="48"/>
    </row>
    <row r="315" spans="17:17" x14ac:dyDescent="0.25">
      <c r="Q315" s="48"/>
    </row>
    <row r="316" spans="17:17" x14ac:dyDescent="0.25">
      <c r="Q316" s="48"/>
    </row>
    <row r="317" spans="17:17" x14ac:dyDescent="0.25">
      <c r="Q317" s="48"/>
    </row>
    <row r="318" spans="17:17" x14ac:dyDescent="0.25">
      <c r="Q318" s="48"/>
    </row>
    <row r="319" spans="17:17" x14ac:dyDescent="0.25">
      <c r="Q319" s="48"/>
    </row>
    <row r="320" spans="17:17" x14ac:dyDescent="0.25">
      <c r="Q320" s="78"/>
    </row>
    <row r="321" spans="17:17" x14ac:dyDescent="0.25">
      <c r="Q321" s="48"/>
    </row>
    <row r="322" spans="17:17" x14ac:dyDescent="0.25">
      <c r="Q322" s="48"/>
    </row>
    <row r="323" spans="17:17" x14ac:dyDescent="0.25">
      <c r="Q323" s="48"/>
    </row>
    <row r="324" spans="17:17" x14ac:dyDescent="0.25">
      <c r="Q324" s="48"/>
    </row>
    <row r="325" spans="17:17" x14ac:dyDescent="0.25">
      <c r="Q325" s="48"/>
    </row>
    <row r="326" spans="17:17" x14ac:dyDescent="0.25">
      <c r="Q326" s="48"/>
    </row>
    <row r="327" spans="17:17" x14ac:dyDescent="0.25">
      <c r="Q327" s="48"/>
    </row>
    <row r="328" spans="17:17" x14ac:dyDescent="0.25">
      <c r="Q328" s="48"/>
    </row>
    <row r="329" spans="17:17" x14ac:dyDescent="0.25">
      <c r="Q329" s="78"/>
    </row>
    <row r="330" spans="17:17" x14ac:dyDescent="0.25">
      <c r="Q330" s="48"/>
    </row>
    <row r="331" spans="17:17" x14ac:dyDescent="0.25">
      <c r="Q331" s="48"/>
    </row>
    <row r="332" spans="17:17" x14ac:dyDescent="0.25">
      <c r="Q332" s="48"/>
    </row>
    <row r="333" spans="17:17" x14ac:dyDescent="0.25">
      <c r="Q333" s="48"/>
    </row>
    <row r="334" spans="17:17" x14ac:dyDescent="0.25">
      <c r="Q334" s="48"/>
    </row>
    <row r="335" spans="17:17" x14ac:dyDescent="0.25">
      <c r="Q335" s="48"/>
    </row>
    <row r="336" spans="17:17" x14ac:dyDescent="0.25">
      <c r="Q336" s="78"/>
    </row>
    <row r="337" spans="17:17" x14ac:dyDescent="0.25">
      <c r="Q337" s="48"/>
    </row>
    <row r="338" spans="17:17" x14ac:dyDescent="0.25">
      <c r="Q338" s="48"/>
    </row>
    <row r="339" spans="17:17" x14ac:dyDescent="0.25">
      <c r="Q339" s="48"/>
    </row>
    <row r="340" spans="17:17" x14ac:dyDescent="0.25">
      <c r="Q340" s="48"/>
    </row>
    <row r="341" spans="17:17" x14ac:dyDescent="0.25">
      <c r="Q341" s="48"/>
    </row>
    <row r="342" spans="17:17" x14ac:dyDescent="0.25">
      <c r="Q342" s="78"/>
    </row>
    <row r="343" spans="17:17" x14ac:dyDescent="0.25">
      <c r="Q343" s="48"/>
    </row>
    <row r="344" spans="17:17" x14ac:dyDescent="0.25">
      <c r="Q344" s="48"/>
    </row>
    <row r="345" spans="17:17" x14ac:dyDescent="0.25">
      <c r="Q345" s="48"/>
    </row>
    <row r="346" spans="17:17" x14ac:dyDescent="0.25">
      <c r="Q346" s="48"/>
    </row>
    <row r="347" spans="17:17" x14ac:dyDescent="0.25">
      <c r="Q347" s="48"/>
    </row>
    <row r="348" spans="17:17" x14ac:dyDescent="0.25">
      <c r="Q348" s="48"/>
    </row>
    <row r="349" spans="17:17" x14ac:dyDescent="0.25">
      <c r="Q349" s="48"/>
    </row>
    <row r="350" spans="17:17" x14ac:dyDescent="0.25">
      <c r="Q350" s="48"/>
    </row>
    <row r="351" spans="17:17" x14ac:dyDescent="0.25">
      <c r="Q351" s="78"/>
    </row>
    <row r="352" spans="17:17" x14ac:dyDescent="0.25">
      <c r="Q352" s="48"/>
    </row>
    <row r="353" spans="17:17" x14ac:dyDescent="0.25">
      <c r="Q353" s="48"/>
    </row>
    <row r="354" spans="17:17" x14ac:dyDescent="0.25">
      <c r="Q354" s="48"/>
    </row>
    <row r="355" spans="17:17" x14ac:dyDescent="0.25">
      <c r="Q355" s="48"/>
    </row>
    <row r="356" spans="17:17" x14ac:dyDescent="0.25">
      <c r="Q356" s="48"/>
    </row>
    <row r="357" spans="17:17" x14ac:dyDescent="0.25">
      <c r="Q357" s="78"/>
    </row>
    <row r="358" spans="17:17" x14ac:dyDescent="0.25">
      <c r="Q358" s="48"/>
    </row>
    <row r="359" spans="17:17" x14ac:dyDescent="0.25">
      <c r="Q359" s="48"/>
    </row>
    <row r="360" spans="17:17" x14ac:dyDescent="0.25">
      <c r="Q360" s="48"/>
    </row>
    <row r="361" spans="17:17" x14ac:dyDescent="0.25">
      <c r="Q361" s="78"/>
    </row>
    <row r="362" spans="17:17" x14ac:dyDescent="0.25">
      <c r="Q362" s="48"/>
    </row>
    <row r="363" spans="17:17" x14ac:dyDescent="0.25">
      <c r="Q363" s="48"/>
    </row>
    <row r="364" spans="17:17" x14ac:dyDescent="0.25">
      <c r="Q364" s="48"/>
    </row>
    <row r="365" spans="17:17" x14ac:dyDescent="0.25">
      <c r="Q365" s="78"/>
    </row>
    <row r="366" spans="17:17" x14ac:dyDescent="0.25">
      <c r="Q366" s="48"/>
    </row>
    <row r="367" spans="17:17" x14ac:dyDescent="0.25">
      <c r="Q367" s="48"/>
    </row>
    <row r="368" spans="17:17" x14ac:dyDescent="0.25">
      <c r="Q368" s="48"/>
    </row>
    <row r="369" spans="17:17" x14ac:dyDescent="0.25">
      <c r="Q369" s="48"/>
    </row>
    <row r="370" spans="17:17" x14ac:dyDescent="0.25">
      <c r="Q370" s="48"/>
    </row>
    <row r="371" spans="17:17" x14ac:dyDescent="0.25">
      <c r="Q371" s="48"/>
    </row>
    <row r="372" spans="17:17" x14ac:dyDescent="0.25">
      <c r="Q372" s="48"/>
    </row>
    <row r="373" spans="17:17" x14ac:dyDescent="0.25">
      <c r="Q373" s="48"/>
    </row>
    <row r="374" spans="17:17" x14ac:dyDescent="0.25">
      <c r="Q374" s="48"/>
    </row>
    <row r="375" spans="17:17" x14ac:dyDescent="0.25">
      <c r="Q375" s="48"/>
    </row>
    <row r="376" spans="17:17" x14ac:dyDescent="0.25">
      <c r="Q376" s="48"/>
    </row>
    <row r="377" spans="17:17" x14ac:dyDescent="0.25">
      <c r="Q377" s="78"/>
    </row>
    <row r="378" spans="17:17" x14ac:dyDescent="0.25">
      <c r="Q378" s="48"/>
    </row>
    <row r="379" spans="17:17" x14ac:dyDescent="0.25">
      <c r="Q379" s="48"/>
    </row>
    <row r="380" spans="17:17" x14ac:dyDescent="0.25">
      <c r="Q380" s="48"/>
    </row>
    <row r="381" spans="17:17" x14ac:dyDescent="0.25">
      <c r="Q381" s="78"/>
    </row>
    <row r="382" spans="17:17" x14ac:dyDescent="0.25">
      <c r="Q382" s="48"/>
    </row>
    <row r="383" spans="17:17" x14ac:dyDescent="0.25">
      <c r="Q383" s="48"/>
    </row>
    <row r="384" spans="17:17" x14ac:dyDescent="0.25">
      <c r="Q384" s="48"/>
    </row>
    <row r="385" spans="17:17" x14ac:dyDescent="0.25">
      <c r="Q385" s="48"/>
    </row>
    <row r="386" spans="17:17" x14ac:dyDescent="0.25">
      <c r="Q386" s="48"/>
    </row>
    <row r="387" spans="17:17" x14ac:dyDescent="0.25">
      <c r="Q387" s="48"/>
    </row>
    <row r="388" spans="17:17" x14ac:dyDescent="0.25">
      <c r="Q388" s="48"/>
    </row>
    <row r="390" spans="17:17" x14ac:dyDescent="0.25">
      <c r="Q390" s="94"/>
    </row>
  </sheetData>
  <mergeCells count="6">
    <mergeCell ref="D172:L173"/>
    <mergeCell ref="B8:L9"/>
    <mergeCell ref="B29:L30"/>
    <mergeCell ref="B149:L150"/>
    <mergeCell ref="B158:L159"/>
    <mergeCell ref="B49:L50"/>
  </mergeCells>
  <pageMargins left="0.7" right="0.7" top="0.75" bottom="0.75" header="0.3" footer="0.3"/>
  <pageSetup orientation="portrait" horizontalDpi="0" verticalDpi="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BBC8B-B9C8-47B5-B9F2-952E8B070B25}">
  <sheetPr codeName="Sheet8">
    <tabColor rgb="FF7030A0"/>
    <pageSetUpPr fitToPage="1"/>
  </sheetPr>
  <dimension ref="A2:AX360"/>
  <sheetViews>
    <sheetView topLeftCell="A19" workbookViewId="0">
      <selection activeCell="J34" sqref="J34"/>
    </sheetView>
  </sheetViews>
  <sheetFormatPr defaultColWidth="8.85546875" defaultRowHeight="15" x14ac:dyDescent="0.25"/>
  <cols>
    <col min="1" max="1" width="2.7109375" style="28" customWidth="1"/>
    <col min="2" max="2" width="49.7109375" style="28" customWidth="1"/>
    <col min="3" max="3" width="10.7109375" style="45" customWidth="1"/>
    <col min="4" max="6" width="10.7109375" style="28" customWidth="1"/>
    <col min="7" max="7" width="10.7109375" style="45" customWidth="1"/>
    <col min="8" max="8" width="10.7109375" style="46" customWidth="1"/>
    <col min="9" max="9" width="10.7109375" style="28" customWidth="1"/>
    <col min="10" max="10" width="12" style="28" customWidth="1"/>
    <col min="11" max="13" width="10.7109375" style="28" customWidth="1"/>
    <col min="14" max="16384" width="8.85546875" style="28"/>
  </cols>
  <sheetData>
    <row r="2" spans="1:50" s="21" customFormat="1" ht="22.5" x14ac:dyDescent="0.35">
      <c r="A2" s="17"/>
      <c r="B2" s="18" t="str">
        <f>Lookups!B2</f>
        <v>Ph V TRM Appendix F: Building Operator Certification Audit and Design Tool</v>
      </c>
      <c r="O2" s="19"/>
      <c r="P2" s="19"/>
      <c r="Q2" s="19"/>
      <c r="R2" s="19"/>
      <c r="S2" s="19"/>
      <c r="T2" s="19"/>
      <c r="U2" s="19"/>
      <c r="V2" s="19"/>
      <c r="W2" s="19"/>
      <c r="X2" s="19"/>
      <c r="Y2" s="19"/>
      <c r="Z2" s="19"/>
      <c r="AA2" s="19"/>
      <c r="AB2" s="19"/>
      <c r="AC2" s="19"/>
      <c r="AD2" s="19"/>
      <c r="AE2" s="19"/>
      <c r="AF2" s="20"/>
      <c r="AG2" s="20"/>
      <c r="AH2" s="20"/>
    </row>
    <row r="3" spans="1:50" s="25" customFormat="1" ht="17.25" x14ac:dyDescent="0.25">
      <c r="A3" s="22"/>
      <c r="B3" s="23" t="s">
        <v>196</v>
      </c>
      <c r="AL3" s="24"/>
      <c r="AM3" s="24"/>
      <c r="AN3" s="24"/>
      <c r="AO3" s="24"/>
      <c r="AP3" s="24"/>
      <c r="AQ3" s="24"/>
      <c r="AR3" s="24"/>
      <c r="AS3" s="24"/>
      <c r="AT3" s="24"/>
      <c r="AU3" s="24"/>
      <c r="AV3" s="24"/>
      <c r="AW3" s="24"/>
      <c r="AX3" s="24"/>
    </row>
    <row r="5" spans="1:50" x14ac:dyDescent="0.25">
      <c r="B5" s="157" t="s">
        <v>197</v>
      </c>
      <c r="C5" s="156"/>
      <c r="D5" s="156"/>
      <c r="E5" s="156"/>
      <c r="F5" s="156"/>
      <c r="G5" s="156"/>
      <c r="H5" s="156"/>
      <c r="I5" s="156"/>
      <c r="J5" s="156"/>
      <c r="K5" s="156"/>
      <c r="L5" s="156"/>
      <c r="M5" s="156"/>
    </row>
    <row r="6" spans="1:50" ht="15.6" customHeight="1" x14ac:dyDescent="0.25">
      <c r="B6" s="415" t="s">
        <v>198</v>
      </c>
      <c r="C6" s="415"/>
      <c r="D6" s="415"/>
      <c r="E6" s="415"/>
      <c r="F6" s="415"/>
      <c r="G6" s="415"/>
      <c r="H6" s="415"/>
      <c r="I6" s="415"/>
      <c r="J6" s="415"/>
      <c r="K6" s="415"/>
      <c r="L6" s="415"/>
      <c r="M6" s="415"/>
    </row>
    <row r="7" spans="1:50" ht="26.25" customHeight="1" x14ac:dyDescent="0.25">
      <c r="B7" s="129"/>
      <c r="C7" s="416" t="s">
        <v>199</v>
      </c>
      <c r="D7" s="416"/>
      <c r="E7" s="416"/>
      <c r="F7" s="416"/>
      <c r="G7" s="416"/>
      <c r="H7" s="416"/>
      <c r="I7" s="416"/>
      <c r="J7" s="417"/>
      <c r="K7" s="417"/>
      <c r="L7" s="417"/>
      <c r="M7" s="417"/>
    </row>
    <row r="8" spans="1:50" ht="27" thickBot="1" x14ac:dyDescent="0.3">
      <c r="B8" s="80"/>
      <c r="C8" s="61" t="s">
        <v>90</v>
      </c>
      <c r="D8" s="61" t="s">
        <v>81</v>
      </c>
      <c r="E8" s="61" t="s">
        <v>82</v>
      </c>
      <c r="F8" s="61" t="s">
        <v>83</v>
      </c>
      <c r="G8" s="61" t="s">
        <v>84</v>
      </c>
      <c r="H8" s="61" t="s">
        <v>85</v>
      </c>
      <c r="I8" s="61" t="s">
        <v>86</v>
      </c>
      <c r="J8" s="61" t="s">
        <v>51</v>
      </c>
      <c r="K8" s="61" t="s">
        <v>87</v>
      </c>
      <c r="L8" s="61" t="s">
        <v>88</v>
      </c>
      <c r="M8" s="61" t="s">
        <v>89</v>
      </c>
    </row>
    <row r="9" spans="1:50" ht="15.75" thickTop="1" x14ac:dyDescent="0.25">
      <c r="A9" s="48"/>
      <c r="B9" s="228" t="s">
        <v>154</v>
      </c>
      <c r="C9" s="60">
        <v>12.6</v>
      </c>
      <c r="D9" s="60">
        <v>1.5</v>
      </c>
      <c r="E9" s="60">
        <v>2</v>
      </c>
      <c r="F9" s="60">
        <v>2.2999999999999998</v>
      </c>
      <c r="G9" s="60">
        <v>0.5</v>
      </c>
      <c r="H9" s="60">
        <v>2.2000000000000002</v>
      </c>
      <c r="I9" s="60">
        <v>0.9</v>
      </c>
      <c r="J9" s="60">
        <v>1.4</v>
      </c>
      <c r="K9" s="60">
        <v>0.2</v>
      </c>
      <c r="L9" s="60">
        <v>0.9</v>
      </c>
      <c r="M9" s="60">
        <v>3</v>
      </c>
    </row>
    <row r="10" spans="1:50" x14ac:dyDescent="0.25">
      <c r="B10" s="229" t="s">
        <v>200</v>
      </c>
      <c r="C10" s="57"/>
      <c r="D10" s="57"/>
      <c r="E10" s="57"/>
      <c r="F10" s="57"/>
      <c r="G10" s="57"/>
      <c r="H10" s="57"/>
      <c r="I10" s="57"/>
      <c r="J10" s="57"/>
      <c r="K10" s="57"/>
      <c r="L10" s="57"/>
      <c r="M10" s="57"/>
    </row>
    <row r="11" spans="1:50" x14ac:dyDescent="0.25">
      <c r="B11" s="130" t="s">
        <v>201</v>
      </c>
      <c r="C11" s="49">
        <v>14.5</v>
      </c>
      <c r="D11" s="49">
        <v>2.5</v>
      </c>
      <c r="E11" s="49">
        <v>2.9</v>
      </c>
      <c r="F11" s="49">
        <v>1.8</v>
      </c>
      <c r="G11" s="49">
        <v>0.9</v>
      </c>
      <c r="H11" s="49">
        <v>2.1</v>
      </c>
      <c r="I11" s="49">
        <v>3</v>
      </c>
      <c r="J11" s="49">
        <v>4</v>
      </c>
      <c r="K11" s="49">
        <v>0.3</v>
      </c>
      <c r="L11" s="49">
        <v>0.6</v>
      </c>
      <c r="M11" s="49">
        <v>3.3</v>
      </c>
    </row>
    <row r="12" spans="1:50" x14ac:dyDescent="0.25">
      <c r="B12" s="130" t="s">
        <v>202</v>
      </c>
      <c r="C12" s="49">
        <v>11.2</v>
      </c>
      <c r="D12" s="49">
        <v>2.1</v>
      </c>
      <c r="E12" s="49">
        <v>2.2999999999999998</v>
      </c>
      <c r="F12" s="49">
        <v>1.5</v>
      </c>
      <c r="G12" s="49">
        <v>0.7</v>
      </c>
      <c r="H12" s="49">
        <v>1.8</v>
      </c>
      <c r="I12" s="49">
        <v>2.4</v>
      </c>
      <c r="J12" s="49">
        <v>2.5</v>
      </c>
      <c r="K12" s="49">
        <v>0.2</v>
      </c>
      <c r="L12" s="49">
        <v>0.4</v>
      </c>
      <c r="M12" s="49">
        <v>2.2999999999999998</v>
      </c>
    </row>
    <row r="13" spans="1:50" x14ac:dyDescent="0.25">
      <c r="B13" s="130" t="s">
        <v>203</v>
      </c>
      <c r="C13" s="49">
        <v>10.7</v>
      </c>
      <c r="D13" s="49">
        <v>1.5</v>
      </c>
      <c r="E13" s="49">
        <v>1.8</v>
      </c>
      <c r="F13" s="49">
        <v>1.5</v>
      </c>
      <c r="G13" s="49">
        <v>0.4</v>
      </c>
      <c r="H13" s="49">
        <v>1.8</v>
      </c>
      <c r="I13" s="49">
        <v>1</v>
      </c>
      <c r="J13" s="49">
        <v>1.2</v>
      </c>
      <c r="K13" s="49">
        <v>0.2</v>
      </c>
      <c r="L13" s="49">
        <v>0.9</v>
      </c>
      <c r="M13" s="49">
        <v>2.9</v>
      </c>
    </row>
    <row r="14" spans="1:50" x14ac:dyDescent="0.25">
      <c r="B14" s="130" t="s">
        <v>204</v>
      </c>
      <c r="C14" s="49">
        <v>12</v>
      </c>
      <c r="D14" s="49">
        <v>1.6</v>
      </c>
      <c r="E14" s="49">
        <v>2.1</v>
      </c>
      <c r="F14" s="49">
        <v>2</v>
      </c>
      <c r="G14" s="49">
        <v>0.5</v>
      </c>
      <c r="H14" s="49">
        <v>2.2999999999999998</v>
      </c>
      <c r="I14" s="49">
        <v>0.5</v>
      </c>
      <c r="J14" s="49">
        <v>1.4</v>
      </c>
      <c r="K14" s="49">
        <v>0.1</v>
      </c>
      <c r="L14" s="49">
        <v>0.6</v>
      </c>
      <c r="M14" s="49">
        <v>2.8</v>
      </c>
    </row>
    <row r="15" spans="1:50" x14ac:dyDescent="0.25">
      <c r="B15" s="130" t="s">
        <v>205</v>
      </c>
      <c r="C15" s="49">
        <v>12</v>
      </c>
      <c r="D15" s="49">
        <v>1.6</v>
      </c>
      <c r="E15" s="49">
        <v>2</v>
      </c>
      <c r="F15" s="49">
        <v>2.2999999999999998</v>
      </c>
      <c r="G15" s="49">
        <v>0.5</v>
      </c>
      <c r="H15" s="49">
        <v>2.2000000000000002</v>
      </c>
      <c r="I15" s="49">
        <v>0.6</v>
      </c>
      <c r="J15" s="49">
        <v>1.2</v>
      </c>
      <c r="K15" s="49">
        <v>0.1</v>
      </c>
      <c r="L15" s="49">
        <v>0.7</v>
      </c>
      <c r="M15" s="49">
        <v>2.7</v>
      </c>
    </row>
    <row r="16" spans="1:50" x14ac:dyDescent="0.25">
      <c r="B16" s="130" t="s">
        <v>206</v>
      </c>
      <c r="C16" s="49">
        <v>13.1</v>
      </c>
      <c r="D16" s="49">
        <v>1.2</v>
      </c>
      <c r="E16" s="49">
        <v>1.9</v>
      </c>
      <c r="F16" s="49">
        <v>2.7</v>
      </c>
      <c r="G16" s="49">
        <v>0.5</v>
      </c>
      <c r="H16" s="49">
        <v>2.5</v>
      </c>
      <c r="I16" s="49">
        <v>0.6</v>
      </c>
      <c r="J16" s="49">
        <v>1.1000000000000001</v>
      </c>
      <c r="K16" s="49">
        <v>0.2</v>
      </c>
      <c r="L16" s="49">
        <v>1.1000000000000001</v>
      </c>
      <c r="M16" s="49">
        <v>3</v>
      </c>
    </row>
    <row r="17" spans="2:13" x14ac:dyDescent="0.25">
      <c r="B17" s="130" t="s">
        <v>207</v>
      </c>
      <c r="C17" s="49">
        <v>14.9</v>
      </c>
      <c r="D17" s="49">
        <v>1.3</v>
      </c>
      <c r="E17" s="49">
        <v>2</v>
      </c>
      <c r="F17" s="49">
        <v>3.3</v>
      </c>
      <c r="G17" s="49">
        <v>0.4</v>
      </c>
      <c r="H17" s="49">
        <v>2.5</v>
      </c>
      <c r="I17" s="49">
        <v>0.5</v>
      </c>
      <c r="J17" s="49">
        <v>0.8</v>
      </c>
      <c r="K17" s="49">
        <v>0.2</v>
      </c>
      <c r="L17" s="49">
        <v>1.7</v>
      </c>
      <c r="M17" s="49">
        <v>3.8</v>
      </c>
    </row>
    <row r="18" spans="2:13" x14ac:dyDescent="0.25">
      <c r="B18" s="130" t="s">
        <v>208</v>
      </c>
      <c r="C18" s="49">
        <v>14.2</v>
      </c>
      <c r="D18" s="49">
        <v>1</v>
      </c>
      <c r="E18" s="49">
        <v>1.6</v>
      </c>
      <c r="F18" s="49">
        <v>3.9</v>
      </c>
      <c r="G18" s="49">
        <v>0.4</v>
      </c>
      <c r="H18" s="49">
        <v>2.5</v>
      </c>
      <c r="I18" s="49">
        <v>0.7</v>
      </c>
      <c r="J18" s="49">
        <v>0.7</v>
      </c>
      <c r="K18" s="49">
        <v>0.1</v>
      </c>
      <c r="L18" s="49">
        <v>1.2</v>
      </c>
      <c r="M18" s="49">
        <v>3.3</v>
      </c>
    </row>
    <row r="19" spans="2:13" x14ac:dyDescent="0.25">
      <c r="B19" s="229" t="s">
        <v>209</v>
      </c>
      <c r="C19" s="57"/>
      <c r="D19" s="57"/>
      <c r="E19" s="57"/>
      <c r="F19" s="57"/>
      <c r="G19" s="57"/>
      <c r="H19" s="57"/>
      <c r="I19" s="57"/>
      <c r="J19" s="57"/>
      <c r="K19" s="57"/>
      <c r="L19" s="57"/>
      <c r="M19" s="57"/>
    </row>
    <row r="20" spans="2:13" x14ac:dyDescent="0.25">
      <c r="B20" s="130" t="s">
        <v>210</v>
      </c>
      <c r="C20" s="49">
        <v>9.4</v>
      </c>
      <c r="D20" s="49">
        <v>1.3</v>
      </c>
      <c r="E20" s="49">
        <v>2.1</v>
      </c>
      <c r="F20" s="49">
        <v>1.4</v>
      </c>
      <c r="G20" s="49">
        <v>0.7</v>
      </c>
      <c r="H20" s="49">
        <v>1.6</v>
      </c>
      <c r="I20" s="49">
        <v>0.3</v>
      </c>
      <c r="J20" s="49">
        <v>0.5</v>
      </c>
      <c r="K20" s="49">
        <v>0.1</v>
      </c>
      <c r="L20" s="49">
        <v>0.7</v>
      </c>
      <c r="M20" s="49">
        <v>2.2000000000000002</v>
      </c>
    </row>
    <row r="21" spans="2:13" x14ac:dyDescent="0.25">
      <c r="B21" s="130" t="s">
        <v>211</v>
      </c>
      <c r="C21" s="49">
        <v>53.3</v>
      </c>
      <c r="D21" s="49">
        <v>3.7</v>
      </c>
      <c r="E21" s="49">
        <v>2.1</v>
      </c>
      <c r="F21" s="49">
        <v>3.8</v>
      </c>
      <c r="G21" s="452">
        <v>0.2</v>
      </c>
      <c r="H21" s="452">
        <v>3.8</v>
      </c>
      <c r="I21" s="452">
        <v>3.3</v>
      </c>
      <c r="J21" s="452">
        <v>25.5</v>
      </c>
      <c r="K21" s="452">
        <v>0.2</v>
      </c>
      <c r="L21" s="452">
        <f>L28*K21/K28</f>
        <v>0.80000000000000016</v>
      </c>
      <c r="M21" s="452">
        <f>2.7*C21/48.7</f>
        <v>2.9550308008213548</v>
      </c>
    </row>
    <row r="22" spans="2:13" x14ac:dyDescent="0.25">
      <c r="B22" s="130" t="s">
        <v>212</v>
      </c>
      <c r="C22" s="49">
        <v>43.8</v>
      </c>
      <c r="D22" s="49">
        <v>5.5</v>
      </c>
      <c r="E22" s="49">
        <v>5.6</v>
      </c>
      <c r="F22" s="49">
        <v>4.9000000000000004</v>
      </c>
      <c r="G22" s="452">
        <v>5.3</v>
      </c>
      <c r="H22" s="452">
        <v>3.2</v>
      </c>
      <c r="I22" s="452">
        <v>12.4</v>
      </c>
      <c r="J22" s="452">
        <v>11.9</v>
      </c>
      <c r="K22" s="452">
        <v>0.3</v>
      </c>
      <c r="L22" s="452">
        <v>0.3</v>
      </c>
      <c r="M22" s="452">
        <v>5.8</v>
      </c>
    </row>
    <row r="23" spans="2:13" x14ac:dyDescent="0.25">
      <c r="B23" s="130" t="s">
        <v>213</v>
      </c>
      <c r="C23" s="49">
        <v>23.8</v>
      </c>
      <c r="D23" s="49">
        <v>1.3</v>
      </c>
      <c r="E23" s="49">
        <v>2.8</v>
      </c>
      <c r="F23" s="49">
        <v>7.2</v>
      </c>
      <c r="G23" s="452">
        <v>0.6</v>
      </c>
      <c r="H23" s="452">
        <v>3.6</v>
      </c>
      <c r="I23" s="452">
        <v>1.1000000000000001</v>
      </c>
      <c r="J23" s="452">
        <v>0.9</v>
      </c>
      <c r="K23" s="452">
        <v>0.3</v>
      </c>
      <c r="L23" s="452">
        <v>1.7</v>
      </c>
      <c r="M23" s="452">
        <v>6.5</v>
      </c>
    </row>
    <row r="24" spans="2:13" x14ac:dyDescent="0.25">
      <c r="B24" s="130" t="s">
        <v>214</v>
      </c>
      <c r="C24" s="49">
        <v>28.8</v>
      </c>
      <c r="D24" s="49">
        <v>1.3</v>
      </c>
      <c r="E24" s="49">
        <v>3.8</v>
      </c>
      <c r="F24" s="49">
        <v>8.4</v>
      </c>
      <c r="G24" s="452">
        <v>1.4</v>
      </c>
      <c r="H24" s="452">
        <v>3.5</v>
      </c>
      <c r="I24" s="452">
        <v>1.2</v>
      </c>
      <c r="J24" s="452">
        <v>1.2</v>
      </c>
      <c r="K24" s="452">
        <v>0.3</v>
      </c>
      <c r="L24" s="452">
        <v>2.1</v>
      </c>
      <c r="M24" s="452">
        <v>8.3000000000000007</v>
      </c>
    </row>
    <row r="25" spans="2:13" x14ac:dyDescent="0.25">
      <c r="B25" s="130" t="s">
        <v>215</v>
      </c>
      <c r="C25" s="49">
        <v>17.399999999999999</v>
      </c>
      <c r="D25" s="49">
        <v>1.3</v>
      </c>
      <c r="E25" s="49">
        <v>1.4</v>
      </c>
      <c r="F25" s="49">
        <v>5.6</v>
      </c>
      <c r="G25" s="452">
        <v>0.1</v>
      </c>
      <c r="H25" s="452">
        <v>3.7</v>
      </c>
      <c r="I25" s="452">
        <v>0.6</v>
      </c>
      <c r="J25" s="452">
        <v>0.5</v>
      </c>
      <c r="K25" s="452">
        <v>0.3</v>
      </c>
      <c r="L25" s="452">
        <v>1.1000000000000001</v>
      </c>
      <c r="M25" s="452">
        <v>4.0999999999999996</v>
      </c>
    </row>
    <row r="26" spans="2:13" x14ac:dyDescent="0.25">
      <c r="B26" s="130" t="s">
        <v>216</v>
      </c>
      <c r="C26" s="49">
        <v>14.4</v>
      </c>
      <c r="D26" s="49">
        <v>1.4</v>
      </c>
      <c r="E26" s="49">
        <v>1.7</v>
      </c>
      <c r="F26" s="49">
        <v>3.7</v>
      </c>
      <c r="G26" s="452">
        <v>2.5</v>
      </c>
      <c r="H26" s="452">
        <v>2.1</v>
      </c>
      <c r="I26" s="452">
        <v>1.2</v>
      </c>
      <c r="J26" s="452">
        <v>1.2</v>
      </c>
      <c r="K26" s="452">
        <v>0.1</v>
      </c>
      <c r="L26" s="452">
        <v>0.4</v>
      </c>
      <c r="M26" s="452">
        <v>3.1</v>
      </c>
    </row>
    <row r="27" spans="2:13" x14ac:dyDescent="0.25">
      <c r="B27" s="130" t="s">
        <v>217</v>
      </c>
      <c r="C27" s="49">
        <v>16.7</v>
      </c>
      <c r="D27" s="49">
        <v>1.7</v>
      </c>
      <c r="E27" s="49">
        <v>2</v>
      </c>
      <c r="F27" s="49">
        <v>3.2</v>
      </c>
      <c r="G27" s="452">
        <v>0.8</v>
      </c>
      <c r="H27" s="452">
        <v>3.8</v>
      </c>
      <c r="I27" s="452">
        <v>0.4</v>
      </c>
      <c r="J27" s="452">
        <v>2.2000000000000002</v>
      </c>
      <c r="K27" s="452">
        <v>0.2</v>
      </c>
      <c r="L27" s="452">
        <v>0.6</v>
      </c>
      <c r="M27" s="452">
        <v>3.1</v>
      </c>
    </row>
    <row r="28" spans="2:13" x14ac:dyDescent="0.25">
      <c r="B28" s="130" t="s">
        <v>218</v>
      </c>
      <c r="C28" s="49">
        <v>13.7</v>
      </c>
      <c r="D28" s="49">
        <v>1.5</v>
      </c>
      <c r="E28" s="49">
        <v>1.9</v>
      </c>
      <c r="F28" s="49">
        <v>3.4</v>
      </c>
      <c r="G28" s="452">
        <v>0.1</v>
      </c>
      <c r="H28" s="452">
        <v>3.5</v>
      </c>
      <c r="I28" s="452">
        <v>0.5</v>
      </c>
      <c r="J28" s="452">
        <v>1.1000000000000001</v>
      </c>
      <c r="K28" s="452">
        <v>0.1</v>
      </c>
      <c r="L28" s="452">
        <v>0.4</v>
      </c>
      <c r="M28" s="452">
        <v>2.9</v>
      </c>
    </row>
    <row r="29" spans="2:13" x14ac:dyDescent="0.25">
      <c r="B29" s="130" t="s">
        <v>219</v>
      </c>
      <c r="C29" s="49">
        <v>19.600000000000001</v>
      </c>
      <c r="D29" s="49">
        <v>1.8</v>
      </c>
      <c r="E29" s="49">
        <v>2.1</v>
      </c>
      <c r="F29" s="49">
        <v>2.9</v>
      </c>
      <c r="G29" s="452">
        <v>1.3</v>
      </c>
      <c r="H29" s="452">
        <v>4.0999999999999996</v>
      </c>
      <c r="I29" s="452">
        <v>0.4</v>
      </c>
      <c r="J29" s="452">
        <v>3.1</v>
      </c>
      <c r="K29" s="452">
        <v>0.3</v>
      </c>
      <c r="L29" s="452">
        <v>0.8</v>
      </c>
      <c r="M29" s="452">
        <v>3.3</v>
      </c>
    </row>
    <row r="30" spans="2:13" x14ac:dyDescent="0.25">
      <c r="B30" s="130" t="s">
        <v>220</v>
      </c>
      <c r="C30" s="49">
        <v>13.6</v>
      </c>
      <c r="D30" s="49">
        <v>1.5</v>
      </c>
      <c r="E30" s="49">
        <v>1.5</v>
      </c>
      <c r="F30" s="49">
        <v>3.8</v>
      </c>
      <c r="G30" s="452">
        <v>0.2</v>
      </c>
      <c r="H30" s="452">
        <v>2.2999999999999998</v>
      </c>
      <c r="I30" s="452">
        <v>0.2</v>
      </c>
      <c r="J30" s="452">
        <v>0.5</v>
      </c>
      <c r="K30" s="452">
        <v>0.2</v>
      </c>
      <c r="L30" s="452">
        <v>1.5</v>
      </c>
      <c r="M30" s="452">
        <v>3.1</v>
      </c>
    </row>
    <row r="31" spans="2:13" x14ac:dyDescent="0.25">
      <c r="B31" s="130" t="s">
        <v>221</v>
      </c>
      <c r="C31" s="49">
        <v>12.1</v>
      </c>
      <c r="D31" s="49">
        <v>2.8</v>
      </c>
      <c r="E31" s="49">
        <v>4.5999999999999996</v>
      </c>
      <c r="F31" s="49">
        <v>1.2</v>
      </c>
      <c r="G31" s="452">
        <v>0.1</v>
      </c>
      <c r="H31" s="452">
        <v>1.5</v>
      </c>
      <c r="I31" s="452">
        <v>0.5</v>
      </c>
      <c r="J31" s="452">
        <v>0.9</v>
      </c>
      <c r="K31" s="452">
        <v>0.1</v>
      </c>
      <c r="L31" s="452">
        <v>0.3</v>
      </c>
      <c r="M31" s="452">
        <v>3.1</v>
      </c>
    </row>
    <row r="32" spans="2:13" x14ac:dyDescent="0.25">
      <c r="B32" s="130" t="s">
        <v>222</v>
      </c>
      <c r="C32" s="49">
        <v>13.9</v>
      </c>
      <c r="D32" s="49">
        <v>2</v>
      </c>
      <c r="E32" s="49">
        <v>2.7</v>
      </c>
      <c r="F32" s="49">
        <v>1.8</v>
      </c>
      <c r="G32" s="452">
        <v>1.9</v>
      </c>
      <c r="H32" s="452">
        <v>3.4</v>
      </c>
      <c r="I32" s="452">
        <v>0.5</v>
      </c>
      <c r="J32" s="452">
        <v>0.6</v>
      </c>
      <c r="K32" s="452">
        <v>0.2</v>
      </c>
      <c r="L32" s="452">
        <v>0.8</v>
      </c>
      <c r="M32" s="452">
        <v>3.1</v>
      </c>
    </row>
    <row r="33" spans="2:13" x14ac:dyDescent="0.25">
      <c r="B33" s="130" t="s">
        <v>223</v>
      </c>
      <c r="C33" s="49">
        <v>4.9000000000000004</v>
      </c>
      <c r="D33" s="49">
        <v>0.7</v>
      </c>
      <c r="E33" s="49">
        <v>1.2</v>
      </c>
      <c r="F33" s="49">
        <v>0.9</v>
      </c>
      <c r="G33" s="452">
        <v>0.1</v>
      </c>
      <c r="H33" s="452">
        <v>1</v>
      </c>
      <c r="I33" s="452">
        <v>0.3</v>
      </c>
      <c r="J33" s="452">
        <v>0.3</v>
      </c>
      <c r="K33" s="452">
        <v>0.1</v>
      </c>
      <c r="L33" s="452">
        <v>0.1</v>
      </c>
      <c r="M33" s="452">
        <v>0.9</v>
      </c>
    </row>
    <row r="34" spans="2:13" x14ac:dyDescent="0.25">
      <c r="B34" s="130" t="s">
        <v>224</v>
      </c>
      <c r="C34" s="49">
        <v>7.2</v>
      </c>
      <c r="D34" s="49">
        <v>1.7</v>
      </c>
      <c r="E34" s="49">
        <v>1.5</v>
      </c>
      <c r="F34" s="49">
        <v>0.9</v>
      </c>
      <c r="G34" s="452">
        <v>0.1</v>
      </c>
      <c r="H34" s="452">
        <v>2.2999999999999998</v>
      </c>
      <c r="I34" s="452">
        <v>0.3</v>
      </c>
      <c r="J34" s="452">
        <v>0.3</v>
      </c>
      <c r="K34" s="452">
        <v>0.1</v>
      </c>
      <c r="L34" s="452">
        <v>0.2</v>
      </c>
      <c r="M34" s="452">
        <v>2</v>
      </c>
    </row>
    <row r="35" spans="2:13" x14ac:dyDescent="0.25">
      <c r="B35" s="130" t="s">
        <v>225</v>
      </c>
      <c r="C35" s="49">
        <v>5.8</v>
      </c>
      <c r="D35" s="49">
        <v>0.9</v>
      </c>
      <c r="E35" s="49">
        <v>1.1000000000000001</v>
      </c>
      <c r="F35" s="49">
        <v>0.5</v>
      </c>
      <c r="G35" s="452">
        <v>0.1</v>
      </c>
      <c r="H35" s="452">
        <v>1.5</v>
      </c>
      <c r="I35" s="452">
        <v>0</v>
      </c>
      <c r="J35" s="452">
        <v>1</v>
      </c>
      <c r="K35" s="452">
        <f>0.2*L35/0.4</f>
        <v>0.10000000000000002</v>
      </c>
      <c r="L35" s="452">
        <v>0.2</v>
      </c>
      <c r="M35" s="452">
        <v>1.8</v>
      </c>
    </row>
    <row r="36" spans="2:13" x14ac:dyDescent="0.25">
      <c r="B36" s="130" t="s">
        <v>226</v>
      </c>
      <c r="C36" s="49">
        <v>29.1</v>
      </c>
      <c r="D36" s="49">
        <v>1.5</v>
      </c>
      <c r="E36" s="49">
        <v>4</v>
      </c>
      <c r="F36" s="49">
        <v>2.2000000000000002</v>
      </c>
      <c r="G36" s="452">
        <v>0.1</v>
      </c>
      <c r="H36" s="452">
        <v>3.7</v>
      </c>
      <c r="I36" s="452">
        <v>0.6</v>
      </c>
      <c r="J36" s="452">
        <v>0.7</v>
      </c>
      <c r="K36" s="452">
        <v>0.1</v>
      </c>
      <c r="L36" s="452">
        <v>9.6999999999999993</v>
      </c>
      <c r="M36" s="452">
        <v>9.6999999999999993</v>
      </c>
    </row>
    <row r="37" spans="2:13" x14ac:dyDescent="0.25">
      <c r="B37" s="130" t="s">
        <v>227</v>
      </c>
      <c r="C37" s="49">
        <v>3.9</v>
      </c>
      <c r="D37" s="49">
        <v>1</v>
      </c>
      <c r="E37" s="49">
        <v>1.6</v>
      </c>
      <c r="F37" s="49">
        <v>0.4</v>
      </c>
      <c r="G37" s="452" t="s">
        <v>228</v>
      </c>
      <c r="H37" s="452">
        <v>0.8</v>
      </c>
      <c r="I37" s="452" t="s">
        <v>229</v>
      </c>
      <c r="J37" s="452">
        <v>0.2</v>
      </c>
      <c r="K37" s="452" t="s">
        <v>229</v>
      </c>
      <c r="L37" s="452">
        <v>0.2</v>
      </c>
      <c r="M37" s="452">
        <v>1.7</v>
      </c>
    </row>
    <row r="38" spans="2:13" x14ac:dyDescent="0.25">
      <c r="B38" s="131" t="s">
        <v>230</v>
      </c>
      <c r="C38" s="62"/>
      <c r="D38" s="62"/>
      <c r="E38" s="62"/>
      <c r="F38" s="62"/>
      <c r="G38" s="62"/>
      <c r="H38" s="62"/>
      <c r="I38" s="62"/>
      <c r="J38" s="62"/>
      <c r="K38" s="62"/>
      <c r="L38" s="62"/>
      <c r="M38" s="62"/>
    </row>
    <row r="39" spans="2:13" x14ac:dyDescent="0.25">
      <c r="B39" s="230" t="s">
        <v>231</v>
      </c>
      <c r="C39" s="63">
        <v>9.9</v>
      </c>
      <c r="D39" s="63">
        <v>1.5</v>
      </c>
      <c r="E39" s="63">
        <v>1.4</v>
      </c>
      <c r="F39" s="63">
        <v>1.7</v>
      </c>
      <c r="G39" s="63">
        <v>0.2</v>
      </c>
      <c r="H39" s="63">
        <v>1.7</v>
      </c>
      <c r="I39" s="63">
        <v>1.1000000000000001</v>
      </c>
      <c r="J39" s="63">
        <v>0.8</v>
      </c>
      <c r="K39" s="63">
        <v>0.1</v>
      </c>
      <c r="L39" s="63" t="s">
        <v>229</v>
      </c>
      <c r="M39" s="63">
        <v>2.4</v>
      </c>
    </row>
    <row r="40" spans="2:13" x14ac:dyDescent="0.25">
      <c r="B40" s="130" t="s">
        <v>232</v>
      </c>
      <c r="C40" s="49">
        <v>11.6</v>
      </c>
      <c r="D40" s="49">
        <v>1.3</v>
      </c>
      <c r="E40" s="49">
        <v>2</v>
      </c>
      <c r="F40" s="49">
        <v>2.6</v>
      </c>
      <c r="G40" s="49">
        <v>0.3</v>
      </c>
      <c r="H40" s="49">
        <v>2</v>
      </c>
      <c r="I40" s="49">
        <v>0.6</v>
      </c>
      <c r="J40" s="49">
        <v>1.1000000000000001</v>
      </c>
      <c r="K40" s="49">
        <v>0.2</v>
      </c>
      <c r="L40" s="49">
        <v>1.3</v>
      </c>
      <c r="M40" s="49">
        <v>2.5</v>
      </c>
    </row>
    <row r="41" spans="2:13" x14ac:dyDescent="0.25">
      <c r="B41" s="130" t="s">
        <v>233</v>
      </c>
      <c r="C41" s="49">
        <v>9.6999999999999993</v>
      </c>
      <c r="D41" s="49">
        <v>1.3</v>
      </c>
      <c r="E41" s="49">
        <v>1.7</v>
      </c>
      <c r="F41" s="49">
        <v>1.6</v>
      </c>
      <c r="G41" s="49">
        <v>0.5</v>
      </c>
      <c r="H41" s="49">
        <v>1.8</v>
      </c>
      <c r="I41" s="49">
        <v>0.6</v>
      </c>
      <c r="J41" s="49">
        <v>1</v>
      </c>
      <c r="K41" s="49">
        <v>0.1</v>
      </c>
      <c r="L41" s="49">
        <v>0.6</v>
      </c>
      <c r="M41" s="49">
        <v>2.5</v>
      </c>
    </row>
    <row r="42" spans="2:13" x14ac:dyDescent="0.25">
      <c r="B42" s="130" t="s">
        <v>234</v>
      </c>
      <c r="C42" s="49">
        <v>11.7</v>
      </c>
      <c r="D42" s="49">
        <v>1.2</v>
      </c>
      <c r="E42" s="49">
        <v>2</v>
      </c>
      <c r="F42" s="49">
        <v>2.1</v>
      </c>
      <c r="G42" s="49">
        <v>0.5</v>
      </c>
      <c r="H42" s="49">
        <v>2.2000000000000002</v>
      </c>
      <c r="I42" s="49">
        <v>0.9</v>
      </c>
      <c r="J42" s="49">
        <v>1.3</v>
      </c>
      <c r="K42" s="49">
        <v>0.2</v>
      </c>
      <c r="L42" s="49">
        <v>0.6</v>
      </c>
      <c r="M42" s="49">
        <v>2.9</v>
      </c>
    </row>
    <row r="43" spans="2:13" x14ac:dyDescent="0.25">
      <c r="B43" s="130" t="s">
        <v>235</v>
      </c>
      <c r="C43" s="49">
        <v>12.4</v>
      </c>
      <c r="D43" s="49">
        <v>1.5</v>
      </c>
      <c r="E43" s="49">
        <v>2</v>
      </c>
      <c r="F43" s="49">
        <v>2.2999999999999998</v>
      </c>
      <c r="G43" s="49">
        <v>0.6</v>
      </c>
      <c r="H43" s="49">
        <v>2.2999999999999998</v>
      </c>
      <c r="I43" s="49">
        <v>0.9</v>
      </c>
      <c r="J43" s="49">
        <v>1.5</v>
      </c>
      <c r="K43" s="49">
        <v>0.2</v>
      </c>
      <c r="L43" s="49">
        <v>0.8</v>
      </c>
      <c r="M43" s="49">
        <v>2.8</v>
      </c>
    </row>
    <row r="44" spans="2:13" x14ac:dyDescent="0.25">
      <c r="B44" s="130" t="s">
        <v>236</v>
      </c>
      <c r="C44" s="49">
        <v>13.6</v>
      </c>
      <c r="D44" s="49">
        <v>1.5</v>
      </c>
      <c r="E44" s="49">
        <v>1.9</v>
      </c>
      <c r="F44" s="49">
        <v>2.6</v>
      </c>
      <c r="G44" s="49">
        <v>0.5</v>
      </c>
      <c r="H44" s="49">
        <v>2.2000000000000002</v>
      </c>
      <c r="I44" s="49">
        <v>0.7</v>
      </c>
      <c r="J44" s="49">
        <v>1.4</v>
      </c>
      <c r="K44" s="49">
        <v>0.2</v>
      </c>
      <c r="L44" s="49">
        <v>1.3</v>
      </c>
      <c r="M44" s="49">
        <v>3.2</v>
      </c>
    </row>
    <row r="45" spans="2:13" x14ac:dyDescent="0.25">
      <c r="B45" s="130" t="s">
        <v>237</v>
      </c>
      <c r="C45" s="49">
        <v>11.8</v>
      </c>
      <c r="D45" s="49">
        <v>1.6</v>
      </c>
      <c r="E45" s="49">
        <v>2</v>
      </c>
      <c r="F45" s="49">
        <v>2.2999999999999998</v>
      </c>
      <c r="G45" s="49">
        <v>0.4</v>
      </c>
      <c r="H45" s="49">
        <v>2.2000000000000002</v>
      </c>
      <c r="I45" s="49">
        <v>0.7</v>
      </c>
      <c r="J45" s="49">
        <v>1.3</v>
      </c>
      <c r="K45" s="49">
        <v>0.2</v>
      </c>
      <c r="L45" s="49">
        <v>0.6</v>
      </c>
      <c r="M45" s="49">
        <v>2.7</v>
      </c>
    </row>
    <row r="46" spans="2:13" x14ac:dyDescent="0.25">
      <c r="B46" s="130" t="s">
        <v>238</v>
      </c>
      <c r="C46" s="49">
        <v>14.6</v>
      </c>
      <c r="D46" s="49">
        <v>1.7</v>
      </c>
      <c r="E46" s="49">
        <v>2.2999999999999998</v>
      </c>
      <c r="F46" s="49">
        <v>2.6</v>
      </c>
      <c r="G46" s="49">
        <v>0.5</v>
      </c>
      <c r="H46" s="49">
        <v>2.5</v>
      </c>
      <c r="I46" s="49">
        <v>1.1000000000000001</v>
      </c>
      <c r="J46" s="49">
        <v>1.7</v>
      </c>
      <c r="K46" s="49">
        <v>0.2</v>
      </c>
      <c r="L46" s="49">
        <v>1</v>
      </c>
      <c r="M46" s="49">
        <v>3.5</v>
      </c>
    </row>
    <row r="47" spans="2:13" x14ac:dyDescent="0.25">
      <c r="B47" s="130" t="s">
        <v>239</v>
      </c>
      <c r="C47" s="49">
        <v>13.7</v>
      </c>
      <c r="D47" s="49">
        <v>1.6</v>
      </c>
      <c r="E47" s="49">
        <v>2.1</v>
      </c>
      <c r="F47" s="49">
        <v>2.4</v>
      </c>
      <c r="G47" s="49">
        <v>0.7</v>
      </c>
      <c r="H47" s="49">
        <v>2.2000000000000002</v>
      </c>
      <c r="I47" s="49">
        <v>1.1000000000000001</v>
      </c>
      <c r="J47" s="49">
        <v>1.6</v>
      </c>
      <c r="K47" s="49">
        <v>0.2</v>
      </c>
      <c r="L47" s="49">
        <v>0.9</v>
      </c>
      <c r="M47" s="49">
        <v>3.4</v>
      </c>
    </row>
    <row r="48" spans="2:13" x14ac:dyDescent="0.25">
      <c r="B48" s="131" t="s">
        <v>240</v>
      </c>
      <c r="C48" s="49"/>
      <c r="D48" s="49"/>
      <c r="E48" s="49"/>
      <c r="F48" s="49"/>
      <c r="G48" s="49"/>
      <c r="H48" s="49"/>
      <c r="I48" s="49"/>
      <c r="J48" s="49"/>
      <c r="K48" s="49"/>
      <c r="L48" s="49"/>
      <c r="M48" s="49"/>
    </row>
    <row r="49" spans="2:13" x14ac:dyDescent="0.25">
      <c r="B49" s="130" t="s">
        <v>241</v>
      </c>
      <c r="C49" s="49">
        <v>12</v>
      </c>
      <c r="D49" s="49">
        <v>1.8</v>
      </c>
      <c r="E49" s="49">
        <v>1.2</v>
      </c>
      <c r="F49" s="49">
        <v>2.5</v>
      </c>
      <c r="G49" s="49">
        <v>0.4</v>
      </c>
      <c r="H49" s="49">
        <v>2.4</v>
      </c>
      <c r="I49" s="49">
        <v>0.6</v>
      </c>
      <c r="J49" s="49">
        <v>1.1000000000000001</v>
      </c>
      <c r="K49" s="49">
        <v>0.2</v>
      </c>
      <c r="L49" s="49">
        <v>1</v>
      </c>
      <c r="M49" s="49">
        <v>3</v>
      </c>
    </row>
    <row r="50" spans="2:13" x14ac:dyDescent="0.25">
      <c r="B50" s="230" t="s">
        <v>242</v>
      </c>
      <c r="C50" s="63">
        <v>11.6</v>
      </c>
      <c r="D50" s="63">
        <v>1.9</v>
      </c>
      <c r="E50" s="63">
        <v>0.9</v>
      </c>
      <c r="F50" s="63">
        <v>2.2999999999999998</v>
      </c>
      <c r="G50" s="63">
        <v>0.5</v>
      </c>
      <c r="H50" s="63">
        <v>2.1</v>
      </c>
      <c r="I50" s="63">
        <v>0.7</v>
      </c>
      <c r="J50" s="63">
        <v>1.6</v>
      </c>
      <c r="K50" s="63">
        <v>0.2</v>
      </c>
      <c r="L50" s="63">
        <v>0.6</v>
      </c>
      <c r="M50" s="63">
        <v>3.4</v>
      </c>
    </row>
    <row r="51" spans="2:13" x14ac:dyDescent="0.25">
      <c r="B51" s="130" t="s">
        <v>243</v>
      </c>
      <c r="C51" s="49">
        <v>12.1</v>
      </c>
      <c r="D51" s="49">
        <v>1.7</v>
      </c>
      <c r="E51" s="49">
        <v>1.2</v>
      </c>
      <c r="F51" s="49">
        <v>2.5</v>
      </c>
      <c r="G51" s="49">
        <v>0.4</v>
      </c>
      <c r="H51" s="49">
        <v>2.4</v>
      </c>
      <c r="I51" s="49">
        <v>0.6</v>
      </c>
      <c r="J51" s="49">
        <v>1</v>
      </c>
      <c r="K51" s="49">
        <v>0.2</v>
      </c>
      <c r="L51" s="49">
        <v>1.1000000000000001</v>
      </c>
      <c r="M51" s="49">
        <v>2.9</v>
      </c>
    </row>
    <row r="52" spans="2:13" x14ac:dyDescent="0.25">
      <c r="B52" s="130" t="s">
        <v>244</v>
      </c>
      <c r="C52" s="49">
        <v>11.7</v>
      </c>
      <c r="D52" s="49">
        <v>2.2999999999999998</v>
      </c>
      <c r="E52" s="49">
        <v>1.3</v>
      </c>
      <c r="F52" s="49">
        <v>2.2000000000000002</v>
      </c>
      <c r="G52" s="49">
        <v>0.5</v>
      </c>
      <c r="H52" s="49">
        <v>2.1</v>
      </c>
      <c r="I52" s="49">
        <v>0.8</v>
      </c>
      <c r="J52" s="49">
        <v>1.4</v>
      </c>
      <c r="K52" s="49">
        <v>0.1</v>
      </c>
      <c r="L52" s="49">
        <v>0.9</v>
      </c>
      <c r="M52" s="49">
        <v>2.9</v>
      </c>
    </row>
    <row r="53" spans="2:13" x14ac:dyDescent="0.25">
      <c r="B53" s="130" t="s">
        <v>245</v>
      </c>
      <c r="C53" s="49">
        <v>11.7</v>
      </c>
      <c r="D53" s="49">
        <v>2.2000000000000002</v>
      </c>
      <c r="E53" s="49">
        <v>1.4</v>
      </c>
      <c r="F53" s="49">
        <v>2.2999999999999998</v>
      </c>
      <c r="G53" s="49">
        <v>0.6</v>
      </c>
      <c r="H53" s="49">
        <v>2.1</v>
      </c>
      <c r="I53" s="49">
        <v>0.8</v>
      </c>
      <c r="J53" s="49">
        <v>1.6</v>
      </c>
      <c r="K53" s="49">
        <v>0.1</v>
      </c>
      <c r="L53" s="49">
        <v>0.8</v>
      </c>
      <c r="M53" s="49">
        <v>2.8</v>
      </c>
    </row>
    <row r="54" spans="2:13" x14ac:dyDescent="0.25">
      <c r="B54" s="130" t="s">
        <v>246</v>
      </c>
      <c r="C54" s="49">
        <v>11.6</v>
      </c>
      <c r="D54" s="49">
        <v>2.7</v>
      </c>
      <c r="E54" s="49">
        <v>1.2</v>
      </c>
      <c r="F54" s="49">
        <v>2</v>
      </c>
      <c r="G54" s="49">
        <v>0.4</v>
      </c>
      <c r="H54" s="49">
        <v>2</v>
      </c>
      <c r="I54" s="49">
        <v>0.6</v>
      </c>
      <c r="J54" s="49">
        <v>0.9</v>
      </c>
      <c r="K54" s="49">
        <v>0.1</v>
      </c>
      <c r="L54" s="49">
        <v>1.2</v>
      </c>
      <c r="M54" s="49">
        <v>3.1</v>
      </c>
    </row>
    <row r="55" spans="2:13" x14ac:dyDescent="0.25">
      <c r="B55" s="130" t="s">
        <v>247</v>
      </c>
      <c r="C55" s="49">
        <v>13.9</v>
      </c>
      <c r="D55" s="49">
        <v>1.3</v>
      </c>
      <c r="E55" s="49">
        <v>3.2</v>
      </c>
      <c r="F55" s="49">
        <v>2.2999999999999998</v>
      </c>
      <c r="G55" s="49">
        <v>0.5</v>
      </c>
      <c r="H55" s="49">
        <v>2.2999999999999998</v>
      </c>
      <c r="I55" s="49">
        <v>1</v>
      </c>
      <c r="J55" s="49">
        <v>1.4</v>
      </c>
      <c r="K55" s="49">
        <v>0.2</v>
      </c>
      <c r="L55" s="49">
        <v>0.8</v>
      </c>
      <c r="M55" s="49">
        <v>3</v>
      </c>
    </row>
    <row r="56" spans="2:13" x14ac:dyDescent="0.25">
      <c r="B56" s="130" t="s">
        <v>248</v>
      </c>
      <c r="C56" s="49">
        <v>14.4</v>
      </c>
      <c r="D56" s="49">
        <v>1.4</v>
      </c>
      <c r="E56" s="49">
        <v>3.2</v>
      </c>
      <c r="F56" s="49">
        <v>2.5</v>
      </c>
      <c r="G56" s="49">
        <v>0.6</v>
      </c>
      <c r="H56" s="49">
        <v>2.2999999999999998</v>
      </c>
      <c r="I56" s="49">
        <v>1.1000000000000001</v>
      </c>
      <c r="J56" s="49">
        <v>1.4</v>
      </c>
      <c r="K56" s="49">
        <v>0.2</v>
      </c>
      <c r="L56" s="49">
        <v>0.8</v>
      </c>
      <c r="M56" s="49">
        <v>3.2</v>
      </c>
    </row>
    <row r="57" spans="2:13" x14ac:dyDescent="0.25">
      <c r="B57" s="130" t="s">
        <v>249</v>
      </c>
      <c r="C57" s="49">
        <v>12.4</v>
      </c>
      <c r="D57" s="49">
        <v>1.5</v>
      </c>
      <c r="E57" s="49">
        <v>2.6</v>
      </c>
      <c r="F57" s="49">
        <v>2.1</v>
      </c>
      <c r="G57" s="49">
        <v>0.5</v>
      </c>
      <c r="H57" s="49">
        <v>2.2000000000000002</v>
      </c>
      <c r="I57" s="49">
        <v>0.8</v>
      </c>
      <c r="J57" s="49">
        <v>1.3</v>
      </c>
      <c r="K57" s="49">
        <v>0.2</v>
      </c>
      <c r="L57" s="49">
        <v>0.7</v>
      </c>
      <c r="M57" s="49">
        <v>2.6</v>
      </c>
    </row>
    <row r="58" spans="2:13" x14ac:dyDescent="0.25">
      <c r="B58" s="130" t="s">
        <v>250</v>
      </c>
      <c r="C58" s="49">
        <v>13.7</v>
      </c>
      <c r="D58" s="49">
        <v>1.1000000000000001</v>
      </c>
      <c r="E58" s="49">
        <v>3.4</v>
      </c>
      <c r="F58" s="49">
        <v>2.2000000000000002</v>
      </c>
      <c r="G58" s="49">
        <v>0.4</v>
      </c>
      <c r="H58" s="49">
        <v>2.2000000000000002</v>
      </c>
      <c r="I58" s="49">
        <v>1</v>
      </c>
      <c r="J58" s="49">
        <v>1.4</v>
      </c>
      <c r="K58" s="49">
        <v>0.2</v>
      </c>
      <c r="L58" s="49">
        <v>0.8</v>
      </c>
      <c r="M58" s="49">
        <v>3</v>
      </c>
    </row>
    <row r="59" spans="2:13" x14ac:dyDescent="0.25">
      <c r="B59" s="130" t="s">
        <v>251</v>
      </c>
      <c r="C59" s="49">
        <v>12.1</v>
      </c>
      <c r="D59" s="49">
        <v>1</v>
      </c>
      <c r="E59" s="49">
        <v>1.4</v>
      </c>
      <c r="F59" s="49">
        <v>2.4</v>
      </c>
      <c r="G59" s="49">
        <v>0.5</v>
      </c>
      <c r="H59" s="49">
        <v>2.1</v>
      </c>
      <c r="I59" s="49">
        <v>1</v>
      </c>
      <c r="J59" s="49">
        <v>1.7</v>
      </c>
      <c r="K59" s="49">
        <v>0.2</v>
      </c>
      <c r="L59" s="49">
        <v>1.1000000000000001</v>
      </c>
      <c r="M59" s="49">
        <v>3</v>
      </c>
    </row>
    <row r="60" spans="2:13" x14ac:dyDescent="0.25">
      <c r="B60" s="130" t="s">
        <v>252</v>
      </c>
      <c r="C60" s="49">
        <v>12.8</v>
      </c>
      <c r="D60" s="49">
        <v>1.3</v>
      </c>
      <c r="E60" s="49">
        <v>1.5</v>
      </c>
      <c r="F60" s="49">
        <v>2.5</v>
      </c>
      <c r="G60" s="49">
        <v>0.6</v>
      </c>
      <c r="H60" s="49">
        <v>2.2000000000000002</v>
      </c>
      <c r="I60" s="49">
        <v>1.2</v>
      </c>
      <c r="J60" s="49">
        <v>1.8</v>
      </c>
      <c r="K60" s="49">
        <v>0.2</v>
      </c>
      <c r="L60" s="49">
        <v>1.3</v>
      </c>
      <c r="M60" s="49">
        <v>2.6</v>
      </c>
    </row>
    <row r="61" spans="2:13" x14ac:dyDescent="0.25">
      <c r="B61" s="130" t="s">
        <v>253</v>
      </c>
      <c r="C61" s="49">
        <v>11.7</v>
      </c>
      <c r="D61" s="49">
        <v>0.8</v>
      </c>
      <c r="E61" s="49">
        <v>1.4</v>
      </c>
      <c r="F61" s="49">
        <v>2.2999999999999998</v>
      </c>
      <c r="G61" s="49">
        <v>0.5</v>
      </c>
      <c r="H61" s="49">
        <v>2.1</v>
      </c>
      <c r="I61" s="49">
        <v>0.8</v>
      </c>
      <c r="J61" s="49">
        <v>1.7</v>
      </c>
      <c r="K61" s="49">
        <v>0.2</v>
      </c>
      <c r="L61" s="49">
        <v>0.9</v>
      </c>
      <c r="M61" s="49">
        <v>3.2</v>
      </c>
    </row>
    <row r="62" spans="2:13" x14ac:dyDescent="0.25">
      <c r="B62" s="131" t="s">
        <v>254</v>
      </c>
      <c r="C62" s="62"/>
      <c r="D62" s="62"/>
      <c r="E62" s="62"/>
      <c r="F62" s="62"/>
      <c r="G62" s="62"/>
      <c r="H62" s="62"/>
      <c r="I62" s="62"/>
      <c r="J62" s="62"/>
      <c r="K62" s="62"/>
      <c r="L62" s="62"/>
      <c r="M62" s="62"/>
    </row>
    <row r="63" spans="2:13" x14ac:dyDescent="0.25">
      <c r="B63" s="130" t="s">
        <v>255</v>
      </c>
      <c r="C63" s="49">
        <v>12.5</v>
      </c>
      <c r="D63" s="49">
        <v>2.6</v>
      </c>
      <c r="E63" s="49">
        <v>0.7</v>
      </c>
      <c r="F63" s="49">
        <v>2.2000000000000002</v>
      </c>
      <c r="G63" s="49">
        <v>0.4</v>
      </c>
      <c r="H63" s="49">
        <v>1.9</v>
      </c>
      <c r="I63" s="49">
        <v>1</v>
      </c>
      <c r="J63" s="49">
        <v>1.8</v>
      </c>
      <c r="K63" s="49">
        <v>0.1</v>
      </c>
      <c r="L63" s="49">
        <v>1.3</v>
      </c>
      <c r="M63" s="49">
        <v>3.7</v>
      </c>
    </row>
    <row r="64" spans="2:13" x14ac:dyDescent="0.25">
      <c r="B64" s="230" t="s">
        <v>256</v>
      </c>
      <c r="C64" s="63">
        <v>11.3</v>
      </c>
      <c r="D64" s="63">
        <v>2</v>
      </c>
      <c r="E64" s="63">
        <v>1</v>
      </c>
      <c r="F64" s="63">
        <v>2.2999999999999998</v>
      </c>
      <c r="G64" s="63">
        <v>0.6</v>
      </c>
      <c r="H64" s="63">
        <v>2.2000000000000002</v>
      </c>
      <c r="I64" s="63">
        <v>0.7</v>
      </c>
      <c r="J64" s="63">
        <v>1.3</v>
      </c>
      <c r="K64" s="63">
        <v>0.1</v>
      </c>
      <c r="L64" s="63">
        <v>0.9</v>
      </c>
      <c r="M64" s="63">
        <v>2.8</v>
      </c>
    </row>
    <row r="65" spans="2:13" x14ac:dyDescent="0.25">
      <c r="B65" s="130" t="s">
        <v>257</v>
      </c>
      <c r="C65" s="49">
        <v>12.9</v>
      </c>
      <c r="D65" s="49">
        <v>1.9</v>
      </c>
      <c r="E65" s="49">
        <v>1.7</v>
      </c>
      <c r="F65" s="49">
        <v>2.6</v>
      </c>
      <c r="G65" s="49">
        <v>0.4</v>
      </c>
      <c r="H65" s="49">
        <v>2.2999999999999998</v>
      </c>
      <c r="I65" s="49">
        <v>0.8</v>
      </c>
      <c r="J65" s="49">
        <v>1.1000000000000001</v>
      </c>
      <c r="K65" s="49">
        <v>0.2</v>
      </c>
      <c r="L65" s="49">
        <v>1</v>
      </c>
      <c r="M65" s="49">
        <v>3.1</v>
      </c>
    </row>
    <row r="66" spans="2:13" x14ac:dyDescent="0.25">
      <c r="B66" s="130" t="s">
        <v>258</v>
      </c>
      <c r="C66" s="49">
        <v>13</v>
      </c>
      <c r="D66" s="49">
        <v>1.3</v>
      </c>
      <c r="E66" s="49">
        <v>2.5</v>
      </c>
      <c r="F66" s="49">
        <v>2.2999999999999998</v>
      </c>
      <c r="G66" s="49">
        <v>0.5</v>
      </c>
      <c r="H66" s="49">
        <v>2.2000000000000002</v>
      </c>
      <c r="I66" s="49">
        <v>1.1000000000000001</v>
      </c>
      <c r="J66" s="49">
        <v>1.5</v>
      </c>
      <c r="K66" s="49">
        <v>0.2</v>
      </c>
      <c r="L66" s="49">
        <v>0.8</v>
      </c>
      <c r="M66" s="49">
        <v>3</v>
      </c>
    </row>
    <row r="67" spans="2:13" x14ac:dyDescent="0.25">
      <c r="B67" s="130" t="s">
        <v>259</v>
      </c>
      <c r="C67" s="49">
        <v>14.1</v>
      </c>
      <c r="D67" s="49">
        <v>0.4</v>
      </c>
      <c r="E67" s="49">
        <v>4.2</v>
      </c>
      <c r="F67" s="49">
        <v>2.2000000000000002</v>
      </c>
      <c r="G67" s="49">
        <v>0.5</v>
      </c>
      <c r="H67" s="49">
        <v>2.2000000000000002</v>
      </c>
      <c r="I67" s="49">
        <v>0.9</v>
      </c>
      <c r="J67" s="49">
        <v>1.5</v>
      </c>
      <c r="K67" s="49">
        <v>0.2</v>
      </c>
      <c r="L67" s="49">
        <v>0.8</v>
      </c>
      <c r="M67" s="49">
        <v>2.9</v>
      </c>
    </row>
    <row r="68" spans="2:13" x14ac:dyDescent="0.25">
      <c r="B68" s="131" t="s">
        <v>260</v>
      </c>
      <c r="C68" s="62"/>
      <c r="D68" s="62"/>
      <c r="E68" s="62"/>
      <c r="F68" s="62"/>
      <c r="G68" s="62"/>
      <c r="H68" s="62"/>
      <c r="I68" s="62"/>
      <c r="J68" s="62"/>
      <c r="K68" s="62"/>
      <c r="L68" s="62"/>
      <c r="M68" s="62"/>
    </row>
    <row r="69" spans="2:13" x14ac:dyDescent="0.25">
      <c r="B69" s="231" t="s">
        <v>261</v>
      </c>
      <c r="C69" s="49">
        <v>12.5</v>
      </c>
      <c r="D69" s="49">
        <v>1.8</v>
      </c>
      <c r="E69" s="49">
        <v>2.2999999999999998</v>
      </c>
      <c r="F69" s="49">
        <v>1.8</v>
      </c>
      <c r="G69" s="49">
        <v>0.6</v>
      </c>
      <c r="H69" s="49">
        <v>2.2000000000000002</v>
      </c>
      <c r="I69" s="49">
        <v>1.2</v>
      </c>
      <c r="J69" s="49">
        <v>2</v>
      </c>
      <c r="K69" s="49">
        <v>0.2</v>
      </c>
      <c r="L69" s="49">
        <v>0.7</v>
      </c>
      <c r="M69" s="49">
        <v>2.9</v>
      </c>
    </row>
    <row r="70" spans="2:13" x14ac:dyDescent="0.25">
      <c r="B70" s="232" t="s">
        <v>262</v>
      </c>
      <c r="C70" s="63">
        <v>10.7</v>
      </c>
      <c r="D70" s="63">
        <v>1.2</v>
      </c>
      <c r="E70" s="63">
        <v>1.8</v>
      </c>
      <c r="F70" s="63">
        <v>1.8</v>
      </c>
      <c r="G70" s="63">
        <v>0.5</v>
      </c>
      <c r="H70" s="63">
        <v>2.1</v>
      </c>
      <c r="I70" s="63">
        <v>0.7</v>
      </c>
      <c r="J70" s="63">
        <v>1.1000000000000001</v>
      </c>
      <c r="K70" s="63">
        <v>0.1</v>
      </c>
      <c r="L70" s="63">
        <v>0.6</v>
      </c>
      <c r="M70" s="63">
        <v>2.4</v>
      </c>
    </row>
    <row r="71" spans="2:13" x14ac:dyDescent="0.25">
      <c r="B71" s="231" t="s">
        <v>263</v>
      </c>
      <c r="C71" s="49">
        <v>12.1</v>
      </c>
      <c r="D71" s="49">
        <v>1.6</v>
      </c>
      <c r="E71" s="49">
        <v>1.9</v>
      </c>
      <c r="F71" s="49">
        <v>2.2999999999999998</v>
      </c>
      <c r="G71" s="49">
        <v>0.4</v>
      </c>
      <c r="H71" s="49">
        <v>2.1</v>
      </c>
      <c r="I71" s="49">
        <v>0.5</v>
      </c>
      <c r="J71" s="49">
        <v>1</v>
      </c>
      <c r="K71" s="49">
        <v>0.1</v>
      </c>
      <c r="L71" s="49">
        <v>1</v>
      </c>
      <c r="M71" s="49">
        <v>2.9</v>
      </c>
    </row>
    <row r="72" spans="2:13" x14ac:dyDescent="0.25">
      <c r="B72" s="130" t="s">
        <v>264</v>
      </c>
      <c r="C72" s="49">
        <v>15.1</v>
      </c>
      <c r="D72" s="49">
        <v>1.3</v>
      </c>
      <c r="E72" s="49">
        <v>2</v>
      </c>
      <c r="F72" s="49">
        <v>3.5</v>
      </c>
      <c r="G72" s="49">
        <v>0.4</v>
      </c>
      <c r="H72" s="49">
        <v>2.4</v>
      </c>
      <c r="I72" s="49">
        <v>0.7</v>
      </c>
      <c r="J72" s="49">
        <v>0.8</v>
      </c>
      <c r="K72" s="49">
        <v>0.2</v>
      </c>
      <c r="L72" s="49">
        <v>1.5</v>
      </c>
      <c r="M72" s="49">
        <v>4.2</v>
      </c>
    </row>
    <row r="73" spans="2:13" x14ac:dyDescent="0.25">
      <c r="B73" s="130" t="s">
        <v>265</v>
      </c>
      <c r="C73" s="49">
        <v>16.7</v>
      </c>
      <c r="D73" s="49">
        <v>1.2</v>
      </c>
      <c r="E73" s="49">
        <v>1.6</v>
      </c>
      <c r="F73" s="49">
        <v>5.2</v>
      </c>
      <c r="G73" s="49">
        <v>0.4</v>
      </c>
      <c r="H73" s="49">
        <v>2.2000000000000002</v>
      </c>
      <c r="I73" s="49">
        <v>0.8</v>
      </c>
      <c r="J73" s="49">
        <v>0.6</v>
      </c>
      <c r="K73" s="49">
        <v>0.2</v>
      </c>
      <c r="L73" s="49">
        <v>2.1</v>
      </c>
      <c r="M73" s="49">
        <v>3.8</v>
      </c>
    </row>
    <row r="74" spans="2:13" x14ac:dyDescent="0.25">
      <c r="B74" s="131" t="s">
        <v>266</v>
      </c>
      <c r="C74" s="62"/>
      <c r="D74" s="62"/>
      <c r="E74" s="62"/>
      <c r="F74" s="62"/>
      <c r="G74" s="62"/>
      <c r="H74" s="62"/>
      <c r="I74" s="62"/>
      <c r="J74" s="62"/>
      <c r="K74" s="62"/>
      <c r="L74" s="62"/>
      <c r="M74" s="62"/>
    </row>
    <row r="75" spans="2:13" x14ac:dyDescent="0.25">
      <c r="B75" s="130" t="s">
        <v>267</v>
      </c>
      <c r="C75" s="49">
        <v>14</v>
      </c>
      <c r="D75" s="49">
        <v>1.3</v>
      </c>
      <c r="E75" s="49">
        <v>1.9</v>
      </c>
      <c r="F75" s="49">
        <v>3.3</v>
      </c>
      <c r="G75" s="49">
        <v>0.5</v>
      </c>
      <c r="H75" s="49">
        <v>2.2999999999999998</v>
      </c>
      <c r="I75" s="49">
        <v>0.6</v>
      </c>
      <c r="J75" s="49">
        <v>0.8</v>
      </c>
      <c r="K75" s="49">
        <v>0.2</v>
      </c>
      <c r="L75" s="49">
        <v>1.3</v>
      </c>
      <c r="M75" s="49">
        <v>3.5</v>
      </c>
    </row>
    <row r="76" spans="2:13" x14ac:dyDescent="0.25">
      <c r="B76" s="230" t="s">
        <v>268</v>
      </c>
      <c r="C76" s="63">
        <v>10.9</v>
      </c>
      <c r="D76" s="63">
        <v>1.5</v>
      </c>
      <c r="E76" s="63">
        <v>1.8</v>
      </c>
      <c r="F76" s="63">
        <v>2.1</v>
      </c>
      <c r="G76" s="63">
        <v>0.4</v>
      </c>
      <c r="H76" s="63">
        <v>1.9</v>
      </c>
      <c r="I76" s="63">
        <v>0.5</v>
      </c>
      <c r="J76" s="63">
        <v>0.8</v>
      </c>
      <c r="K76" s="63">
        <v>0.2</v>
      </c>
      <c r="L76" s="63">
        <v>0.8</v>
      </c>
      <c r="M76" s="63">
        <v>2.6</v>
      </c>
    </row>
    <row r="77" spans="2:13" x14ac:dyDescent="0.25">
      <c r="B77" s="130" t="s">
        <v>269</v>
      </c>
      <c r="C77" s="49">
        <v>15.1</v>
      </c>
      <c r="D77" s="49">
        <v>1.4</v>
      </c>
      <c r="E77" s="49">
        <v>2.1</v>
      </c>
      <c r="F77" s="49">
        <v>3.4</v>
      </c>
      <c r="G77" s="49">
        <v>0.5</v>
      </c>
      <c r="H77" s="49">
        <v>2.4</v>
      </c>
      <c r="I77" s="49">
        <v>0.6</v>
      </c>
      <c r="J77" s="49">
        <v>0.8</v>
      </c>
      <c r="K77" s="49">
        <v>0.2</v>
      </c>
      <c r="L77" s="49">
        <v>1.8</v>
      </c>
      <c r="M77" s="49">
        <v>3.7</v>
      </c>
    </row>
    <row r="78" spans="2:13" x14ac:dyDescent="0.25">
      <c r="B78" s="130" t="s">
        <v>270</v>
      </c>
      <c r="C78" s="49">
        <v>17.399999999999999</v>
      </c>
      <c r="D78" s="49">
        <v>1</v>
      </c>
      <c r="E78" s="49">
        <v>2</v>
      </c>
      <c r="F78" s="49">
        <v>5</v>
      </c>
      <c r="G78" s="49">
        <v>0.4</v>
      </c>
      <c r="H78" s="49">
        <v>2.5</v>
      </c>
      <c r="I78" s="49">
        <v>0.7</v>
      </c>
      <c r="J78" s="49">
        <v>0.7</v>
      </c>
      <c r="K78" s="49">
        <v>0.2</v>
      </c>
      <c r="L78" s="49">
        <v>1.6</v>
      </c>
      <c r="M78" s="49">
        <v>4.5</v>
      </c>
    </row>
    <row r="79" spans="2:13" x14ac:dyDescent="0.25">
      <c r="B79" s="130" t="s">
        <v>271</v>
      </c>
      <c r="C79" s="49">
        <v>14.8</v>
      </c>
      <c r="D79" s="49">
        <v>1.2</v>
      </c>
      <c r="E79" s="49">
        <v>1.9</v>
      </c>
      <c r="F79" s="49">
        <v>3.9</v>
      </c>
      <c r="G79" s="49">
        <v>0.5</v>
      </c>
      <c r="H79" s="49">
        <v>2.5</v>
      </c>
      <c r="I79" s="49">
        <v>0.7</v>
      </c>
      <c r="J79" s="49">
        <v>0.8</v>
      </c>
      <c r="K79" s="49">
        <v>0.1</v>
      </c>
      <c r="L79" s="49">
        <v>1.4</v>
      </c>
      <c r="M79" s="49">
        <v>3.3</v>
      </c>
    </row>
    <row r="80" spans="2:13" x14ac:dyDescent="0.25">
      <c r="B80" s="131" t="s">
        <v>272</v>
      </c>
      <c r="C80" s="62"/>
      <c r="D80" s="62"/>
      <c r="E80" s="62"/>
      <c r="F80" s="62"/>
      <c r="G80" s="62"/>
      <c r="H80" s="62"/>
      <c r="I80" s="62"/>
      <c r="J80" s="62"/>
      <c r="K80" s="62"/>
      <c r="L80" s="62"/>
      <c r="M80" s="62"/>
    </row>
    <row r="81" spans="2:13" x14ac:dyDescent="0.25">
      <c r="B81" s="130" t="s">
        <v>273</v>
      </c>
      <c r="C81" s="49">
        <v>8.1999999999999993</v>
      </c>
      <c r="D81" s="49">
        <v>1.7</v>
      </c>
      <c r="E81" s="49">
        <v>2.2000000000000002</v>
      </c>
      <c r="F81" s="49">
        <v>0.9</v>
      </c>
      <c r="G81" s="49">
        <v>0.3</v>
      </c>
      <c r="H81" s="49">
        <v>1.3</v>
      </c>
      <c r="I81" s="49">
        <v>0.8</v>
      </c>
      <c r="J81" s="49">
        <v>1.6</v>
      </c>
      <c r="K81" s="49">
        <v>0.1</v>
      </c>
      <c r="L81" s="49">
        <v>0.5</v>
      </c>
      <c r="M81" s="49">
        <v>2.2999999999999998</v>
      </c>
    </row>
    <row r="82" spans="2:13" x14ac:dyDescent="0.25">
      <c r="B82" s="130" t="s">
        <v>274</v>
      </c>
      <c r="C82" s="49">
        <v>11.8</v>
      </c>
      <c r="D82" s="49">
        <v>1.9</v>
      </c>
      <c r="E82" s="49">
        <v>2</v>
      </c>
      <c r="F82" s="49">
        <v>1.6</v>
      </c>
      <c r="G82" s="49">
        <v>0.5</v>
      </c>
      <c r="H82" s="49">
        <v>1.9</v>
      </c>
      <c r="I82" s="49">
        <v>1.8</v>
      </c>
      <c r="J82" s="49">
        <v>1.7</v>
      </c>
      <c r="K82" s="49">
        <v>0.2</v>
      </c>
      <c r="L82" s="49">
        <v>0.4</v>
      </c>
      <c r="M82" s="49">
        <v>3</v>
      </c>
    </row>
    <row r="83" spans="2:13" x14ac:dyDescent="0.25">
      <c r="B83" s="230" t="s">
        <v>275</v>
      </c>
      <c r="C83" s="63">
        <v>11.3</v>
      </c>
      <c r="D83" s="63">
        <v>1.5</v>
      </c>
      <c r="E83" s="63">
        <v>1.8</v>
      </c>
      <c r="F83" s="63">
        <v>1.9</v>
      </c>
      <c r="G83" s="63">
        <v>0.7</v>
      </c>
      <c r="H83" s="63">
        <v>2</v>
      </c>
      <c r="I83" s="63">
        <v>1.6</v>
      </c>
      <c r="J83" s="63">
        <v>1.7</v>
      </c>
      <c r="K83" s="63">
        <v>0.1</v>
      </c>
      <c r="L83" s="63">
        <v>0.5</v>
      </c>
      <c r="M83" s="63">
        <v>2.2999999999999998</v>
      </c>
    </row>
    <row r="84" spans="2:13" x14ac:dyDescent="0.25">
      <c r="B84" s="130" t="s">
        <v>276</v>
      </c>
      <c r="C84" s="49">
        <v>13.6</v>
      </c>
      <c r="D84" s="49">
        <v>1.7</v>
      </c>
      <c r="E84" s="49">
        <v>2</v>
      </c>
      <c r="F84" s="49">
        <v>2.1</v>
      </c>
      <c r="G84" s="49">
        <v>0.6</v>
      </c>
      <c r="H84" s="49">
        <v>2.4</v>
      </c>
      <c r="I84" s="49">
        <v>1.1000000000000001</v>
      </c>
      <c r="J84" s="49">
        <v>1.7</v>
      </c>
      <c r="K84" s="49">
        <v>0.2</v>
      </c>
      <c r="L84" s="49">
        <v>1.4</v>
      </c>
      <c r="M84" s="49">
        <v>2.7</v>
      </c>
    </row>
    <row r="85" spans="2:13" x14ac:dyDescent="0.25">
      <c r="B85" s="130" t="s">
        <v>277</v>
      </c>
      <c r="C85" s="49">
        <v>13.6</v>
      </c>
      <c r="D85" s="49">
        <v>1.4</v>
      </c>
      <c r="E85" s="49">
        <v>2.1</v>
      </c>
      <c r="F85" s="49">
        <v>2.4</v>
      </c>
      <c r="G85" s="49">
        <v>0.5</v>
      </c>
      <c r="H85" s="49">
        <v>2.5</v>
      </c>
      <c r="I85" s="49">
        <v>0.5</v>
      </c>
      <c r="J85" s="49">
        <v>1.4</v>
      </c>
      <c r="K85" s="49">
        <v>0.1</v>
      </c>
      <c r="L85" s="49">
        <v>0.7</v>
      </c>
      <c r="M85" s="49">
        <v>3.4</v>
      </c>
    </row>
    <row r="86" spans="2:13" x14ac:dyDescent="0.25">
      <c r="B86" s="130" t="s">
        <v>278</v>
      </c>
      <c r="C86" s="49">
        <v>14.5</v>
      </c>
      <c r="D86" s="49">
        <v>1.3</v>
      </c>
      <c r="E86" s="49">
        <v>2.1</v>
      </c>
      <c r="F86" s="49">
        <v>3.2</v>
      </c>
      <c r="G86" s="49">
        <v>0.5</v>
      </c>
      <c r="H86" s="49">
        <v>2.9</v>
      </c>
      <c r="I86" s="49">
        <v>0.5</v>
      </c>
      <c r="J86" s="49">
        <v>1.1000000000000001</v>
      </c>
      <c r="K86" s="49">
        <v>0.2</v>
      </c>
      <c r="L86" s="49">
        <v>0.8</v>
      </c>
      <c r="M86" s="49">
        <v>3.3</v>
      </c>
    </row>
    <row r="87" spans="2:13" x14ac:dyDescent="0.25">
      <c r="B87" s="130" t="s">
        <v>279</v>
      </c>
      <c r="C87" s="49">
        <v>17.399999999999999</v>
      </c>
      <c r="D87" s="49">
        <v>1.2</v>
      </c>
      <c r="E87" s="49">
        <v>1.9</v>
      </c>
      <c r="F87" s="49">
        <v>4.7</v>
      </c>
      <c r="G87" s="49">
        <v>0.4</v>
      </c>
      <c r="H87" s="49">
        <v>2.7</v>
      </c>
      <c r="I87" s="49">
        <v>0.6</v>
      </c>
      <c r="J87" s="49">
        <v>0.7</v>
      </c>
      <c r="K87" s="49">
        <v>0.2</v>
      </c>
      <c r="L87" s="49">
        <v>1.9</v>
      </c>
      <c r="M87" s="49">
        <v>4.5</v>
      </c>
    </row>
    <row r="88" spans="2:13" x14ac:dyDescent="0.25">
      <c r="B88" s="131" t="s">
        <v>280</v>
      </c>
      <c r="C88" s="62"/>
      <c r="D88" s="62"/>
      <c r="E88" s="62"/>
      <c r="F88" s="62"/>
      <c r="G88" s="62"/>
      <c r="H88" s="62"/>
      <c r="I88" s="62"/>
      <c r="J88" s="62"/>
      <c r="K88" s="62"/>
      <c r="L88" s="62"/>
      <c r="M88" s="62"/>
    </row>
    <row r="89" spans="2:13" x14ac:dyDescent="0.25">
      <c r="B89" s="130" t="s">
        <v>281</v>
      </c>
      <c r="C89" s="49">
        <v>6.8</v>
      </c>
      <c r="D89" s="49">
        <v>1.4</v>
      </c>
      <c r="E89" s="49">
        <v>1.7</v>
      </c>
      <c r="F89" s="49">
        <v>0.5</v>
      </c>
      <c r="G89" s="49">
        <v>0.2</v>
      </c>
      <c r="H89" s="49">
        <v>1</v>
      </c>
      <c r="I89" s="49">
        <v>0.6</v>
      </c>
      <c r="J89" s="49">
        <v>0.9</v>
      </c>
      <c r="K89" s="49">
        <v>0.1</v>
      </c>
      <c r="L89" s="49">
        <v>0.5</v>
      </c>
      <c r="M89" s="49">
        <v>2.2000000000000002</v>
      </c>
    </row>
    <row r="90" spans="2:13" x14ac:dyDescent="0.25">
      <c r="B90" s="130" t="s">
        <v>282</v>
      </c>
      <c r="C90" s="49">
        <v>9.1</v>
      </c>
      <c r="D90" s="49">
        <v>1.4</v>
      </c>
      <c r="E90" s="49">
        <v>1.7</v>
      </c>
      <c r="F90" s="49">
        <v>1.2</v>
      </c>
      <c r="G90" s="49">
        <v>0.3</v>
      </c>
      <c r="H90" s="49">
        <v>1.6</v>
      </c>
      <c r="I90" s="49">
        <v>0.4</v>
      </c>
      <c r="J90" s="49">
        <v>0.6</v>
      </c>
      <c r="K90" s="49">
        <v>0.2</v>
      </c>
      <c r="L90" s="49">
        <v>0.7</v>
      </c>
      <c r="M90" s="49">
        <v>2.6</v>
      </c>
    </row>
    <row r="91" spans="2:13" x14ac:dyDescent="0.25">
      <c r="B91" s="230" t="s">
        <v>283</v>
      </c>
      <c r="C91" s="63">
        <v>9.9</v>
      </c>
      <c r="D91" s="63">
        <v>1.4</v>
      </c>
      <c r="E91" s="63">
        <v>1.6</v>
      </c>
      <c r="F91" s="63">
        <v>1.7</v>
      </c>
      <c r="G91" s="63">
        <v>0.4</v>
      </c>
      <c r="H91" s="63">
        <v>1.9</v>
      </c>
      <c r="I91" s="63">
        <v>0.5</v>
      </c>
      <c r="J91" s="63">
        <v>0.8</v>
      </c>
      <c r="K91" s="63">
        <v>0.2</v>
      </c>
      <c r="L91" s="63">
        <v>0.9</v>
      </c>
      <c r="M91" s="63">
        <v>2.2000000000000002</v>
      </c>
    </row>
    <row r="92" spans="2:13" x14ac:dyDescent="0.25">
      <c r="B92" s="130" t="s">
        <v>284</v>
      </c>
      <c r="C92" s="49">
        <v>13.7</v>
      </c>
      <c r="D92" s="49">
        <v>1.7</v>
      </c>
      <c r="E92" s="49">
        <v>2</v>
      </c>
      <c r="F92" s="49">
        <v>2.2999999999999998</v>
      </c>
      <c r="G92" s="49">
        <v>0.6</v>
      </c>
      <c r="H92" s="49">
        <v>2.7</v>
      </c>
      <c r="I92" s="49">
        <v>0.9</v>
      </c>
      <c r="J92" s="49">
        <v>1.7</v>
      </c>
      <c r="K92" s="49">
        <v>0.2</v>
      </c>
      <c r="L92" s="49">
        <v>0.7</v>
      </c>
      <c r="M92" s="49">
        <v>3.1</v>
      </c>
    </row>
    <row r="93" spans="2:13" x14ac:dyDescent="0.25">
      <c r="B93" s="130" t="s">
        <v>285</v>
      </c>
      <c r="C93" s="49">
        <v>17.600000000000001</v>
      </c>
      <c r="D93" s="49">
        <v>2.1</v>
      </c>
      <c r="E93" s="49">
        <v>2.5</v>
      </c>
      <c r="F93" s="49">
        <v>2.9</v>
      </c>
      <c r="G93" s="49">
        <v>0.6</v>
      </c>
      <c r="H93" s="49">
        <v>3.3</v>
      </c>
      <c r="I93" s="49">
        <v>1.6</v>
      </c>
      <c r="J93" s="49">
        <v>3.6</v>
      </c>
      <c r="K93" s="49">
        <v>0.1</v>
      </c>
      <c r="L93" s="49">
        <v>0.4</v>
      </c>
      <c r="M93" s="49">
        <v>3.5</v>
      </c>
    </row>
    <row r="94" spans="2:13" x14ac:dyDescent="0.25">
      <c r="B94" s="130" t="s">
        <v>286</v>
      </c>
      <c r="C94" s="49">
        <v>19.100000000000001</v>
      </c>
      <c r="D94" s="49">
        <v>1.5</v>
      </c>
      <c r="E94" s="49">
        <v>2.6</v>
      </c>
      <c r="F94" s="49">
        <v>4.8</v>
      </c>
      <c r="G94" s="49">
        <v>1.1000000000000001</v>
      </c>
      <c r="H94" s="49">
        <v>2.8</v>
      </c>
      <c r="I94" s="49">
        <v>1</v>
      </c>
      <c r="J94" s="49">
        <v>1.6</v>
      </c>
      <c r="K94" s="49">
        <v>0.2</v>
      </c>
      <c r="L94" s="49">
        <v>1.7</v>
      </c>
      <c r="M94" s="49">
        <v>4.5</v>
      </c>
    </row>
    <row r="95" spans="2:13" x14ac:dyDescent="0.25">
      <c r="B95" s="131" t="s">
        <v>287</v>
      </c>
      <c r="C95" s="62"/>
      <c r="D95" s="62"/>
      <c r="E95" s="62"/>
      <c r="F95" s="62"/>
      <c r="G95" s="62"/>
      <c r="H95" s="62"/>
      <c r="I95" s="62"/>
      <c r="J95" s="62"/>
      <c r="K95" s="62"/>
      <c r="L95" s="62"/>
      <c r="M95" s="62"/>
    </row>
    <row r="96" spans="2:13" x14ac:dyDescent="0.25">
      <c r="B96" s="130" t="s">
        <v>288</v>
      </c>
      <c r="C96" s="49">
        <v>12.9</v>
      </c>
      <c r="D96" s="49">
        <v>1.5</v>
      </c>
      <c r="E96" s="49">
        <v>1.9</v>
      </c>
      <c r="F96" s="49">
        <v>2.4</v>
      </c>
      <c r="G96" s="49">
        <v>0.5</v>
      </c>
      <c r="H96" s="49">
        <v>2.2999999999999998</v>
      </c>
      <c r="I96" s="49">
        <v>0.9</v>
      </c>
      <c r="J96" s="49">
        <v>1.6</v>
      </c>
      <c r="K96" s="49">
        <v>0.2</v>
      </c>
      <c r="L96" s="49">
        <v>0.9</v>
      </c>
      <c r="M96" s="49">
        <v>3</v>
      </c>
    </row>
    <row r="97" spans="2:13" x14ac:dyDescent="0.25">
      <c r="B97" s="130" t="s">
        <v>289</v>
      </c>
      <c r="C97" s="49">
        <v>12.6</v>
      </c>
      <c r="D97" s="49">
        <v>1.4</v>
      </c>
      <c r="E97" s="49">
        <v>2</v>
      </c>
      <c r="F97" s="49">
        <v>2.5</v>
      </c>
      <c r="G97" s="49">
        <v>0.5</v>
      </c>
      <c r="H97" s="49">
        <v>2.1</v>
      </c>
      <c r="I97" s="49">
        <v>1</v>
      </c>
      <c r="J97" s="49">
        <v>1.5</v>
      </c>
      <c r="K97" s="49">
        <v>0.2</v>
      </c>
      <c r="L97" s="49">
        <v>0.8</v>
      </c>
      <c r="M97" s="49">
        <v>3</v>
      </c>
    </row>
    <row r="98" spans="2:13" x14ac:dyDescent="0.25">
      <c r="B98" s="230" t="s">
        <v>290</v>
      </c>
      <c r="C98" s="63">
        <v>13.5</v>
      </c>
      <c r="D98" s="63">
        <v>1.7</v>
      </c>
      <c r="E98" s="63">
        <v>1.7</v>
      </c>
      <c r="F98" s="63">
        <v>2.4</v>
      </c>
      <c r="G98" s="63">
        <v>0.6</v>
      </c>
      <c r="H98" s="63">
        <v>2.6</v>
      </c>
      <c r="I98" s="63">
        <v>0.8</v>
      </c>
      <c r="J98" s="63">
        <v>1.6</v>
      </c>
      <c r="K98" s="63">
        <v>0.2</v>
      </c>
      <c r="L98" s="63">
        <v>1.1000000000000001</v>
      </c>
      <c r="M98" s="63">
        <v>3</v>
      </c>
    </row>
    <row r="99" spans="2:13" x14ac:dyDescent="0.25">
      <c r="B99" s="130" t="s">
        <v>291</v>
      </c>
      <c r="C99" s="49">
        <v>2.4</v>
      </c>
      <c r="D99" s="49" t="s">
        <v>229</v>
      </c>
      <c r="E99" s="49">
        <v>1.8</v>
      </c>
      <c r="F99" s="49" t="s">
        <v>228</v>
      </c>
      <c r="G99" s="49" t="s">
        <v>229</v>
      </c>
      <c r="H99" s="49" t="s">
        <v>229</v>
      </c>
      <c r="I99" s="49" t="s">
        <v>229</v>
      </c>
      <c r="J99" s="49" t="s">
        <v>229</v>
      </c>
      <c r="K99" s="49" t="s">
        <v>229</v>
      </c>
      <c r="L99" s="49" t="s">
        <v>229</v>
      </c>
      <c r="M99" s="49">
        <v>1.2</v>
      </c>
    </row>
    <row r="100" spans="2:13" x14ac:dyDescent="0.25">
      <c r="B100" s="130" t="s">
        <v>292</v>
      </c>
      <c r="C100" s="49">
        <v>11.7</v>
      </c>
      <c r="D100" s="49">
        <v>1.5</v>
      </c>
      <c r="E100" s="49">
        <v>2.4</v>
      </c>
      <c r="F100" s="49">
        <v>2</v>
      </c>
      <c r="G100" s="49">
        <v>0.5</v>
      </c>
      <c r="H100" s="49">
        <v>1.9</v>
      </c>
      <c r="I100" s="49">
        <v>0.7</v>
      </c>
      <c r="J100" s="49">
        <v>0.8</v>
      </c>
      <c r="K100" s="49">
        <v>0.2</v>
      </c>
      <c r="L100" s="49">
        <v>0.9</v>
      </c>
      <c r="M100" s="49">
        <v>3</v>
      </c>
    </row>
    <row r="101" spans="2:13" x14ac:dyDescent="0.25">
      <c r="B101" s="130" t="s">
        <v>293</v>
      </c>
      <c r="C101" s="49">
        <v>13.9</v>
      </c>
      <c r="D101" s="49">
        <v>1.4</v>
      </c>
      <c r="E101" s="49">
        <v>1.9</v>
      </c>
      <c r="F101" s="49">
        <v>3.5</v>
      </c>
      <c r="G101" s="49">
        <v>0.3</v>
      </c>
      <c r="H101" s="49">
        <v>2.8</v>
      </c>
      <c r="I101" s="49">
        <v>0.6</v>
      </c>
      <c r="J101" s="49">
        <v>0.4</v>
      </c>
      <c r="K101" s="49">
        <v>0.2</v>
      </c>
      <c r="L101" s="49">
        <v>1.3</v>
      </c>
      <c r="M101" s="49">
        <v>3.4</v>
      </c>
    </row>
    <row r="102" spans="2:13" x14ac:dyDescent="0.25">
      <c r="B102" s="130" t="s">
        <v>294</v>
      </c>
      <c r="C102" s="49">
        <v>13.4</v>
      </c>
      <c r="D102" s="49">
        <v>1.5</v>
      </c>
      <c r="E102" s="49">
        <v>2.9</v>
      </c>
      <c r="F102" s="49">
        <v>2.2000000000000002</v>
      </c>
      <c r="G102" s="49">
        <v>0.6</v>
      </c>
      <c r="H102" s="49">
        <v>1.9</v>
      </c>
      <c r="I102" s="49">
        <v>1.2</v>
      </c>
      <c r="J102" s="49">
        <v>1</v>
      </c>
      <c r="K102" s="49">
        <v>0.2</v>
      </c>
      <c r="L102" s="49">
        <v>0.9</v>
      </c>
      <c r="M102" s="49">
        <v>4</v>
      </c>
    </row>
    <row r="103" spans="2:13" x14ac:dyDescent="0.25">
      <c r="B103" s="130" t="s">
        <v>295</v>
      </c>
      <c r="C103" s="49">
        <v>10.5</v>
      </c>
      <c r="D103" s="49">
        <v>1.6</v>
      </c>
      <c r="E103" s="49">
        <v>2.2999999999999998</v>
      </c>
      <c r="F103" s="49">
        <v>1.6</v>
      </c>
      <c r="G103" s="49">
        <v>0.5</v>
      </c>
      <c r="H103" s="49">
        <v>1.7</v>
      </c>
      <c r="I103" s="49">
        <v>0.5</v>
      </c>
      <c r="J103" s="49">
        <v>0.8</v>
      </c>
      <c r="K103" s="49">
        <v>0.2</v>
      </c>
      <c r="L103" s="49">
        <v>0.8</v>
      </c>
      <c r="M103" s="49">
        <v>2.4</v>
      </c>
    </row>
    <row r="104" spans="2:13" x14ac:dyDescent="0.25">
      <c r="B104" s="131" t="s">
        <v>296</v>
      </c>
      <c r="C104" s="62"/>
      <c r="D104" s="62"/>
      <c r="E104" s="62"/>
      <c r="F104" s="62"/>
      <c r="G104" s="62"/>
      <c r="H104" s="62"/>
      <c r="I104" s="62"/>
      <c r="J104" s="62"/>
      <c r="K104" s="62"/>
      <c r="L104" s="62"/>
      <c r="M104" s="62"/>
    </row>
    <row r="105" spans="2:13" x14ac:dyDescent="0.25">
      <c r="B105" s="130" t="s">
        <v>297</v>
      </c>
      <c r="C105" s="49">
        <v>12.5</v>
      </c>
      <c r="D105" s="49">
        <v>1.5</v>
      </c>
      <c r="E105" s="49">
        <v>2</v>
      </c>
      <c r="F105" s="49">
        <v>2.4</v>
      </c>
      <c r="G105" s="49">
        <v>0.5</v>
      </c>
      <c r="H105" s="49">
        <v>2.1</v>
      </c>
      <c r="I105" s="49">
        <v>0.9</v>
      </c>
      <c r="J105" s="49">
        <v>1.3</v>
      </c>
      <c r="K105" s="49">
        <v>0.2</v>
      </c>
      <c r="L105" s="49">
        <v>0.9</v>
      </c>
      <c r="M105" s="49">
        <v>3</v>
      </c>
    </row>
    <row r="106" spans="2:13" x14ac:dyDescent="0.25">
      <c r="B106" s="130" t="s">
        <v>298</v>
      </c>
      <c r="C106" s="49">
        <v>12.9</v>
      </c>
      <c r="D106" s="49">
        <v>1.7</v>
      </c>
      <c r="E106" s="49">
        <v>1.8</v>
      </c>
      <c r="F106" s="49">
        <v>1.9</v>
      </c>
      <c r="G106" s="49">
        <v>0.6</v>
      </c>
      <c r="H106" s="49">
        <v>2.6</v>
      </c>
      <c r="I106" s="49">
        <v>0.9</v>
      </c>
      <c r="J106" s="49">
        <v>2.1</v>
      </c>
      <c r="K106" s="49">
        <v>0.1</v>
      </c>
      <c r="L106" s="49">
        <v>0.8</v>
      </c>
      <c r="M106" s="49">
        <v>2.7</v>
      </c>
    </row>
    <row r="107" spans="2:13" x14ac:dyDescent="0.25">
      <c r="B107" s="130" t="s">
        <v>299</v>
      </c>
      <c r="C107" s="49">
        <v>14.7</v>
      </c>
      <c r="D107" s="49">
        <v>1.9</v>
      </c>
      <c r="E107" s="49">
        <v>2.1</v>
      </c>
      <c r="F107" s="49">
        <v>3</v>
      </c>
      <c r="G107" s="49">
        <v>0.4</v>
      </c>
      <c r="H107" s="49">
        <v>2.6</v>
      </c>
      <c r="I107" s="49">
        <v>0.5</v>
      </c>
      <c r="J107" s="49">
        <v>1.6</v>
      </c>
      <c r="K107" s="49">
        <v>0.2</v>
      </c>
      <c r="L107" s="49">
        <v>0.8</v>
      </c>
      <c r="M107" s="49">
        <v>3.2</v>
      </c>
    </row>
    <row r="108" spans="2:13" x14ac:dyDescent="0.25">
      <c r="B108" s="230" t="s">
        <v>89</v>
      </c>
      <c r="C108" s="63">
        <v>14.1</v>
      </c>
      <c r="D108" s="63">
        <v>1.4</v>
      </c>
      <c r="E108" s="63">
        <v>2.2000000000000002</v>
      </c>
      <c r="F108" s="63">
        <v>2.5</v>
      </c>
      <c r="G108" s="63">
        <v>0.8</v>
      </c>
      <c r="H108" s="63">
        <v>2.7</v>
      </c>
      <c r="I108" s="63">
        <v>0.8</v>
      </c>
      <c r="J108" s="63">
        <v>1.1000000000000001</v>
      </c>
      <c r="K108" s="63">
        <v>0.2</v>
      </c>
      <c r="L108" s="63">
        <v>1.2</v>
      </c>
      <c r="M108" s="63">
        <v>3.2</v>
      </c>
    </row>
    <row r="109" spans="2:13" x14ac:dyDescent="0.25">
      <c r="B109" s="131" t="s">
        <v>300</v>
      </c>
      <c r="C109" s="62"/>
      <c r="D109" s="62"/>
      <c r="E109" s="62"/>
      <c r="F109" s="62"/>
      <c r="G109" s="62"/>
      <c r="H109" s="62"/>
      <c r="I109" s="62"/>
      <c r="J109" s="62"/>
      <c r="K109" s="62"/>
      <c r="L109" s="62"/>
      <c r="M109" s="62"/>
    </row>
    <row r="110" spans="2:13" x14ac:dyDescent="0.25">
      <c r="B110" s="130" t="s">
        <v>297</v>
      </c>
      <c r="C110" s="49">
        <v>12.4</v>
      </c>
      <c r="D110" s="49">
        <v>1.5</v>
      </c>
      <c r="E110" s="49">
        <v>2</v>
      </c>
      <c r="F110" s="49">
        <v>2.4</v>
      </c>
      <c r="G110" s="49">
        <v>0.5</v>
      </c>
      <c r="H110" s="49">
        <v>2.1</v>
      </c>
      <c r="I110" s="49">
        <v>0.9</v>
      </c>
      <c r="J110" s="49">
        <v>1.3</v>
      </c>
      <c r="K110" s="49">
        <v>0.2</v>
      </c>
      <c r="L110" s="49">
        <v>0.9</v>
      </c>
      <c r="M110" s="49">
        <v>3</v>
      </c>
    </row>
    <row r="111" spans="2:13" x14ac:dyDescent="0.25">
      <c r="B111" s="130" t="s">
        <v>298</v>
      </c>
      <c r="C111" s="49">
        <v>14.1</v>
      </c>
      <c r="D111" s="49">
        <v>1.8</v>
      </c>
      <c r="E111" s="49">
        <v>1.9</v>
      </c>
      <c r="F111" s="49">
        <v>1.9</v>
      </c>
      <c r="G111" s="49">
        <v>0.6</v>
      </c>
      <c r="H111" s="49">
        <v>2.8</v>
      </c>
      <c r="I111" s="49">
        <v>0.9</v>
      </c>
      <c r="J111" s="49">
        <v>2.2999999999999998</v>
      </c>
      <c r="K111" s="49">
        <v>0.2</v>
      </c>
      <c r="L111" s="49">
        <v>1.1000000000000001</v>
      </c>
      <c r="M111" s="49">
        <v>2.9</v>
      </c>
    </row>
    <row r="112" spans="2:13" x14ac:dyDescent="0.25">
      <c r="B112" s="130" t="s">
        <v>299</v>
      </c>
      <c r="C112" s="49">
        <v>15.6</v>
      </c>
      <c r="D112" s="49">
        <v>2.4</v>
      </c>
      <c r="E112" s="49">
        <v>1.8</v>
      </c>
      <c r="F112" s="49">
        <v>2.8</v>
      </c>
      <c r="G112" s="49">
        <v>0.7</v>
      </c>
      <c r="H112" s="49">
        <v>3</v>
      </c>
      <c r="I112" s="49" t="s">
        <v>229</v>
      </c>
      <c r="J112" s="49">
        <v>2.2999999999999998</v>
      </c>
      <c r="K112" s="49">
        <v>0.2</v>
      </c>
      <c r="L112" s="49">
        <v>0.7</v>
      </c>
      <c r="M112" s="49">
        <v>3.2</v>
      </c>
    </row>
    <row r="113" spans="2:13" x14ac:dyDescent="0.25">
      <c r="B113" s="230" t="s">
        <v>89</v>
      </c>
      <c r="C113" s="63">
        <v>12.7</v>
      </c>
      <c r="D113" s="63">
        <v>1.6</v>
      </c>
      <c r="E113" s="63">
        <v>1.9</v>
      </c>
      <c r="F113" s="63">
        <v>2.2999999999999998</v>
      </c>
      <c r="G113" s="63">
        <v>0.7</v>
      </c>
      <c r="H113" s="63">
        <v>2.2999999999999998</v>
      </c>
      <c r="I113" s="63">
        <v>0.7</v>
      </c>
      <c r="J113" s="63">
        <v>1.2</v>
      </c>
      <c r="K113" s="63">
        <v>0.2</v>
      </c>
      <c r="L113" s="63">
        <v>0.9</v>
      </c>
      <c r="M113" s="63">
        <v>3</v>
      </c>
    </row>
    <row r="114" spans="2:13" x14ac:dyDescent="0.25">
      <c r="B114" s="131" t="s">
        <v>301</v>
      </c>
      <c r="C114" s="62"/>
      <c r="D114" s="62"/>
      <c r="E114" s="62"/>
      <c r="F114" s="62"/>
      <c r="G114" s="62"/>
      <c r="H114" s="62"/>
      <c r="I114" s="62"/>
      <c r="J114" s="62"/>
      <c r="K114" s="62"/>
      <c r="L114" s="62"/>
      <c r="M114" s="62"/>
    </row>
    <row r="115" spans="2:13" x14ac:dyDescent="0.25">
      <c r="B115" s="231" t="s">
        <v>261</v>
      </c>
      <c r="C115" s="49">
        <v>12.1</v>
      </c>
      <c r="D115" s="49">
        <v>1.6</v>
      </c>
      <c r="E115" s="49">
        <v>2.1</v>
      </c>
      <c r="F115" s="49">
        <v>2.1</v>
      </c>
      <c r="G115" s="49">
        <v>0.5</v>
      </c>
      <c r="H115" s="49">
        <v>2</v>
      </c>
      <c r="I115" s="49">
        <v>1</v>
      </c>
      <c r="J115" s="49">
        <v>1.4</v>
      </c>
      <c r="K115" s="49">
        <v>0.1</v>
      </c>
      <c r="L115" s="49">
        <v>0.9</v>
      </c>
      <c r="M115" s="49">
        <v>3</v>
      </c>
    </row>
    <row r="116" spans="2:13" x14ac:dyDescent="0.25">
      <c r="B116" s="130" t="s">
        <v>302</v>
      </c>
      <c r="C116" s="49">
        <v>13</v>
      </c>
      <c r="D116" s="49">
        <v>1.4</v>
      </c>
      <c r="E116" s="49">
        <v>2</v>
      </c>
      <c r="F116" s="49">
        <v>2.6</v>
      </c>
      <c r="G116" s="49">
        <v>0.4</v>
      </c>
      <c r="H116" s="49">
        <v>2.4</v>
      </c>
      <c r="I116" s="49">
        <v>0.7</v>
      </c>
      <c r="J116" s="49">
        <v>1.5</v>
      </c>
      <c r="K116" s="49">
        <v>0.2</v>
      </c>
      <c r="L116" s="49">
        <v>0.8</v>
      </c>
      <c r="M116" s="49">
        <v>2.9</v>
      </c>
    </row>
    <row r="117" spans="2:13" ht="14.45" customHeight="1" x14ac:dyDescent="0.25">
      <c r="B117" s="130" t="s">
        <v>303</v>
      </c>
      <c r="C117" s="49">
        <v>14.5</v>
      </c>
      <c r="D117" s="49">
        <v>1.6</v>
      </c>
      <c r="E117" s="49">
        <v>1.6</v>
      </c>
      <c r="F117" s="49">
        <v>3</v>
      </c>
      <c r="G117" s="49">
        <v>0.5</v>
      </c>
      <c r="H117" s="49">
        <v>2.8</v>
      </c>
      <c r="I117" s="49">
        <v>0.5</v>
      </c>
      <c r="J117" s="49">
        <v>1.7</v>
      </c>
      <c r="K117" s="49">
        <v>0.2</v>
      </c>
      <c r="L117" s="49">
        <v>1.1000000000000001</v>
      </c>
      <c r="M117" s="49">
        <v>3</v>
      </c>
    </row>
    <row r="118" spans="2:13" ht="14.45" customHeight="1" x14ac:dyDescent="0.25">
      <c r="B118" s="230" t="s">
        <v>304</v>
      </c>
      <c r="C118" s="63">
        <v>16</v>
      </c>
      <c r="D118" s="63">
        <v>1.6</v>
      </c>
      <c r="E118" s="63">
        <v>1.8</v>
      </c>
      <c r="F118" s="63">
        <v>3.5</v>
      </c>
      <c r="G118" s="63">
        <v>0.7</v>
      </c>
      <c r="H118" s="63">
        <v>3.2</v>
      </c>
      <c r="I118" s="63">
        <v>0.4</v>
      </c>
      <c r="J118" s="63">
        <v>1.5</v>
      </c>
      <c r="K118" s="63">
        <v>0.2</v>
      </c>
      <c r="L118" s="63">
        <v>1</v>
      </c>
      <c r="M118" s="63">
        <v>3.2</v>
      </c>
    </row>
    <row r="119" spans="2:13" ht="14.45" customHeight="1" x14ac:dyDescent="0.25">
      <c r="B119" s="130" t="s">
        <v>305</v>
      </c>
      <c r="C119" s="49">
        <v>15.5</v>
      </c>
      <c r="D119" s="49">
        <v>1.5</v>
      </c>
      <c r="E119" s="49">
        <v>1.6</v>
      </c>
      <c r="F119" s="49">
        <v>3.8</v>
      </c>
      <c r="G119" s="49">
        <v>0.6</v>
      </c>
      <c r="H119" s="49">
        <v>3.1</v>
      </c>
      <c r="I119" s="49">
        <v>0.3</v>
      </c>
      <c r="J119" s="49">
        <v>0.9</v>
      </c>
      <c r="K119" s="49">
        <v>0.3</v>
      </c>
      <c r="L119" s="49">
        <v>1.5</v>
      </c>
      <c r="M119" s="49">
        <v>2.9</v>
      </c>
    </row>
    <row r="120" spans="2:13" x14ac:dyDescent="0.25">
      <c r="B120" s="130" t="s">
        <v>306</v>
      </c>
      <c r="C120" s="49">
        <v>2.9</v>
      </c>
      <c r="D120" s="49" t="s">
        <v>229</v>
      </c>
      <c r="E120" s="49">
        <v>1.6</v>
      </c>
      <c r="F120" s="49" t="s">
        <v>229</v>
      </c>
      <c r="G120" s="49" t="s">
        <v>229</v>
      </c>
      <c r="H120" s="49" t="s">
        <v>229</v>
      </c>
      <c r="I120" s="49" t="s">
        <v>229</v>
      </c>
      <c r="J120" s="49" t="s">
        <v>229</v>
      </c>
      <c r="K120" s="49" t="s">
        <v>229</v>
      </c>
      <c r="L120" s="49" t="s">
        <v>229</v>
      </c>
      <c r="M120" s="49">
        <v>1.7</v>
      </c>
    </row>
    <row r="121" spans="2:13" x14ac:dyDescent="0.25">
      <c r="B121" s="131" t="s">
        <v>307</v>
      </c>
      <c r="C121" s="62"/>
      <c r="D121" s="62"/>
      <c r="E121" s="62"/>
      <c r="F121" s="62"/>
      <c r="G121" s="62"/>
      <c r="H121" s="62"/>
      <c r="I121" s="62"/>
      <c r="J121" s="62"/>
      <c r="K121" s="62"/>
      <c r="L121" s="62"/>
      <c r="M121" s="62"/>
    </row>
    <row r="122" spans="2:13" x14ac:dyDescent="0.25">
      <c r="B122" s="130" t="s">
        <v>308</v>
      </c>
      <c r="C122" s="49">
        <v>13.3</v>
      </c>
      <c r="D122" s="49">
        <v>1.5</v>
      </c>
      <c r="E122" s="49">
        <v>2.2000000000000002</v>
      </c>
      <c r="F122" s="49">
        <v>2.5</v>
      </c>
      <c r="G122" s="49">
        <v>0.6</v>
      </c>
      <c r="H122" s="49">
        <v>2.2000000000000002</v>
      </c>
      <c r="I122" s="49">
        <v>1</v>
      </c>
      <c r="J122" s="49">
        <v>1.3</v>
      </c>
      <c r="K122" s="49">
        <v>0.2</v>
      </c>
      <c r="L122" s="49">
        <v>0.9</v>
      </c>
      <c r="M122" s="49">
        <v>3</v>
      </c>
    </row>
    <row r="123" spans="2:13" x14ac:dyDescent="0.25">
      <c r="B123" s="130" t="s">
        <v>309</v>
      </c>
      <c r="C123" s="49">
        <v>13.6</v>
      </c>
      <c r="D123" s="49">
        <v>1.5</v>
      </c>
      <c r="E123" s="49">
        <v>2.1</v>
      </c>
      <c r="F123" s="49">
        <v>2.5</v>
      </c>
      <c r="G123" s="49">
        <v>0.5</v>
      </c>
      <c r="H123" s="49">
        <v>2.5</v>
      </c>
      <c r="I123" s="49">
        <v>0.8</v>
      </c>
      <c r="J123" s="49">
        <v>1.8</v>
      </c>
      <c r="K123" s="49">
        <v>0.1</v>
      </c>
      <c r="L123" s="49">
        <v>1</v>
      </c>
      <c r="M123" s="49">
        <v>2.9</v>
      </c>
    </row>
    <row r="124" spans="2:13" x14ac:dyDescent="0.25">
      <c r="B124" s="130" t="s">
        <v>310</v>
      </c>
      <c r="C124" s="49">
        <v>11.5</v>
      </c>
      <c r="D124" s="49">
        <v>1.2</v>
      </c>
      <c r="E124" s="49">
        <v>1.5</v>
      </c>
      <c r="F124" s="49">
        <v>2.1</v>
      </c>
      <c r="G124" s="49">
        <v>0.2</v>
      </c>
      <c r="H124" s="49">
        <v>2.2000000000000002</v>
      </c>
      <c r="I124" s="49">
        <v>0.5</v>
      </c>
      <c r="J124" s="49">
        <v>0.9</v>
      </c>
      <c r="K124" s="49">
        <v>0.1</v>
      </c>
      <c r="L124" s="49">
        <v>1.4</v>
      </c>
      <c r="M124" s="49">
        <v>2.9</v>
      </c>
    </row>
    <row r="125" spans="2:13" x14ac:dyDescent="0.25">
      <c r="B125" s="230" t="s">
        <v>311</v>
      </c>
      <c r="C125" s="63">
        <v>12.8</v>
      </c>
      <c r="D125" s="63">
        <v>2.2999999999999998</v>
      </c>
      <c r="E125" s="63">
        <v>1.6</v>
      </c>
      <c r="F125" s="63">
        <v>1.8</v>
      </c>
      <c r="G125" s="63">
        <v>0.8</v>
      </c>
      <c r="H125" s="63">
        <v>2.2000000000000002</v>
      </c>
      <c r="I125" s="63">
        <v>1</v>
      </c>
      <c r="J125" s="63">
        <v>1.8</v>
      </c>
      <c r="K125" s="63">
        <v>0.2</v>
      </c>
      <c r="L125" s="63">
        <v>0.6</v>
      </c>
      <c r="M125" s="63">
        <v>3.9</v>
      </c>
    </row>
    <row r="126" spans="2:13" ht="14.45" customHeight="1" x14ac:dyDescent="0.25">
      <c r="B126" s="130" t="s">
        <v>312</v>
      </c>
      <c r="C126" s="49">
        <v>8.1</v>
      </c>
      <c r="D126" s="49">
        <v>1.4</v>
      </c>
      <c r="E126" s="49">
        <v>1.7</v>
      </c>
      <c r="F126" s="49">
        <v>1.2</v>
      </c>
      <c r="G126" s="49">
        <v>0.2</v>
      </c>
      <c r="H126" s="49">
        <v>1.8</v>
      </c>
      <c r="I126" s="49">
        <v>0.5</v>
      </c>
      <c r="J126" s="49">
        <v>1.1000000000000001</v>
      </c>
      <c r="K126" s="49">
        <v>0.1</v>
      </c>
      <c r="L126" s="49">
        <v>0.3</v>
      </c>
      <c r="M126" s="49">
        <v>2.5</v>
      </c>
    </row>
    <row r="127" spans="2:13" ht="14.45" customHeight="1" x14ac:dyDescent="0.25">
      <c r="B127" s="130" t="s">
        <v>313</v>
      </c>
      <c r="C127" s="49">
        <v>15.7</v>
      </c>
      <c r="D127" s="49">
        <v>1.9</v>
      </c>
      <c r="E127" s="49">
        <v>1.9</v>
      </c>
      <c r="F127" s="49">
        <v>3.7</v>
      </c>
      <c r="G127" s="49">
        <v>0.3</v>
      </c>
      <c r="H127" s="49">
        <v>2.2999999999999998</v>
      </c>
      <c r="I127" s="49">
        <v>0.8</v>
      </c>
      <c r="J127" s="49">
        <v>0.7</v>
      </c>
      <c r="K127" s="49">
        <v>0.2</v>
      </c>
      <c r="L127" s="49">
        <v>1.9</v>
      </c>
      <c r="M127" s="49">
        <v>3.8</v>
      </c>
    </row>
    <row r="128" spans="2:13" x14ac:dyDescent="0.25">
      <c r="B128" s="130" t="s">
        <v>89</v>
      </c>
      <c r="C128" s="49">
        <v>14.2</v>
      </c>
      <c r="D128" s="49">
        <v>1.7</v>
      </c>
      <c r="E128" s="49">
        <v>1.4</v>
      </c>
      <c r="F128" s="49">
        <v>3.3</v>
      </c>
      <c r="G128" s="49">
        <v>0.4</v>
      </c>
      <c r="H128" s="49">
        <v>2.2000000000000002</v>
      </c>
      <c r="I128" s="49">
        <v>0.6</v>
      </c>
      <c r="J128" s="49">
        <v>1.6</v>
      </c>
      <c r="K128" s="49">
        <v>0.2</v>
      </c>
      <c r="L128" s="49">
        <v>1.8</v>
      </c>
      <c r="M128" s="49">
        <v>3</v>
      </c>
    </row>
    <row r="129" spans="2:13" x14ac:dyDescent="0.25">
      <c r="B129" s="131" t="s">
        <v>314</v>
      </c>
      <c r="C129" s="62"/>
      <c r="D129" s="62"/>
      <c r="E129" s="62"/>
      <c r="F129" s="62"/>
      <c r="G129" s="62"/>
      <c r="H129" s="62"/>
      <c r="I129" s="62"/>
      <c r="J129" s="62"/>
      <c r="K129" s="62"/>
      <c r="L129" s="62"/>
      <c r="M129" s="62"/>
    </row>
    <row r="130" spans="2:13" x14ac:dyDescent="0.25">
      <c r="B130" s="130" t="s">
        <v>315</v>
      </c>
      <c r="C130" s="49">
        <v>9.8000000000000007</v>
      </c>
      <c r="D130" s="49">
        <v>1.8</v>
      </c>
      <c r="E130" s="49">
        <v>2.1</v>
      </c>
      <c r="F130" s="49">
        <v>1.2</v>
      </c>
      <c r="G130" s="49">
        <v>0.4</v>
      </c>
      <c r="H130" s="49">
        <v>1.9</v>
      </c>
      <c r="I130" s="49">
        <v>1.1000000000000001</v>
      </c>
      <c r="J130" s="49">
        <v>1.4</v>
      </c>
      <c r="K130" s="49">
        <v>0.1</v>
      </c>
      <c r="L130" s="49">
        <v>0.4</v>
      </c>
      <c r="M130" s="49">
        <v>2.7</v>
      </c>
    </row>
    <row r="131" spans="2:13" x14ac:dyDescent="0.25">
      <c r="B131" s="130" t="s">
        <v>316</v>
      </c>
      <c r="C131" s="49">
        <v>14.4</v>
      </c>
      <c r="D131" s="49">
        <v>1.5</v>
      </c>
      <c r="E131" s="49">
        <v>1.9</v>
      </c>
      <c r="F131" s="49">
        <v>2.9</v>
      </c>
      <c r="G131" s="49">
        <v>0.5</v>
      </c>
      <c r="H131" s="49">
        <v>2.5</v>
      </c>
      <c r="I131" s="49">
        <v>0.8</v>
      </c>
      <c r="J131" s="49">
        <v>1.6</v>
      </c>
      <c r="K131" s="49">
        <v>0.2</v>
      </c>
      <c r="L131" s="49">
        <v>1.1000000000000001</v>
      </c>
      <c r="M131" s="49">
        <v>3.2</v>
      </c>
    </row>
    <row r="132" spans="2:13" x14ac:dyDescent="0.25">
      <c r="B132" s="130" t="s">
        <v>317</v>
      </c>
      <c r="C132" s="49">
        <v>13.7</v>
      </c>
      <c r="D132" s="49">
        <v>1.5</v>
      </c>
      <c r="E132" s="49">
        <v>2.2000000000000002</v>
      </c>
      <c r="F132" s="49">
        <v>2.7</v>
      </c>
      <c r="G132" s="49">
        <v>0.6</v>
      </c>
      <c r="H132" s="49">
        <v>2.2999999999999998</v>
      </c>
      <c r="I132" s="49">
        <v>1</v>
      </c>
      <c r="J132" s="49">
        <v>1.3</v>
      </c>
      <c r="K132" s="49">
        <v>0.2</v>
      </c>
      <c r="L132" s="49">
        <v>1.2</v>
      </c>
      <c r="M132" s="49">
        <v>2.9</v>
      </c>
    </row>
    <row r="133" spans="2:13" x14ac:dyDescent="0.25">
      <c r="B133" s="130" t="s">
        <v>318</v>
      </c>
      <c r="C133" s="49">
        <v>11.4</v>
      </c>
      <c r="D133" s="49">
        <v>1.4</v>
      </c>
      <c r="E133" s="49">
        <v>2.2999999999999998</v>
      </c>
      <c r="F133" s="49">
        <v>1.9</v>
      </c>
      <c r="G133" s="49">
        <v>0.7</v>
      </c>
      <c r="H133" s="49">
        <v>1.8</v>
      </c>
      <c r="I133" s="49">
        <v>1</v>
      </c>
      <c r="J133" s="49">
        <v>1.5</v>
      </c>
      <c r="K133" s="49">
        <v>0.2</v>
      </c>
      <c r="L133" s="49">
        <v>0.5</v>
      </c>
      <c r="M133" s="49">
        <v>2.4</v>
      </c>
    </row>
    <row r="134" spans="2:13" x14ac:dyDescent="0.25">
      <c r="B134" s="230" t="s">
        <v>319</v>
      </c>
      <c r="C134" s="63">
        <v>10.8</v>
      </c>
      <c r="D134" s="63">
        <v>1.1000000000000001</v>
      </c>
      <c r="E134" s="63">
        <v>2.1</v>
      </c>
      <c r="F134" s="63">
        <v>2</v>
      </c>
      <c r="G134" s="63" t="s">
        <v>229</v>
      </c>
      <c r="H134" s="63">
        <v>1.9</v>
      </c>
      <c r="I134" s="63">
        <v>1</v>
      </c>
      <c r="J134" s="63">
        <v>1.8</v>
      </c>
      <c r="K134" s="63">
        <v>0.2</v>
      </c>
      <c r="L134" s="63">
        <v>0.3</v>
      </c>
      <c r="M134" s="63">
        <v>2.4</v>
      </c>
    </row>
    <row r="135" spans="2:13" x14ac:dyDescent="0.25">
      <c r="B135" s="130" t="s">
        <v>320</v>
      </c>
      <c r="C135" s="49">
        <v>11.1</v>
      </c>
      <c r="D135" s="49">
        <v>1.5</v>
      </c>
      <c r="E135" s="49">
        <v>1.8</v>
      </c>
      <c r="F135" s="49">
        <v>2</v>
      </c>
      <c r="G135" s="49">
        <v>0.6</v>
      </c>
      <c r="H135" s="49">
        <v>2</v>
      </c>
      <c r="I135" s="49">
        <v>0.6</v>
      </c>
      <c r="J135" s="49">
        <v>1</v>
      </c>
      <c r="K135" s="49">
        <v>0.2</v>
      </c>
      <c r="L135" s="49">
        <v>0.7</v>
      </c>
      <c r="M135" s="49">
        <v>2.8</v>
      </c>
    </row>
    <row r="136" spans="2:13" x14ac:dyDescent="0.25">
      <c r="B136" s="130" t="s">
        <v>321</v>
      </c>
      <c r="C136" s="49">
        <v>16.7</v>
      </c>
      <c r="D136" s="49">
        <v>1.6</v>
      </c>
      <c r="E136" s="49">
        <v>2.5</v>
      </c>
      <c r="F136" s="49">
        <v>3</v>
      </c>
      <c r="G136" s="49">
        <v>0.6</v>
      </c>
      <c r="H136" s="49">
        <v>2.4</v>
      </c>
      <c r="I136" s="49">
        <v>0.9</v>
      </c>
      <c r="J136" s="49">
        <v>1</v>
      </c>
      <c r="K136" s="49">
        <v>0.2</v>
      </c>
      <c r="L136" s="49" t="s">
        <v>229</v>
      </c>
      <c r="M136" s="49">
        <v>4.0999999999999996</v>
      </c>
    </row>
    <row r="137" spans="2:13" x14ac:dyDescent="0.25">
      <c r="B137" s="130" t="s">
        <v>89</v>
      </c>
      <c r="C137" s="49">
        <v>13.1</v>
      </c>
      <c r="D137" s="49">
        <v>1.1000000000000001</v>
      </c>
      <c r="E137" s="49">
        <v>1.9</v>
      </c>
      <c r="F137" s="49">
        <v>2</v>
      </c>
      <c r="G137" s="49">
        <v>0.4</v>
      </c>
      <c r="H137" s="49">
        <v>2.1</v>
      </c>
      <c r="I137" s="49">
        <v>1.3</v>
      </c>
      <c r="J137" s="49">
        <v>1.5</v>
      </c>
      <c r="K137" s="49">
        <v>0.2</v>
      </c>
      <c r="L137" s="49">
        <v>0.8</v>
      </c>
      <c r="M137" s="49">
        <v>4</v>
      </c>
    </row>
    <row r="138" spans="2:13" x14ac:dyDescent="0.25">
      <c r="B138" s="131" t="s">
        <v>322</v>
      </c>
      <c r="C138" s="62"/>
      <c r="D138" s="62"/>
      <c r="E138" s="62"/>
      <c r="F138" s="62"/>
      <c r="G138" s="62"/>
      <c r="H138" s="62"/>
      <c r="I138" s="62"/>
      <c r="J138" s="62"/>
      <c r="K138" s="62"/>
      <c r="L138" s="62"/>
      <c r="M138" s="62"/>
    </row>
    <row r="139" spans="2:13" x14ac:dyDescent="0.25">
      <c r="B139" s="130" t="s">
        <v>323</v>
      </c>
      <c r="C139" s="49">
        <v>14.4</v>
      </c>
      <c r="D139" s="49">
        <v>1.6</v>
      </c>
      <c r="E139" s="49">
        <v>2.1</v>
      </c>
      <c r="F139" s="49">
        <v>2.9</v>
      </c>
      <c r="G139" s="49">
        <v>0.5</v>
      </c>
      <c r="H139" s="49">
        <v>2.5</v>
      </c>
      <c r="I139" s="49">
        <v>0.9</v>
      </c>
      <c r="J139" s="49">
        <v>1.4</v>
      </c>
      <c r="K139" s="49">
        <v>0.2</v>
      </c>
      <c r="L139" s="49">
        <v>1.1000000000000001</v>
      </c>
      <c r="M139" s="49">
        <v>3.3</v>
      </c>
    </row>
    <row r="140" spans="2:13" x14ac:dyDescent="0.25">
      <c r="B140" s="130" t="s">
        <v>324</v>
      </c>
      <c r="C140" s="49">
        <v>10.4</v>
      </c>
      <c r="D140" s="49">
        <v>1.5</v>
      </c>
      <c r="E140" s="49">
        <v>1.9</v>
      </c>
      <c r="F140" s="49">
        <v>1.5</v>
      </c>
      <c r="G140" s="49">
        <v>0.4</v>
      </c>
      <c r="H140" s="49">
        <v>2</v>
      </c>
      <c r="I140" s="49">
        <v>0.8</v>
      </c>
      <c r="J140" s="49">
        <v>1.4</v>
      </c>
      <c r="K140" s="49">
        <v>0.1</v>
      </c>
      <c r="L140" s="49">
        <v>0.7</v>
      </c>
      <c r="M140" s="49">
        <v>2.6</v>
      </c>
    </row>
    <row r="141" spans="2:13" x14ac:dyDescent="0.25">
      <c r="B141" s="130" t="s">
        <v>325</v>
      </c>
      <c r="C141" s="49">
        <v>10.1</v>
      </c>
      <c r="D141" s="49">
        <v>1.5</v>
      </c>
      <c r="E141" s="49">
        <v>1.8</v>
      </c>
      <c r="F141" s="49">
        <v>1.5</v>
      </c>
      <c r="G141" s="49">
        <v>0.5</v>
      </c>
      <c r="H141" s="49">
        <v>1.6</v>
      </c>
      <c r="I141" s="49">
        <v>0.7</v>
      </c>
      <c r="J141" s="49">
        <v>1.3</v>
      </c>
      <c r="K141" s="49">
        <v>0.2</v>
      </c>
      <c r="L141" s="49">
        <v>0.4</v>
      </c>
      <c r="M141" s="49">
        <v>2.8</v>
      </c>
    </row>
    <row r="142" spans="2:13" x14ac:dyDescent="0.25">
      <c r="B142" s="131" t="s">
        <v>326</v>
      </c>
      <c r="C142" s="62"/>
      <c r="D142" s="62"/>
      <c r="E142" s="62"/>
      <c r="F142" s="62"/>
      <c r="G142" s="62"/>
      <c r="H142" s="62"/>
      <c r="I142" s="62"/>
      <c r="J142" s="62"/>
      <c r="K142" s="62"/>
      <c r="L142" s="62"/>
      <c r="M142" s="62"/>
    </row>
    <row r="143" spans="2:13" x14ac:dyDescent="0.25">
      <c r="B143" s="130" t="s">
        <v>327</v>
      </c>
      <c r="C143" s="49">
        <v>13.9</v>
      </c>
      <c r="D143" s="49">
        <v>1.3</v>
      </c>
      <c r="E143" s="49">
        <v>2.1</v>
      </c>
      <c r="F143" s="49">
        <v>2.7</v>
      </c>
      <c r="G143" s="49">
        <v>0.5</v>
      </c>
      <c r="H143" s="49">
        <v>2.4</v>
      </c>
      <c r="I143" s="49">
        <v>1</v>
      </c>
      <c r="J143" s="49">
        <v>1.5</v>
      </c>
      <c r="K143" s="49">
        <v>0.2</v>
      </c>
      <c r="L143" s="49">
        <v>0.9</v>
      </c>
      <c r="M143" s="49">
        <v>3.4</v>
      </c>
    </row>
    <row r="144" spans="2:13" x14ac:dyDescent="0.25">
      <c r="B144" s="230" t="s">
        <v>328</v>
      </c>
      <c r="C144" s="63">
        <v>16</v>
      </c>
      <c r="D144" s="63">
        <v>2.1</v>
      </c>
      <c r="E144" s="63">
        <v>2.6</v>
      </c>
      <c r="F144" s="63">
        <v>2.5</v>
      </c>
      <c r="G144" s="63">
        <v>1</v>
      </c>
      <c r="H144" s="63">
        <v>2.2000000000000002</v>
      </c>
      <c r="I144" s="63">
        <v>1.3</v>
      </c>
      <c r="J144" s="63">
        <v>1.8</v>
      </c>
      <c r="K144" s="63">
        <v>0.2</v>
      </c>
      <c r="L144" s="63" t="s">
        <v>229</v>
      </c>
      <c r="M144" s="63">
        <v>3.5</v>
      </c>
    </row>
    <row r="145" spans="2:13" x14ac:dyDescent="0.25">
      <c r="B145" s="130" t="s">
        <v>329</v>
      </c>
      <c r="C145" s="49">
        <v>11.1</v>
      </c>
      <c r="D145" s="49">
        <v>1.5</v>
      </c>
      <c r="E145" s="49">
        <v>2.1</v>
      </c>
      <c r="F145" s="49">
        <v>1.7</v>
      </c>
      <c r="G145" s="49">
        <v>0.5</v>
      </c>
      <c r="H145" s="49">
        <v>2.1</v>
      </c>
      <c r="I145" s="49">
        <v>1.1000000000000001</v>
      </c>
      <c r="J145" s="49">
        <v>1.8</v>
      </c>
      <c r="K145" s="49">
        <v>0.1</v>
      </c>
      <c r="L145" s="49">
        <v>0.5</v>
      </c>
      <c r="M145" s="49">
        <v>2.4</v>
      </c>
    </row>
    <row r="146" spans="2:13" x14ac:dyDescent="0.25">
      <c r="B146" s="130" t="s">
        <v>330</v>
      </c>
      <c r="C146" s="49">
        <v>14.3</v>
      </c>
      <c r="D146" s="49">
        <v>1.7</v>
      </c>
      <c r="E146" s="49">
        <v>1.9</v>
      </c>
      <c r="F146" s="49">
        <v>3</v>
      </c>
      <c r="G146" s="49">
        <v>0.4</v>
      </c>
      <c r="H146" s="49">
        <v>2.1</v>
      </c>
      <c r="I146" s="49">
        <v>0.7</v>
      </c>
      <c r="J146" s="49">
        <v>0.9</v>
      </c>
      <c r="K146" s="49">
        <v>0.2</v>
      </c>
      <c r="L146" s="49">
        <v>1.5</v>
      </c>
      <c r="M146" s="49">
        <v>3.7</v>
      </c>
    </row>
    <row r="147" spans="2:13" x14ac:dyDescent="0.25">
      <c r="B147" s="130" t="s">
        <v>331</v>
      </c>
      <c r="C147" s="49">
        <v>15.2</v>
      </c>
      <c r="D147" s="49">
        <v>2</v>
      </c>
      <c r="E147" s="49">
        <v>1.8</v>
      </c>
      <c r="F147" s="49">
        <v>3.4</v>
      </c>
      <c r="G147" s="49">
        <v>0.5</v>
      </c>
      <c r="H147" s="49">
        <v>2.6</v>
      </c>
      <c r="I147" s="49">
        <v>0.6</v>
      </c>
      <c r="J147" s="49">
        <v>1.3</v>
      </c>
      <c r="K147" s="49">
        <v>0.2</v>
      </c>
      <c r="L147" s="49">
        <v>1.4</v>
      </c>
      <c r="M147" s="49">
        <v>3.2</v>
      </c>
    </row>
    <row r="148" spans="2:13" x14ac:dyDescent="0.25">
      <c r="B148" s="131" t="s">
        <v>332</v>
      </c>
      <c r="C148" s="62"/>
      <c r="D148" s="62"/>
      <c r="E148" s="62"/>
      <c r="F148" s="62"/>
      <c r="G148" s="62"/>
      <c r="H148" s="62"/>
      <c r="I148" s="62"/>
      <c r="J148" s="62"/>
      <c r="K148" s="62"/>
      <c r="L148" s="62"/>
      <c r="M148" s="62"/>
    </row>
    <row r="149" spans="2:13" x14ac:dyDescent="0.25">
      <c r="B149" s="130" t="s">
        <v>333</v>
      </c>
      <c r="C149" s="49">
        <v>13.1</v>
      </c>
      <c r="D149" s="49">
        <v>1.5</v>
      </c>
      <c r="E149" s="49">
        <v>1.9</v>
      </c>
      <c r="F149" s="49">
        <v>2.7</v>
      </c>
      <c r="G149" s="49">
        <v>0.5</v>
      </c>
      <c r="H149" s="49">
        <v>2.2999999999999998</v>
      </c>
      <c r="I149" s="49">
        <v>0.8</v>
      </c>
      <c r="J149" s="49">
        <v>1.2</v>
      </c>
      <c r="K149" s="49">
        <v>0.2</v>
      </c>
      <c r="L149" s="49">
        <v>1</v>
      </c>
      <c r="M149" s="49">
        <v>3</v>
      </c>
    </row>
    <row r="150" spans="2:13" x14ac:dyDescent="0.25">
      <c r="B150" s="230" t="s">
        <v>334</v>
      </c>
      <c r="C150" s="63">
        <v>13.7</v>
      </c>
      <c r="D150" s="63">
        <v>1.6</v>
      </c>
      <c r="E150" s="63">
        <v>2.1</v>
      </c>
      <c r="F150" s="63">
        <v>2.9</v>
      </c>
      <c r="G150" s="63">
        <v>0.6</v>
      </c>
      <c r="H150" s="63">
        <v>2.2000000000000002</v>
      </c>
      <c r="I150" s="63">
        <v>0.7</v>
      </c>
      <c r="J150" s="63">
        <v>1.3</v>
      </c>
      <c r="K150" s="63">
        <v>0.2</v>
      </c>
      <c r="L150" s="63">
        <v>0.8</v>
      </c>
      <c r="M150" s="63">
        <v>3.1</v>
      </c>
    </row>
    <row r="151" spans="2:13" x14ac:dyDescent="0.25">
      <c r="B151" s="130" t="s">
        <v>335</v>
      </c>
      <c r="C151" s="49">
        <v>15</v>
      </c>
      <c r="D151" s="49">
        <v>1.6</v>
      </c>
      <c r="E151" s="49">
        <v>1.9</v>
      </c>
      <c r="F151" s="49">
        <v>3.4</v>
      </c>
      <c r="G151" s="49">
        <v>0.7</v>
      </c>
      <c r="H151" s="49">
        <v>2.6</v>
      </c>
      <c r="I151" s="49">
        <v>0.6</v>
      </c>
      <c r="J151" s="49">
        <v>1.3</v>
      </c>
      <c r="K151" s="49">
        <v>0.2</v>
      </c>
      <c r="L151" s="49">
        <v>1.1000000000000001</v>
      </c>
      <c r="M151" s="49">
        <v>3.1</v>
      </c>
    </row>
    <row r="152" spans="2:13" x14ac:dyDescent="0.25">
      <c r="B152" s="130" t="s">
        <v>336</v>
      </c>
      <c r="C152" s="49">
        <v>13.1</v>
      </c>
      <c r="D152" s="49">
        <v>1.4</v>
      </c>
      <c r="E152" s="49">
        <v>1.9</v>
      </c>
      <c r="F152" s="49">
        <v>2.7</v>
      </c>
      <c r="G152" s="49">
        <v>0.6</v>
      </c>
      <c r="H152" s="49">
        <v>2.2000000000000002</v>
      </c>
      <c r="I152" s="49">
        <v>0.8</v>
      </c>
      <c r="J152" s="49">
        <v>1.2</v>
      </c>
      <c r="K152" s="49">
        <v>0.2</v>
      </c>
      <c r="L152" s="49">
        <v>1</v>
      </c>
      <c r="M152" s="49">
        <v>3</v>
      </c>
    </row>
    <row r="153" spans="2:13" x14ac:dyDescent="0.25">
      <c r="B153" s="130" t="s">
        <v>337</v>
      </c>
      <c r="C153" s="49">
        <v>13.4</v>
      </c>
      <c r="D153" s="49">
        <v>1.4</v>
      </c>
      <c r="E153" s="49">
        <v>1.8</v>
      </c>
      <c r="F153" s="49">
        <v>3</v>
      </c>
      <c r="G153" s="49">
        <v>0.4</v>
      </c>
      <c r="H153" s="49">
        <v>2.2999999999999998</v>
      </c>
      <c r="I153" s="49">
        <v>0.6</v>
      </c>
      <c r="J153" s="49">
        <v>1</v>
      </c>
      <c r="K153" s="49">
        <v>0.2</v>
      </c>
      <c r="L153" s="49">
        <v>1.1000000000000001</v>
      </c>
      <c r="M153" s="49">
        <v>3.1</v>
      </c>
    </row>
    <row r="154" spans="2:13" x14ac:dyDescent="0.25">
      <c r="B154" s="130" t="s">
        <v>338</v>
      </c>
      <c r="C154" s="49">
        <v>12.6</v>
      </c>
      <c r="D154" s="49">
        <v>1.4</v>
      </c>
      <c r="E154" s="49">
        <v>1.6</v>
      </c>
      <c r="F154" s="49">
        <v>2.7</v>
      </c>
      <c r="G154" s="49">
        <v>0.6</v>
      </c>
      <c r="H154" s="49">
        <v>2.2000000000000002</v>
      </c>
      <c r="I154" s="49">
        <v>0.8</v>
      </c>
      <c r="J154" s="49">
        <v>1.2</v>
      </c>
      <c r="K154" s="49">
        <v>0.2</v>
      </c>
      <c r="L154" s="49">
        <v>0.9</v>
      </c>
      <c r="M154" s="49">
        <v>2.8</v>
      </c>
    </row>
    <row r="155" spans="2:13" x14ac:dyDescent="0.25">
      <c r="B155" s="130" t="s">
        <v>339</v>
      </c>
      <c r="C155" s="49">
        <v>13.5</v>
      </c>
      <c r="D155" s="49">
        <v>1.4</v>
      </c>
      <c r="E155" s="49">
        <v>1.9</v>
      </c>
      <c r="F155" s="49">
        <v>2.9</v>
      </c>
      <c r="G155" s="49">
        <v>0.5</v>
      </c>
      <c r="H155" s="49">
        <v>2.2999999999999998</v>
      </c>
      <c r="I155" s="49">
        <v>0.8</v>
      </c>
      <c r="J155" s="49">
        <v>1.2</v>
      </c>
      <c r="K155" s="49">
        <v>0.2</v>
      </c>
      <c r="L155" s="49">
        <v>1</v>
      </c>
      <c r="M155" s="49">
        <v>3.1</v>
      </c>
    </row>
    <row r="156" spans="2:13" x14ac:dyDescent="0.25">
      <c r="B156" s="130" t="s">
        <v>340</v>
      </c>
      <c r="C156" s="49">
        <v>13.6</v>
      </c>
      <c r="D156" s="49">
        <v>1.5</v>
      </c>
      <c r="E156" s="49">
        <v>1.8</v>
      </c>
      <c r="F156" s="49">
        <v>2.9</v>
      </c>
      <c r="G156" s="49">
        <v>0.5</v>
      </c>
      <c r="H156" s="49">
        <v>2.2999999999999998</v>
      </c>
      <c r="I156" s="49">
        <v>0.8</v>
      </c>
      <c r="J156" s="49">
        <v>1.3</v>
      </c>
      <c r="K156" s="49">
        <v>0.2</v>
      </c>
      <c r="L156" s="49">
        <v>1.1000000000000001</v>
      </c>
      <c r="M156" s="49">
        <v>3.1</v>
      </c>
    </row>
    <row r="157" spans="2:13" x14ac:dyDescent="0.25">
      <c r="B157" s="130" t="s">
        <v>341</v>
      </c>
      <c r="C157" s="49">
        <v>14.1</v>
      </c>
      <c r="D157" s="49">
        <v>1.6</v>
      </c>
      <c r="E157" s="49">
        <v>1.9</v>
      </c>
      <c r="F157" s="49">
        <v>3</v>
      </c>
      <c r="G157" s="49">
        <v>0.5</v>
      </c>
      <c r="H157" s="49">
        <v>2.2999999999999998</v>
      </c>
      <c r="I157" s="49">
        <v>0.9</v>
      </c>
      <c r="J157" s="49">
        <v>1.2</v>
      </c>
      <c r="K157" s="49">
        <v>0.2</v>
      </c>
      <c r="L157" s="49">
        <v>1.2</v>
      </c>
      <c r="M157" s="49">
        <v>3.2</v>
      </c>
    </row>
    <row r="158" spans="2:13" x14ac:dyDescent="0.25">
      <c r="B158" s="130" t="s">
        <v>342</v>
      </c>
      <c r="C158" s="49">
        <v>13.9</v>
      </c>
      <c r="D158" s="49">
        <v>1.5</v>
      </c>
      <c r="E158" s="49">
        <v>1.9</v>
      </c>
      <c r="F158" s="49">
        <v>3.1</v>
      </c>
      <c r="G158" s="49">
        <v>0.5</v>
      </c>
      <c r="H158" s="49">
        <v>2.2000000000000002</v>
      </c>
      <c r="I158" s="49">
        <v>0.8</v>
      </c>
      <c r="J158" s="49">
        <v>1.2</v>
      </c>
      <c r="K158" s="49">
        <v>0.2</v>
      </c>
      <c r="L158" s="49">
        <v>1.1000000000000001</v>
      </c>
      <c r="M158" s="49">
        <v>3.2</v>
      </c>
    </row>
    <row r="159" spans="2:13" x14ac:dyDescent="0.25">
      <c r="B159" s="130" t="s">
        <v>343</v>
      </c>
      <c r="C159" s="49">
        <v>13.5</v>
      </c>
      <c r="D159" s="49">
        <v>1.3</v>
      </c>
      <c r="E159" s="49">
        <v>1.9</v>
      </c>
      <c r="F159" s="49">
        <v>3</v>
      </c>
      <c r="G159" s="49">
        <v>0.4</v>
      </c>
      <c r="H159" s="49">
        <v>2.2000000000000002</v>
      </c>
      <c r="I159" s="49">
        <v>0.8</v>
      </c>
      <c r="J159" s="49">
        <v>1.1000000000000001</v>
      </c>
      <c r="K159" s="49">
        <v>0.2</v>
      </c>
      <c r="L159" s="49">
        <v>1</v>
      </c>
      <c r="M159" s="49">
        <v>3.3</v>
      </c>
    </row>
    <row r="160" spans="2:13" x14ac:dyDescent="0.25">
      <c r="B160" s="130" t="s">
        <v>344</v>
      </c>
      <c r="C160" s="49">
        <v>13.8</v>
      </c>
      <c r="D160" s="49">
        <v>1.5</v>
      </c>
      <c r="E160" s="49">
        <v>1.9</v>
      </c>
      <c r="F160" s="49">
        <v>2.9</v>
      </c>
      <c r="G160" s="49">
        <v>0.6</v>
      </c>
      <c r="H160" s="49">
        <v>2.2999999999999998</v>
      </c>
      <c r="I160" s="49">
        <v>0.7</v>
      </c>
      <c r="J160" s="49">
        <v>1.1000000000000001</v>
      </c>
      <c r="K160" s="49">
        <v>0.2</v>
      </c>
      <c r="L160" s="49">
        <v>1.1000000000000001</v>
      </c>
      <c r="M160" s="49">
        <v>3.2</v>
      </c>
    </row>
    <row r="161" spans="2:13" x14ac:dyDescent="0.25">
      <c r="B161" s="130" t="s">
        <v>345</v>
      </c>
      <c r="C161" s="49">
        <v>15.1</v>
      </c>
      <c r="D161" s="49">
        <v>1.1000000000000001</v>
      </c>
      <c r="E161" s="49">
        <v>1.7</v>
      </c>
      <c r="F161" s="49">
        <v>3.3</v>
      </c>
      <c r="G161" s="49">
        <v>0.7</v>
      </c>
      <c r="H161" s="49">
        <v>2.4</v>
      </c>
      <c r="I161" s="49">
        <v>0.9</v>
      </c>
      <c r="J161" s="49">
        <v>1.3</v>
      </c>
      <c r="K161" s="49">
        <v>0.2</v>
      </c>
      <c r="L161" s="49">
        <v>1.5</v>
      </c>
      <c r="M161" s="49">
        <v>3.8</v>
      </c>
    </row>
    <row r="162" spans="2:13" x14ac:dyDescent="0.25">
      <c r="B162" s="130" t="s">
        <v>89</v>
      </c>
      <c r="C162" s="49">
        <v>17.600000000000001</v>
      </c>
      <c r="D162" s="49">
        <v>2</v>
      </c>
      <c r="E162" s="49">
        <v>2.6</v>
      </c>
      <c r="F162" s="49">
        <v>5</v>
      </c>
      <c r="G162" s="49">
        <v>0.3</v>
      </c>
      <c r="H162" s="49">
        <v>3.4</v>
      </c>
      <c r="I162" s="49">
        <v>0.7</v>
      </c>
      <c r="J162" s="49">
        <v>0.9</v>
      </c>
      <c r="K162" s="49">
        <v>0.1</v>
      </c>
      <c r="L162" s="49">
        <v>0.7</v>
      </c>
      <c r="M162" s="49">
        <v>3.9</v>
      </c>
    </row>
    <row r="163" spans="2:13" x14ac:dyDescent="0.25">
      <c r="B163" s="130" t="s">
        <v>346</v>
      </c>
      <c r="C163" s="49">
        <v>12</v>
      </c>
      <c r="D163" s="49">
        <v>1.6</v>
      </c>
      <c r="E163" s="49">
        <v>2.1</v>
      </c>
      <c r="F163" s="49">
        <v>1.9</v>
      </c>
      <c r="G163" s="49">
        <v>0.5</v>
      </c>
      <c r="H163" s="49">
        <v>2.2000000000000002</v>
      </c>
      <c r="I163" s="49">
        <v>1</v>
      </c>
      <c r="J163" s="49">
        <v>1.5</v>
      </c>
      <c r="K163" s="49">
        <v>0.2</v>
      </c>
      <c r="L163" s="49">
        <v>0.9</v>
      </c>
      <c r="M163" s="49">
        <v>3</v>
      </c>
    </row>
    <row r="164" spans="2:13" x14ac:dyDescent="0.25">
      <c r="B164" s="130" t="s">
        <v>347</v>
      </c>
      <c r="C164" s="49">
        <v>13</v>
      </c>
      <c r="D164" s="49">
        <v>1.5</v>
      </c>
      <c r="E164" s="49">
        <v>2.1</v>
      </c>
      <c r="F164" s="49">
        <v>2.2999999999999998</v>
      </c>
      <c r="G164" s="49">
        <v>0.7</v>
      </c>
      <c r="H164" s="49">
        <v>2.1</v>
      </c>
      <c r="I164" s="49">
        <v>1.1000000000000001</v>
      </c>
      <c r="J164" s="49">
        <v>1.8</v>
      </c>
      <c r="K164" s="49">
        <v>0.1</v>
      </c>
      <c r="L164" s="49">
        <v>0.6</v>
      </c>
      <c r="M164" s="49">
        <v>3.3</v>
      </c>
    </row>
    <row r="165" spans="2:13" x14ac:dyDescent="0.25">
      <c r="B165" s="131" t="s">
        <v>348</v>
      </c>
      <c r="C165" s="62"/>
      <c r="D165" s="62"/>
      <c r="E165" s="62"/>
      <c r="F165" s="62"/>
      <c r="G165" s="62"/>
      <c r="H165" s="62"/>
      <c r="I165" s="62"/>
      <c r="J165" s="62"/>
      <c r="K165" s="62"/>
      <c r="L165" s="62"/>
      <c r="M165" s="62"/>
    </row>
    <row r="166" spans="2:13" x14ac:dyDescent="0.25">
      <c r="B166" s="130" t="s">
        <v>349</v>
      </c>
      <c r="C166" s="49">
        <v>12.6</v>
      </c>
      <c r="D166" s="49">
        <v>1.5</v>
      </c>
      <c r="E166" s="49">
        <v>2</v>
      </c>
      <c r="F166" s="49">
        <v>2.2999999999999998</v>
      </c>
      <c r="G166" s="49">
        <v>0.5</v>
      </c>
      <c r="H166" s="49">
        <v>2.2000000000000002</v>
      </c>
      <c r="I166" s="49">
        <v>0.9</v>
      </c>
      <c r="J166" s="49">
        <v>1.4</v>
      </c>
      <c r="K166" s="49">
        <v>0.2</v>
      </c>
      <c r="L166" s="49">
        <v>0.9</v>
      </c>
      <c r="M166" s="49">
        <v>3</v>
      </c>
    </row>
    <row r="167" spans="2:13" x14ac:dyDescent="0.25">
      <c r="B167" s="130" t="s">
        <v>350</v>
      </c>
      <c r="C167" s="49">
        <v>12.7</v>
      </c>
      <c r="D167" s="49">
        <v>1.4</v>
      </c>
      <c r="E167" s="49">
        <v>1.9</v>
      </c>
      <c r="F167" s="49">
        <v>2.5</v>
      </c>
      <c r="G167" s="49">
        <v>0.5</v>
      </c>
      <c r="H167" s="49">
        <v>2.2999999999999998</v>
      </c>
      <c r="I167" s="49">
        <v>0.8</v>
      </c>
      <c r="J167" s="49">
        <v>1.4</v>
      </c>
      <c r="K167" s="49">
        <v>0.2</v>
      </c>
      <c r="L167" s="49">
        <v>0.8</v>
      </c>
      <c r="M167" s="49">
        <v>2.9</v>
      </c>
    </row>
    <row r="168" spans="2:13" x14ac:dyDescent="0.25">
      <c r="B168" s="230" t="s">
        <v>351</v>
      </c>
      <c r="C168" s="63">
        <v>16.600000000000001</v>
      </c>
      <c r="D168" s="63">
        <v>1.5</v>
      </c>
      <c r="E168" s="63">
        <v>2.1</v>
      </c>
      <c r="F168" s="63">
        <v>3.4</v>
      </c>
      <c r="G168" s="63">
        <v>0.5</v>
      </c>
      <c r="H168" s="63">
        <v>2.4</v>
      </c>
      <c r="I168" s="63">
        <v>0.9</v>
      </c>
      <c r="J168" s="63">
        <v>1.2</v>
      </c>
      <c r="K168" s="63">
        <v>0.2</v>
      </c>
      <c r="L168" s="63">
        <v>2</v>
      </c>
      <c r="M168" s="63">
        <v>4.3</v>
      </c>
    </row>
    <row r="169" spans="2:13" x14ac:dyDescent="0.25">
      <c r="B169" s="130" t="s">
        <v>352</v>
      </c>
      <c r="C169" s="49">
        <v>16.8</v>
      </c>
      <c r="D169" s="49">
        <v>1.1000000000000001</v>
      </c>
      <c r="E169" s="49">
        <v>1.8</v>
      </c>
      <c r="F169" s="49">
        <v>4.2</v>
      </c>
      <c r="G169" s="49">
        <v>0.7</v>
      </c>
      <c r="H169" s="49">
        <v>2.5</v>
      </c>
      <c r="I169" s="49">
        <v>0.8</v>
      </c>
      <c r="J169" s="49">
        <v>0.8</v>
      </c>
      <c r="K169" s="49">
        <v>0.2</v>
      </c>
      <c r="L169" s="49">
        <v>1.6</v>
      </c>
      <c r="M169" s="49">
        <v>5.8</v>
      </c>
    </row>
    <row r="170" spans="2:13" x14ac:dyDescent="0.25">
      <c r="B170" s="130" t="s">
        <v>353</v>
      </c>
      <c r="C170" s="49">
        <v>17.2</v>
      </c>
      <c r="D170" s="49">
        <v>1.3</v>
      </c>
      <c r="E170" s="49">
        <v>0.9</v>
      </c>
      <c r="F170" s="49">
        <v>3.6</v>
      </c>
      <c r="G170" s="49">
        <v>0.5</v>
      </c>
      <c r="H170" s="49">
        <v>2.4</v>
      </c>
      <c r="I170" s="49">
        <v>0.8</v>
      </c>
      <c r="J170" s="49">
        <v>1</v>
      </c>
      <c r="K170" s="49">
        <v>0.2</v>
      </c>
      <c r="L170" s="49">
        <v>1.9</v>
      </c>
      <c r="M170" s="49">
        <v>7.1</v>
      </c>
    </row>
    <row r="171" spans="2:13" x14ac:dyDescent="0.25">
      <c r="B171" s="130" t="s">
        <v>354</v>
      </c>
      <c r="C171" s="49">
        <v>11.7</v>
      </c>
      <c r="D171" s="49">
        <v>1.3</v>
      </c>
      <c r="E171" s="49">
        <v>1.6</v>
      </c>
      <c r="F171" s="49">
        <v>1.7</v>
      </c>
      <c r="G171" s="49">
        <v>0.5</v>
      </c>
      <c r="H171" s="49">
        <v>2</v>
      </c>
      <c r="I171" s="49">
        <v>1.1000000000000001</v>
      </c>
      <c r="J171" s="49">
        <v>1.8</v>
      </c>
      <c r="K171" s="49">
        <v>0.1</v>
      </c>
      <c r="L171" s="49">
        <v>0.5</v>
      </c>
      <c r="M171" s="49">
        <v>3.1</v>
      </c>
    </row>
    <row r="172" spans="2:13" x14ac:dyDescent="0.25">
      <c r="B172" s="130" t="s">
        <v>355</v>
      </c>
      <c r="C172" s="49">
        <v>12.8</v>
      </c>
      <c r="D172" s="49">
        <v>1.2</v>
      </c>
      <c r="E172" s="49">
        <v>1.8</v>
      </c>
      <c r="F172" s="49">
        <v>2.8</v>
      </c>
      <c r="G172" s="49">
        <v>0.6</v>
      </c>
      <c r="H172" s="49">
        <v>2.4</v>
      </c>
      <c r="I172" s="49">
        <v>0.6</v>
      </c>
      <c r="J172" s="49">
        <v>1.5</v>
      </c>
      <c r="K172" s="49">
        <v>0.1</v>
      </c>
      <c r="L172" s="49">
        <v>0.8</v>
      </c>
      <c r="M172" s="49">
        <v>2.7</v>
      </c>
    </row>
    <row r="173" spans="2:13" x14ac:dyDescent="0.25">
      <c r="B173" s="130" t="s">
        <v>356</v>
      </c>
      <c r="C173" s="49">
        <v>11.8</v>
      </c>
      <c r="D173" s="49">
        <v>1.7</v>
      </c>
      <c r="E173" s="49">
        <v>1.8</v>
      </c>
      <c r="F173" s="49">
        <v>1.8</v>
      </c>
      <c r="G173" s="49">
        <v>0.5</v>
      </c>
      <c r="H173" s="49">
        <v>2.2999999999999998</v>
      </c>
      <c r="I173" s="49">
        <v>1</v>
      </c>
      <c r="J173" s="49">
        <v>1.6</v>
      </c>
      <c r="K173" s="49">
        <v>0.1</v>
      </c>
      <c r="L173" s="49">
        <v>0.9</v>
      </c>
      <c r="M173" s="49">
        <v>2.5</v>
      </c>
    </row>
    <row r="174" spans="2:13" x14ac:dyDescent="0.25">
      <c r="B174" s="131" t="s">
        <v>357</v>
      </c>
      <c r="C174" s="62"/>
      <c r="D174" s="62"/>
      <c r="E174" s="62"/>
      <c r="F174" s="62"/>
      <c r="G174" s="62"/>
      <c r="H174" s="62"/>
      <c r="I174" s="62"/>
      <c r="J174" s="62"/>
      <c r="K174" s="62"/>
      <c r="L174" s="62"/>
      <c r="M174" s="62"/>
    </row>
    <row r="175" spans="2:13" x14ac:dyDescent="0.25">
      <c r="B175" s="130" t="s">
        <v>349</v>
      </c>
      <c r="C175" s="49">
        <v>14.7</v>
      </c>
      <c r="D175" s="49">
        <v>1.5</v>
      </c>
      <c r="E175" s="49">
        <v>2.1</v>
      </c>
      <c r="F175" s="49">
        <v>2.4</v>
      </c>
      <c r="G175" s="49">
        <v>0.6</v>
      </c>
      <c r="H175" s="49">
        <v>2.4</v>
      </c>
      <c r="I175" s="49">
        <v>0.9</v>
      </c>
      <c r="J175" s="49">
        <v>1.6</v>
      </c>
      <c r="K175" s="49">
        <v>0.2</v>
      </c>
      <c r="L175" s="49">
        <v>1</v>
      </c>
      <c r="M175" s="49">
        <v>3.1</v>
      </c>
    </row>
    <row r="176" spans="2:13" x14ac:dyDescent="0.25">
      <c r="B176" s="230" t="s">
        <v>358</v>
      </c>
      <c r="C176" s="63">
        <v>15.2</v>
      </c>
      <c r="D176" s="63">
        <v>1.9</v>
      </c>
      <c r="E176" s="63">
        <v>2.4</v>
      </c>
      <c r="F176" s="63">
        <v>2.2000000000000002</v>
      </c>
      <c r="G176" s="63">
        <v>0.6</v>
      </c>
      <c r="H176" s="63">
        <v>2.2999999999999998</v>
      </c>
      <c r="I176" s="63">
        <v>1.1000000000000001</v>
      </c>
      <c r="J176" s="63">
        <v>1.6</v>
      </c>
      <c r="K176" s="63">
        <v>0.2</v>
      </c>
      <c r="L176" s="63">
        <v>1.1000000000000001</v>
      </c>
      <c r="M176" s="63">
        <v>3.1</v>
      </c>
    </row>
    <row r="177" spans="2:13" x14ac:dyDescent="0.25">
      <c r="B177" s="130" t="s">
        <v>359</v>
      </c>
      <c r="C177" s="49">
        <v>13.9</v>
      </c>
      <c r="D177" s="49">
        <v>1</v>
      </c>
      <c r="E177" s="49">
        <v>1.7</v>
      </c>
      <c r="F177" s="49">
        <v>2.6</v>
      </c>
      <c r="G177" s="49">
        <v>0.6</v>
      </c>
      <c r="H177" s="49">
        <v>2.6</v>
      </c>
      <c r="I177" s="49">
        <v>0.7</v>
      </c>
      <c r="J177" s="49">
        <v>1.6</v>
      </c>
      <c r="K177" s="49">
        <v>0.2</v>
      </c>
      <c r="L177" s="49">
        <v>0.8</v>
      </c>
      <c r="M177" s="49">
        <v>3.1</v>
      </c>
    </row>
    <row r="178" spans="2:13" x14ac:dyDescent="0.25">
      <c r="B178" s="130" t="s">
        <v>360</v>
      </c>
      <c r="C178" s="49">
        <v>10.8</v>
      </c>
      <c r="D178" s="49" t="s">
        <v>361</v>
      </c>
      <c r="E178" s="49">
        <v>1.7</v>
      </c>
      <c r="F178" s="49">
        <v>2.2999999999999998</v>
      </c>
      <c r="G178" s="49">
        <v>0.3</v>
      </c>
      <c r="H178" s="49">
        <v>2.1</v>
      </c>
      <c r="I178" s="49">
        <v>0.8</v>
      </c>
      <c r="J178" s="49">
        <v>1.1000000000000001</v>
      </c>
      <c r="K178" s="49">
        <v>0.1</v>
      </c>
      <c r="L178" s="49">
        <v>0.7</v>
      </c>
      <c r="M178" s="49">
        <v>2.8</v>
      </c>
    </row>
    <row r="179" spans="2:13" x14ac:dyDescent="0.25">
      <c r="B179" s="130" t="s">
        <v>362</v>
      </c>
      <c r="C179" s="49">
        <v>9.6999999999999993</v>
      </c>
      <c r="D179" s="49" t="s">
        <v>361</v>
      </c>
      <c r="E179" s="49">
        <v>4.0999999999999996</v>
      </c>
      <c r="F179" s="49">
        <v>1.3</v>
      </c>
      <c r="G179" s="49">
        <v>0.5</v>
      </c>
      <c r="H179" s="49">
        <v>1.6</v>
      </c>
      <c r="I179" s="49">
        <v>1.3</v>
      </c>
      <c r="J179" s="49">
        <v>2.2000000000000002</v>
      </c>
      <c r="K179" s="49">
        <v>0.1</v>
      </c>
      <c r="L179" s="49">
        <v>2.2999999999999998</v>
      </c>
      <c r="M179" s="49">
        <v>3.4</v>
      </c>
    </row>
    <row r="180" spans="2:13" x14ac:dyDescent="0.25">
      <c r="B180" s="131" t="s">
        <v>363</v>
      </c>
      <c r="C180" s="62"/>
      <c r="D180" s="62"/>
      <c r="E180" s="62"/>
      <c r="F180" s="62"/>
      <c r="G180" s="62"/>
      <c r="H180" s="62"/>
      <c r="I180" s="62"/>
      <c r="J180" s="62"/>
      <c r="K180" s="62"/>
      <c r="L180" s="62"/>
      <c r="M180" s="62"/>
    </row>
    <row r="181" spans="2:13" x14ac:dyDescent="0.25">
      <c r="B181" s="130" t="s">
        <v>349</v>
      </c>
      <c r="C181" s="49">
        <v>15.2</v>
      </c>
      <c r="D181" s="49">
        <v>1.9</v>
      </c>
      <c r="E181" s="49">
        <v>2.4</v>
      </c>
      <c r="F181" s="49">
        <v>2.2000000000000002</v>
      </c>
      <c r="G181" s="49">
        <v>0.6</v>
      </c>
      <c r="H181" s="49">
        <v>2.2999999999999998</v>
      </c>
      <c r="I181" s="49">
        <v>1.1000000000000001</v>
      </c>
      <c r="J181" s="49">
        <v>1.6</v>
      </c>
      <c r="K181" s="49">
        <v>0.2</v>
      </c>
      <c r="L181" s="49">
        <v>1.1000000000000001</v>
      </c>
      <c r="M181" s="49">
        <v>3.1</v>
      </c>
    </row>
    <row r="182" spans="2:13" x14ac:dyDescent="0.25">
      <c r="B182" s="230" t="s">
        <v>350</v>
      </c>
      <c r="C182" s="63">
        <v>11.5</v>
      </c>
      <c r="D182" s="63">
        <v>1</v>
      </c>
      <c r="E182" s="63">
        <v>1.7</v>
      </c>
      <c r="F182" s="63">
        <v>2.2999999999999998</v>
      </c>
      <c r="G182" s="63">
        <v>0.4</v>
      </c>
      <c r="H182" s="63">
        <v>2.2999999999999998</v>
      </c>
      <c r="I182" s="63">
        <v>0.8</v>
      </c>
      <c r="J182" s="63">
        <v>1.3</v>
      </c>
      <c r="K182" s="63">
        <v>0.1</v>
      </c>
      <c r="L182" s="63">
        <v>0.7</v>
      </c>
      <c r="M182" s="63">
        <v>2.7</v>
      </c>
    </row>
    <row r="183" spans="2:13" x14ac:dyDescent="0.25">
      <c r="B183" s="130" t="s">
        <v>351</v>
      </c>
      <c r="C183" s="49">
        <v>7.6</v>
      </c>
      <c r="D183" s="49">
        <v>1.1000000000000001</v>
      </c>
      <c r="E183" s="49">
        <v>1</v>
      </c>
      <c r="F183" s="49">
        <v>1.2</v>
      </c>
      <c r="G183" s="49">
        <v>0.3</v>
      </c>
      <c r="H183" s="49">
        <v>1.7</v>
      </c>
      <c r="I183" s="49">
        <v>0.4</v>
      </c>
      <c r="J183" s="49">
        <v>1</v>
      </c>
      <c r="K183" s="49">
        <v>0.1</v>
      </c>
      <c r="L183" s="49">
        <v>0.4</v>
      </c>
      <c r="M183" s="49">
        <v>2.2000000000000002</v>
      </c>
    </row>
    <row r="184" spans="2:13" x14ac:dyDescent="0.25">
      <c r="B184" s="130" t="s">
        <v>352</v>
      </c>
      <c r="C184" s="49">
        <v>16.399999999999999</v>
      </c>
      <c r="D184" s="49">
        <v>0.8</v>
      </c>
      <c r="E184" s="49">
        <v>1.8</v>
      </c>
      <c r="F184" s="49">
        <v>4.0999999999999996</v>
      </c>
      <c r="G184" s="49">
        <v>0.6</v>
      </c>
      <c r="H184" s="49">
        <v>2.5</v>
      </c>
      <c r="I184" s="49">
        <v>0.8</v>
      </c>
      <c r="J184" s="49">
        <v>0.8</v>
      </c>
      <c r="K184" s="49">
        <v>0.2</v>
      </c>
      <c r="L184" s="49">
        <v>1.7</v>
      </c>
      <c r="M184" s="49">
        <v>5.6</v>
      </c>
    </row>
    <row r="185" spans="2:13" x14ac:dyDescent="0.25">
      <c r="B185" s="130" t="s">
        <v>354</v>
      </c>
      <c r="C185" s="49">
        <v>9.1</v>
      </c>
      <c r="D185" s="49">
        <v>1.4</v>
      </c>
      <c r="E185" s="49">
        <v>1.5</v>
      </c>
      <c r="F185" s="49">
        <v>1.2</v>
      </c>
      <c r="G185" s="49">
        <v>0.6</v>
      </c>
      <c r="H185" s="49">
        <v>1.5</v>
      </c>
      <c r="I185" s="49">
        <v>1</v>
      </c>
      <c r="J185" s="49">
        <v>2.1</v>
      </c>
      <c r="K185" s="49">
        <v>0.1</v>
      </c>
      <c r="L185" s="49">
        <v>0.3</v>
      </c>
      <c r="M185" s="49">
        <v>2.1</v>
      </c>
    </row>
    <row r="186" spans="2:13" x14ac:dyDescent="0.25">
      <c r="B186" s="130" t="s">
        <v>364</v>
      </c>
      <c r="C186" s="49">
        <v>5.9</v>
      </c>
      <c r="D186" s="49" t="s">
        <v>229</v>
      </c>
      <c r="E186" s="49" t="s">
        <v>229</v>
      </c>
      <c r="F186" s="49">
        <v>0.7</v>
      </c>
      <c r="G186" s="49" t="s">
        <v>229</v>
      </c>
      <c r="H186" s="49">
        <v>1.3</v>
      </c>
      <c r="I186" s="49" t="s">
        <v>229</v>
      </c>
      <c r="J186" s="49" t="s">
        <v>229</v>
      </c>
      <c r="K186" s="49">
        <v>0.1</v>
      </c>
      <c r="L186" s="49">
        <v>0.2</v>
      </c>
      <c r="M186" s="49">
        <v>1.7</v>
      </c>
    </row>
    <row r="187" spans="2:13" x14ac:dyDescent="0.25">
      <c r="B187" s="131" t="s">
        <v>365</v>
      </c>
      <c r="C187" s="62"/>
      <c r="D187" s="62"/>
      <c r="E187" s="62"/>
      <c r="F187" s="62"/>
      <c r="G187" s="62"/>
      <c r="H187" s="62"/>
      <c r="I187" s="62"/>
      <c r="J187" s="62"/>
      <c r="K187" s="62"/>
      <c r="L187" s="62"/>
      <c r="M187" s="62"/>
    </row>
    <row r="188" spans="2:13" x14ac:dyDescent="0.25">
      <c r="B188" s="130" t="s">
        <v>349</v>
      </c>
      <c r="C188" s="49">
        <v>13</v>
      </c>
      <c r="D188" s="49">
        <v>1.5</v>
      </c>
      <c r="E188" s="49">
        <v>2</v>
      </c>
      <c r="F188" s="49">
        <v>2.4</v>
      </c>
      <c r="G188" s="49">
        <v>0.5</v>
      </c>
      <c r="H188" s="49">
        <v>2.2999999999999998</v>
      </c>
      <c r="I188" s="49">
        <v>0.9</v>
      </c>
      <c r="J188" s="49">
        <v>1.4</v>
      </c>
      <c r="K188" s="49">
        <v>0.2</v>
      </c>
      <c r="L188" s="49">
        <v>1</v>
      </c>
      <c r="M188" s="49">
        <v>2.6</v>
      </c>
    </row>
    <row r="189" spans="2:13" x14ac:dyDescent="0.25">
      <c r="B189" s="230" t="s">
        <v>360</v>
      </c>
      <c r="C189" s="63">
        <v>16.100000000000001</v>
      </c>
      <c r="D189" s="63">
        <v>0.8</v>
      </c>
      <c r="E189" s="63" t="s">
        <v>361</v>
      </c>
      <c r="F189" s="63">
        <v>3.2</v>
      </c>
      <c r="G189" s="63">
        <v>0.4</v>
      </c>
      <c r="H189" s="63">
        <v>2.2000000000000002</v>
      </c>
      <c r="I189" s="63">
        <v>0.7</v>
      </c>
      <c r="J189" s="63">
        <v>0.9</v>
      </c>
      <c r="K189" s="63">
        <v>0.2</v>
      </c>
      <c r="L189" s="63">
        <v>0.8</v>
      </c>
      <c r="M189" s="63">
        <v>8.4</v>
      </c>
    </row>
    <row r="190" spans="2:13" x14ac:dyDescent="0.25">
      <c r="B190" s="130" t="s">
        <v>366</v>
      </c>
      <c r="C190" s="49">
        <v>6.8</v>
      </c>
      <c r="D190" s="49">
        <v>2.5</v>
      </c>
      <c r="E190" s="49" t="s">
        <v>361</v>
      </c>
      <c r="F190" s="49">
        <v>0.2</v>
      </c>
      <c r="G190" s="49">
        <v>0.1</v>
      </c>
      <c r="H190" s="49">
        <v>1</v>
      </c>
      <c r="I190" s="49" t="s">
        <v>229</v>
      </c>
      <c r="J190" s="49">
        <v>0.6</v>
      </c>
      <c r="K190" s="49" t="s">
        <v>228</v>
      </c>
      <c r="L190" s="49">
        <v>0.1</v>
      </c>
      <c r="M190" s="49">
        <v>5</v>
      </c>
    </row>
    <row r="191" spans="2:13" x14ac:dyDescent="0.25">
      <c r="B191" s="131" t="s">
        <v>367</v>
      </c>
      <c r="C191" s="62"/>
      <c r="D191" s="62"/>
      <c r="E191" s="62"/>
      <c r="F191" s="62"/>
      <c r="G191" s="62"/>
      <c r="H191" s="62"/>
      <c r="I191" s="62"/>
      <c r="J191" s="62"/>
      <c r="K191" s="62"/>
      <c r="L191" s="62"/>
      <c r="M191" s="62"/>
    </row>
    <row r="192" spans="2:13" x14ac:dyDescent="0.25">
      <c r="B192" s="130" t="s">
        <v>349</v>
      </c>
      <c r="C192" s="49">
        <v>13.5</v>
      </c>
      <c r="D192" s="49">
        <v>1.7</v>
      </c>
      <c r="E192" s="49">
        <v>2</v>
      </c>
      <c r="F192" s="49">
        <v>2.2000000000000002</v>
      </c>
      <c r="G192" s="49">
        <v>0.5</v>
      </c>
      <c r="H192" s="49">
        <v>2.2999999999999998</v>
      </c>
      <c r="I192" s="49">
        <v>0.8</v>
      </c>
      <c r="J192" s="49">
        <v>1.4</v>
      </c>
      <c r="K192" s="49">
        <v>0.2</v>
      </c>
      <c r="L192" s="49">
        <v>1</v>
      </c>
      <c r="M192" s="49">
        <v>3</v>
      </c>
    </row>
    <row r="193" spans="2:13" x14ac:dyDescent="0.25">
      <c r="B193" s="230" t="s">
        <v>360</v>
      </c>
      <c r="C193" s="63">
        <v>12.6</v>
      </c>
      <c r="D193" s="63">
        <v>1.3</v>
      </c>
      <c r="E193" s="63">
        <v>2</v>
      </c>
      <c r="F193" s="63">
        <v>2.7</v>
      </c>
      <c r="G193" s="63" t="s">
        <v>361</v>
      </c>
      <c r="H193" s="63">
        <v>2.1</v>
      </c>
      <c r="I193" s="63">
        <v>0.9</v>
      </c>
      <c r="J193" s="63">
        <v>1.4</v>
      </c>
      <c r="K193" s="63">
        <v>0.2</v>
      </c>
      <c r="L193" s="63">
        <v>0.9</v>
      </c>
      <c r="M193" s="63">
        <v>3</v>
      </c>
    </row>
    <row r="194" spans="2:13" x14ac:dyDescent="0.25">
      <c r="B194" s="130" t="s">
        <v>368</v>
      </c>
      <c r="C194" s="49">
        <v>6.6</v>
      </c>
      <c r="D194" s="49">
        <v>1.3</v>
      </c>
      <c r="E194" s="49">
        <v>2.4</v>
      </c>
      <c r="F194" s="49">
        <v>0.9</v>
      </c>
      <c r="G194" s="49" t="s">
        <v>361</v>
      </c>
      <c r="H194" s="49">
        <v>1.6</v>
      </c>
      <c r="I194" s="49" t="s">
        <v>229</v>
      </c>
      <c r="J194" s="49">
        <v>0.5</v>
      </c>
      <c r="K194" s="49">
        <v>0.1</v>
      </c>
      <c r="L194" s="49">
        <v>0.4</v>
      </c>
      <c r="M194" s="49">
        <v>2.7</v>
      </c>
    </row>
    <row r="195" spans="2:13" x14ac:dyDescent="0.25">
      <c r="B195" s="131" t="s">
        <v>369</v>
      </c>
      <c r="C195" s="62"/>
      <c r="D195" s="62"/>
      <c r="E195" s="62"/>
      <c r="F195" s="62"/>
      <c r="G195" s="62"/>
      <c r="H195" s="62"/>
      <c r="I195" s="62"/>
      <c r="J195" s="62"/>
      <c r="K195" s="62"/>
      <c r="L195" s="62"/>
      <c r="M195" s="62"/>
    </row>
    <row r="196" spans="2:13" x14ac:dyDescent="0.25">
      <c r="B196" s="130" t="s">
        <v>349</v>
      </c>
      <c r="C196" s="49">
        <v>15.7</v>
      </c>
      <c r="D196" s="49">
        <v>1.6</v>
      </c>
      <c r="E196" s="49">
        <v>2</v>
      </c>
      <c r="F196" s="49">
        <v>3</v>
      </c>
      <c r="G196" s="49">
        <v>0.8</v>
      </c>
      <c r="H196" s="49">
        <v>2.5</v>
      </c>
      <c r="I196" s="49">
        <v>0.9</v>
      </c>
      <c r="J196" s="49">
        <v>1.9</v>
      </c>
      <c r="K196" s="49">
        <v>0.2</v>
      </c>
      <c r="L196" s="49">
        <v>0.8</v>
      </c>
      <c r="M196" s="49">
        <v>3.4</v>
      </c>
    </row>
    <row r="197" spans="2:13" x14ac:dyDescent="0.25">
      <c r="B197" s="230" t="s">
        <v>360</v>
      </c>
      <c r="C197" s="63">
        <v>13.9</v>
      </c>
      <c r="D197" s="63">
        <v>1.5</v>
      </c>
      <c r="E197" s="63">
        <v>2.4</v>
      </c>
      <c r="F197" s="63">
        <v>2.8</v>
      </c>
      <c r="G197" s="63">
        <v>0.8</v>
      </c>
      <c r="H197" s="63">
        <v>2.2999999999999998</v>
      </c>
      <c r="I197" s="63" t="s">
        <v>361</v>
      </c>
      <c r="J197" s="63">
        <v>1.8</v>
      </c>
      <c r="K197" s="63">
        <v>0.2</v>
      </c>
      <c r="L197" s="63">
        <v>0.7</v>
      </c>
      <c r="M197" s="63">
        <v>2.9</v>
      </c>
    </row>
    <row r="198" spans="2:13" x14ac:dyDescent="0.25">
      <c r="B198" s="130" t="s">
        <v>370</v>
      </c>
      <c r="C198" s="49">
        <v>10.4</v>
      </c>
      <c r="D198" s="49">
        <v>1.5</v>
      </c>
      <c r="E198" s="49">
        <v>1.9</v>
      </c>
      <c r="F198" s="49">
        <v>1.8</v>
      </c>
      <c r="G198" s="49">
        <v>0.3</v>
      </c>
      <c r="H198" s="49">
        <v>2</v>
      </c>
      <c r="I198" s="49" t="s">
        <v>361</v>
      </c>
      <c r="J198" s="49">
        <v>0.8</v>
      </c>
      <c r="K198" s="49">
        <v>0.2</v>
      </c>
      <c r="L198" s="49">
        <v>1.1000000000000001</v>
      </c>
      <c r="M198" s="49">
        <v>2.8</v>
      </c>
    </row>
    <row r="199" spans="2:13" x14ac:dyDescent="0.25">
      <c r="B199" s="131" t="s">
        <v>371</v>
      </c>
      <c r="C199" s="62"/>
      <c r="D199" s="62"/>
      <c r="E199" s="62"/>
      <c r="F199" s="62"/>
      <c r="G199" s="62"/>
      <c r="H199" s="62"/>
      <c r="I199" s="62"/>
      <c r="J199" s="62"/>
      <c r="K199" s="62"/>
      <c r="L199" s="62"/>
      <c r="M199" s="62"/>
    </row>
    <row r="200" spans="2:13" x14ac:dyDescent="0.25">
      <c r="B200" s="130" t="s">
        <v>372</v>
      </c>
      <c r="C200" s="49">
        <v>12.8</v>
      </c>
      <c r="D200" s="49">
        <v>1.5</v>
      </c>
      <c r="E200" s="49">
        <v>1.9</v>
      </c>
      <c r="F200" s="49">
        <v>2.4</v>
      </c>
      <c r="G200" s="49">
        <v>0.5</v>
      </c>
      <c r="H200" s="49">
        <v>2.2000000000000002</v>
      </c>
      <c r="I200" s="49">
        <v>0.9</v>
      </c>
      <c r="J200" s="49">
        <v>1.4</v>
      </c>
      <c r="K200" s="49">
        <v>0.2</v>
      </c>
      <c r="L200" s="49">
        <v>0.9</v>
      </c>
      <c r="M200" s="49">
        <v>3</v>
      </c>
    </row>
    <row r="201" spans="2:13" x14ac:dyDescent="0.25">
      <c r="B201" s="230" t="s">
        <v>373</v>
      </c>
      <c r="C201" s="63">
        <v>13.1</v>
      </c>
      <c r="D201" s="63">
        <v>1.5</v>
      </c>
      <c r="E201" s="63">
        <v>2</v>
      </c>
      <c r="F201" s="63">
        <v>2.4</v>
      </c>
      <c r="G201" s="63">
        <v>0.5</v>
      </c>
      <c r="H201" s="63">
        <v>2.2999999999999998</v>
      </c>
      <c r="I201" s="63">
        <v>0.9</v>
      </c>
      <c r="J201" s="63">
        <v>1.4</v>
      </c>
      <c r="K201" s="63">
        <v>0.2</v>
      </c>
      <c r="L201" s="63">
        <v>0.9</v>
      </c>
      <c r="M201" s="63">
        <v>2.8</v>
      </c>
    </row>
    <row r="202" spans="2:13" x14ac:dyDescent="0.25">
      <c r="B202" s="130" t="s">
        <v>374</v>
      </c>
      <c r="C202" s="49">
        <v>13.1</v>
      </c>
      <c r="D202" s="49">
        <v>1.6</v>
      </c>
      <c r="E202" s="49">
        <v>2</v>
      </c>
      <c r="F202" s="49">
        <v>2.4</v>
      </c>
      <c r="G202" s="49">
        <v>0.5</v>
      </c>
      <c r="H202" s="49">
        <v>2.2999999999999998</v>
      </c>
      <c r="I202" s="49">
        <v>0.9</v>
      </c>
      <c r="J202" s="49">
        <v>1.4</v>
      </c>
      <c r="K202" s="49">
        <v>0.2</v>
      </c>
      <c r="L202" s="49">
        <v>0.9</v>
      </c>
      <c r="M202" s="49">
        <v>3</v>
      </c>
    </row>
    <row r="203" spans="2:13" x14ac:dyDescent="0.25">
      <c r="B203" s="130" t="s">
        <v>375</v>
      </c>
      <c r="C203" s="49">
        <v>15.2</v>
      </c>
      <c r="D203" s="49">
        <v>1.6</v>
      </c>
      <c r="E203" s="49">
        <v>2.1</v>
      </c>
      <c r="F203" s="49">
        <v>2.9</v>
      </c>
      <c r="G203" s="49">
        <v>0.8</v>
      </c>
      <c r="H203" s="49">
        <v>2.4</v>
      </c>
      <c r="I203" s="49">
        <v>0.9</v>
      </c>
      <c r="J203" s="49">
        <v>1.9</v>
      </c>
      <c r="K203" s="49">
        <v>0.2</v>
      </c>
      <c r="L203" s="49">
        <v>0.8</v>
      </c>
      <c r="M203" s="49">
        <v>3.2</v>
      </c>
    </row>
    <row r="204" spans="2:13" x14ac:dyDescent="0.25">
      <c r="B204" s="130" t="s">
        <v>376</v>
      </c>
      <c r="C204" s="49">
        <v>12.5</v>
      </c>
      <c r="D204" s="49">
        <v>1.5</v>
      </c>
      <c r="E204" s="49">
        <v>1.3</v>
      </c>
      <c r="F204" s="49">
        <v>2</v>
      </c>
      <c r="G204" s="49">
        <v>0.3</v>
      </c>
      <c r="H204" s="49">
        <v>2.2000000000000002</v>
      </c>
      <c r="I204" s="49">
        <v>0.8</v>
      </c>
      <c r="J204" s="49">
        <v>1.9</v>
      </c>
      <c r="K204" s="49">
        <v>0.1</v>
      </c>
      <c r="L204" s="49">
        <v>0.5</v>
      </c>
      <c r="M204" s="49">
        <v>4.0999999999999996</v>
      </c>
    </row>
    <row r="205" spans="2:13" x14ac:dyDescent="0.25">
      <c r="B205" s="130" t="s">
        <v>377</v>
      </c>
      <c r="C205" s="49">
        <v>16.100000000000001</v>
      </c>
      <c r="D205" s="49">
        <v>1.6</v>
      </c>
      <c r="E205" s="49">
        <v>2.1</v>
      </c>
      <c r="F205" s="49">
        <v>3.3</v>
      </c>
      <c r="G205" s="49">
        <v>0.6</v>
      </c>
      <c r="H205" s="49">
        <v>2.5</v>
      </c>
      <c r="I205" s="49">
        <v>0.7</v>
      </c>
      <c r="J205" s="49">
        <v>1.3</v>
      </c>
      <c r="K205" s="49">
        <v>0.2</v>
      </c>
      <c r="L205" s="49">
        <v>1.7</v>
      </c>
      <c r="M205" s="49">
        <v>4</v>
      </c>
    </row>
    <row r="206" spans="2:13" x14ac:dyDescent="0.25">
      <c r="B206" s="130" t="s">
        <v>378</v>
      </c>
      <c r="C206" s="49">
        <v>12.7</v>
      </c>
      <c r="D206" s="49">
        <v>1.5</v>
      </c>
      <c r="E206" s="49">
        <v>2</v>
      </c>
      <c r="F206" s="49">
        <v>2.2999999999999998</v>
      </c>
      <c r="G206" s="49">
        <v>0.5</v>
      </c>
      <c r="H206" s="49">
        <v>2.2000000000000002</v>
      </c>
      <c r="I206" s="49">
        <v>0.9</v>
      </c>
      <c r="J206" s="49">
        <v>1.4</v>
      </c>
      <c r="K206" s="49">
        <v>0.2</v>
      </c>
      <c r="L206" s="49">
        <v>0.9</v>
      </c>
      <c r="M206" s="49">
        <v>3</v>
      </c>
    </row>
    <row r="207" spans="2:13" x14ac:dyDescent="0.25">
      <c r="B207" s="131" t="s">
        <v>379</v>
      </c>
      <c r="C207" s="62"/>
      <c r="D207" s="62"/>
      <c r="E207" s="62"/>
      <c r="F207" s="62"/>
      <c r="G207" s="62"/>
      <c r="H207" s="62"/>
      <c r="I207" s="62"/>
      <c r="J207" s="62"/>
      <c r="K207" s="62"/>
      <c r="L207" s="62"/>
      <c r="M207" s="62"/>
    </row>
    <row r="208" spans="2:13" x14ac:dyDescent="0.25">
      <c r="B208" s="230" t="s">
        <v>380</v>
      </c>
      <c r="C208" s="63">
        <v>9.6999999999999993</v>
      </c>
      <c r="D208" s="63" t="s">
        <v>361</v>
      </c>
      <c r="E208" s="63">
        <v>4.0999999999999996</v>
      </c>
      <c r="F208" s="63">
        <v>1.3</v>
      </c>
      <c r="G208" s="63">
        <v>0.5</v>
      </c>
      <c r="H208" s="63">
        <v>1.6</v>
      </c>
      <c r="I208" s="63">
        <v>1.3</v>
      </c>
      <c r="J208" s="63">
        <v>2.2000000000000002</v>
      </c>
      <c r="K208" s="63">
        <v>0.1</v>
      </c>
      <c r="L208" s="63">
        <v>2.2999999999999998</v>
      </c>
      <c r="M208" s="63">
        <v>3.4</v>
      </c>
    </row>
    <row r="209" spans="2:13" x14ac:dyDescent="0.25">
      <c r="B209" s="130" t="s">
        <v>381</v>
      </c>
      <c r="C209" s="49">
        <v>8.9</v>
      </c>
      <c r="D209" s="49">
        <v>0.7</v>
      </c>
      <c r="E209" s="49">
        <v>1.5</v>
      </c>
      <c r="F209" s="49">
        <v>1.3</v>
      </c>
      <c r="G209" s="49">
        <v>0.2</v>
      </c>
      <c r="H209" s="49">
        <v>1.7</v>
      </c>
      <c r="I209" s="49">
        <v>0.7</v>
      </c>
      <c r="J209" s="49">
        <v>1.5</v>
      </c>
      <c r="K209" s="49">
        <v>0.1</v>
      </c>
      <c r="L209" s="49">
        <v>0.9</v>
      </c>
      <c r="M209" s="49">
        <v>1.9</v>
      </c>
    </row>
    <row r="210" spans="2:13" x14ac:dyDescent="0.25">
      <c r="B210" s="130" t="s">
        <v>382</v>
      </c>
      <c r="C210" s="49">
        <v>13.6</v>
      </c>
      <c r="D210" s="49">
        <v>1.4</v>
      </c>
      <c r="E210" s="49">
        <v>1.9</v>
      </c>
      <c r="F210" s="49">
        <v>2.8</v>
      </c>
      <c r="G210" s="49">
        <v>0.6</v>
      </c>
      <c r="H210" s="49">
        <v>2.4</v>
      </c>
      <c r="I210" s="49">
        <v>0.8</v>
      </c>
      <c r="J210" s="49">
        <v>1.7</v>
      </c>
      <c r="K210" s="49">
        <v>0.2</v>
      </c>
      <c r="L210" s="49">
        <v>0.8</v>
      </c>
      <c r="M210" s="49">
        <v>2.9</v>
      </c>
    </row>
    <row r="211" spans="2:13" x14ac:dyDescent="0.25">
      <c r="B211" s="233" t="s">
        <v>383</v>
      </c>
      <c r="C211" s="49">
        <v>13.2</v>
      </c>
      <c r="D211" s="49">
        <v>1.8</v>
      </c>
      <c r="E211" s="49">
        <v>2</v>
      </c>
      <c r="F211" s="49">
        <v>2.4</v>
      </c>
      <c r="G211" s="49">
        <v>0.5</v>
      </c>
      <c r="H211" s="49">
        <v>2.2999999999999998</v>
      </c>
      <c r="I211" s="49">
        <v>0.9</v>
      </c>
      <c r="J211" s="49">
        <v>1.2</v>
      </c>
      <c r="K211" s="49">
        <v>0.2</v>
      </c>
      <c r="L211" s="49">
        <v>0.9</v>
      </c>
      <c r="M211" s="49">
        <v>3.2</v>
      </c>
    </row>
    <row r="212" spans="2:13" x14ac:dyDescent="0.25">
      <c r="B212" s="234" t="s">
        <v>384</v>
      </c>
      <c r="C212" s="62"/>
      <c r="D212" s="62"/>
      <c r="E212" s="62"/>
      <c r="F212" s="62"/>
      <c r="G212" s="62"/>
      <c r="H212" s="62"/>
      <c r="I212" s="62"/>
      <c r="J212" s="62"/>
      <c r="K212" s="62"/>
      <c r="L212" s="62"/>
      <c r="M212" s="62"/>
    </row>
    <row r="213" spans="2:13" x14ac:dyDescent="0.25">
      <c r="B213" s="230" t="s">
        <v>385</v>
      </c>
      <c r="C213" s="63">
        <v>6.8</v>
      </c>
      <c r="D213" s="63">
        <v>2.5</v>
      </c>
      <c r="E213" s="63" t="s">
        <v>361</v>
      </c>
      <c r="F213" s="63">
        <v>0.2</v>
      </c>
      <c r="G213" s="63">
        <v>0.1</v>
      </c>
      <c r="H213" s="63">
        <v>1</v>
      </c>
      <c r="I213" s="63" t="s">
        <v>229</v>
      </c>
      <c r="J213" s="63">
        <v>0.6</v>
      </c>
      <c r="K213" s="63" t="s">
        <v>228</v>
      </c>
      <c r="L213" s="63">
        <v>0.1</v>
      </c>
      <c r="M213" s="63">
        <v>5</v>
      </c>
    </row>
    <row r="214" spans="2:13" x14ac:dyDescent="0.25">
      <c r="B214" s="130" t="s">
        <v>381</v>
      </c>
      <c r="C214" s="49">
        <v>6.8</v>
      </c>
      <c r="D214" s="49">
        <v>1.2</v>
      </c>
      <c r="E214" s="49">
        <v>0.9</v>
      </c>
      <c r="F214" s="49">
        <v>1</v>
      </c>
      <c r="G214" s="49">
        <v>0.2</v>
      </c>
      <c r="H214" s="49">
        <v>1.7</v>
      </c>
      <c r="I214" s="49">
        <v>0.6</v>
      </c>
      <c r="J214" s="49">
        <v>0.8</v>
      </c>
      <c r="K214" s="49">
        <v>0.1</v>
      </c>
      <c r="L214" s="49">
        <v>0.3</v>
      </c>
      <c r="M214" s="49">
        <v>1.6</v>
      </c>
    </row>
    <row r="215" spans="2:13" x14ac:dyDescent="0.25">
      <c r="B215" s="130" t="s">
        <v>382</v>
      </c>
      <c r="C215" s="49">
        <v>14.4</v>
      </c>
      <c r="D215" s="49">
        <v>1.4</v>
      </c>
      <c r="E215" s="49">
        <v>2</v>
      </c>
      <c r="F215" s="49">
        <v>2.9</v>
      </c>
      <c r="G215" s="49">
        <v>0.6</v>
      </c>
      <c r="H215" s="49">
        <v>2.4</v>
      </c>
      <c r="I215" s="49">
        <v>0.8</v>
      </c>
      <c r="J215" s="49">
        <v>1.6</v>
      </c>
      <c r="K215" s="49">
        <v>0.2</v>
      </c>
      <c r="L215" s="49">
        <v>1.2</v>
      </c>
      <c r="M215" s="49">
        <v>3</v>
      </c>
    </row>
    <row r="216" spans="2:13" x14ac:dyDescent="0.25">
      <c r="B216" s="233" t="s">
        <v>383</v>
      </c>
      <c r="C216" s="49">
        <v>15.3</v>
      </c>
      <c r="D216" s="49">
        <v>1.7</v>
      </c>
      <c r="E216" s="49">
        <v>2.6</v>
      </c>
      <c r="F216" s="49">
        <v>2.8</v>
      </c>
      <c r="G216" s="49">
        <v>0.7</v>
      </c>
      <c r="H216" s="49">
        <v>2.5</v>
      </c>
      <c r="I216" s="49">
        <v>1</v>
      </c>
      <c r="J216" s="49">
        <v>1.6</v>
      </c>
      <c r="K216" s="49">
        <v>0.2</v>
      </c>
      <c r="L216" s="49">
        <v>1.1000000000000001</v>
      </c>
      <c r="M216" s="49">
        <v>3.3</v>
      </c>
    </row>
    <row r="217" spans="2:13" x14ac:dyDescent="0.25">
      <c r="B217" s="234" t="s">
        <v>386</v>
      </c>
      <c r="C217" s="62"/>
      <c r="D217" s="62"/>
      <c r="E217" s="62"/>
      <c r="F217" s="62"/>
      <c r="G217" s="62"/>
      <c r="H217" s="62"/>
      <c r="I217" s="62"/>
      <c r="J217" s="62"/>
      <c r="K217" s="62"/>
      <c r="L217" s="62"/>
      <c r="M217" s="62"/>
    </row>
    <row r="218" spans="2:13" x14ac:dyDescent="0.25">
      <c r="B218" s="235" t="s">
        <v>387</v>
      </c>
      <c r="C218" s="63" t="s">
        <v>229</v>
      </c>
      <c r="D218" s="63" t="s">
        <v>229</v>
      </c>
      <c r="E218" s="63" t="s">
        <v>229</v>
      </c>
      <c r="F218" s="63" t="s">
        <v>229</v>
      </c>
      <c r="G218" s="63" t="s">
        <v>229</v>
      </c>
      <c r="H218" s="63" t="s">
        <v>361</v>
      </c>
      <c r="I218" s="63" t="s">
        <v>361</v>
      </c>
      <c r="J218" s="63" t="s">
        <v>229</v>
      </c>
      <c r="K218" s="63" t="s">
        <v>229</v>
      </c>
      <c r="L218" s="63" t="s">
        <v>229</v>
      </c>
      <c r="M218" s="63" t="s">
        <v>229</v>
      </c>
    </row>
    <row r="219" spans="2:13" x14ac:dyDescent="0.25">
      <c r="B219" s="130" t="s">
        <v>381</v>
      </c>
      <c r="C219" s="49">
        <v>7.2</v>
      </c>
      <c r="D219" s="49">
        <v>1.2</v>
      </c>
      <c r="E219" s="49">
        <v>1.8</v>
      </c>
      <c r="F219" s="49">
        <v>1.1000000000000001</v>
      </c>
      <c r="G219" s="49">
        <v>0.3</v>
      </c>
      <c r="H219" s="49">
        <v>0.9</v>
      </c>
      <c r="I219" s="49">
        <v>0.6</v>
      </c>
      <c r="J219" s="49">
        <v>0.8</v>
      </c>
      <c r="K219" s="49">
        <v>0.1</v>
      </c>
      <c r="L219" s="49">
        <v>0.6</v>
      </c>
      <c r="M219" s="49">
        <v>1.9</v>
      </c>
    </row>
    <row r="220" spans="2:13" x14ac:dyDescent="0.25">
      <c r="B220" s="130" t="s">
        <v>382</v>
      </c>
      <c r="C220" s="49">
        <v>13.9</v>
      </c>
      <c r="D220" s="49">
        <v>1.5</v>
      </c>
      <c r="E220" s="49">
        <v>2</v>
      </c>
      <c r="F220" s="49">
        <v>2.7</v>
      </c>
      <c r="G220" s="49">
        <v>0.6</v>
      </c>
      <c r="H220" s="49">
        <v>2.2999999999999998</v>
      </c>
      <c r="I220" s="49">
        <v>0.8</v>
      </c>
      <c r="J220" s="49">
        <v>1.5</v>
      </c>
      <c r="K220" s="49">
        <v>0.2</v>
      </c>
      <c r="L220" s="49">
        <v>1</v>
      </c>
      <c r="M220" s="49">
        <v>3.2</v>
      </c>
    </row>
    <row r="221" spans="2:13" x14ac:dyDescent="0.25">
      <c r="B221" s="233" t="s">
        <v>383</v>
      </c>
      <c r="C221" s="49">
        <v>13.7</v>
      </c>
      <c r="D221" s="49">
        <v>1.6</v>
      </c>
      <c r="E221" s="49">
        <v>2.1</v>
      </c>
      <c r="F221" s="49">
        <v>2.5</v>
      </c>
      <c r="G221" s="49">
        <v>0.5</v>
      </c>
      <c r="H221" s="49">
        <v>2.6</v>
      </c>
      <c r="I221" s="49">
        <v>1.1000000000000001</v>
      </c>
      <c r="J221" s="49">
        <v>1.5</v>
      </c>
      <c r="K221" s="49">
        <v>0.2</v>
      </c>
      <c r="L221" s="49">
        <v>0.9</v>
      </c>
      <c r="M221" s="49">
        <v>3.2</v>
      </c>
    </row>
    <row r="222" spans="2:13" x14ac:dyDescent="0.25">
      <c r="B222" s="231" t="s">
        <v>388</v>
      </c>
      <c r="C222" s="49">
        <v>3.8</v>
      </c>
      <c r="D222" s="49">
        <v>1.6</v>
      </c>
      <c r="E222" s="49">
        <v>1.6</v>
      </c>
      <c r="F222" s="49" t="s">
        <v>228</v>
      </c>
      <c r="G222" s="49" t="s">
        <v>229</v>
      </c>
      <c r="H222" s="49">
        <v>1</v>
      </c>
      <c r="I222" s="49" t="s">
        <v>229</v>
      </c>
      <c r="J222" s="49" t="s">
        <v>229</v>
      </c>
      <c r="K222" s="49" t="s">
        <v>229</v>
      </c>
      <c r="L222" s="49" t="s">
        <v>229</v>
      </c>
      <c r="M222" s="49">
        <v>1.7</v>
      </c>
    </row>
    <row r="223" spans="2:13" x14ac:dyDescent="0.25">
      <c r="B223" s="234" t="s">
        <v>389</v>
      </c>
      <c r="C223" s="62"/>
      <c r="D223" s="62"/>
      <c r="E223" s="62"/>
      <c r="F223" s="62"/>
      <c r="G223" s="62"/>
      <c r="H223" s="62"/>
      <c r="I223" s="62"/>
      <c r="J223" s="62"/>
      <c r="K223" s="62"/>
      <c r="L223" s="62"/>
      <c r="M223" s="62"/>
    </row>
    <row r="224" spans="2:13" x14ac:dyDescent="0.25">
      <c r="B224" s="235" t="s">
        <v>387</v>
      </c>
      <c r="C224" s="63">
        <v>7.4</v>
      </c>
      <c r="D224" s="63">
        <v>1.5</v>
      </c>
      <c r="E224" s="63">
        <v>1.9</v>
      </c>
      <c r="F224" s="63">
        <v>0.9</v>
      </c>
      <c r="G224" s="63">
        <v>0.3</v>
      </c>
      <c r="H224" s="63">
        <v>1.2</v>
      </c>
      <c r="I224" s="63">
        <v>0.7</v>
      </c>
      <c r="J224" s="63">
        <v>1</v>
      </c>
      <c r="K224" s="63">
        <v>0.1</v>
      </c>
      <c r="L224" s="63">
        <v>0.3</v>
      </c>
      <c r="M224" s="63">
        <v>2.2999999999999998</v>
      </c>
    </row>
    <row r="225" spans="2:13" x14ac:dyDescent="0.25">
      <c r="B225" s="130" t="s">
        <v>381</v>
      </c>
      <c r="C225" s="49">
        <v>12.6</v>
      </c>
      <c r="D225" s="49">
        <v>1.5</v>
      </c>
      <c r="E225" s="49">
        <v>2</v>
      </c>
      <c r="F225" s="49">
        <v>2.4</v>
      </c>
      <c r="G225" s="49">
        <v>0.5</v>
      </c>
      <c r="H225" s="49">
        <v>2.2000000000000002</v>
      </c>
      <c r="I225" s="49">
        <v>0.8</v>
      </c>
      <c r="J225" s="49">
        <v>1.3</v>
      </c>
      <c r="K225" s="49">
        <v>0.2</v>
      </c>
      <c r="L225" s="49">
        <v>0.8</v>
      </c>
      <c r="M225" s="49">
        <v>2.9</v>
      </c>
    </row>
    <row r="226" spans="2:13" x14ac:dyDescent="0.25">
      <c r="B226" s="130" t="s">
        <v>390</v>
      </c>
      <c r="C226" s="49">
        <v>21.3</v>
      </c>
      <c r="D226" s="49">
        <v>2.1</v>
      </c>
      <c r="E226" s="49">
        <v>2.5</v>
      </c>
      <c r="F226" s="49">
        <v>4.2</v>
      </c>
      <c r="G226" s="49">
        <v>0.9</v>
      </c>
      <c r="H226" s="49">
        <v>3.8</v>
      </c>
      <c r="I226" s="49">
        <v>1</v>
      </c>
      <c r="J226" s="49">
        <v>2.1</v>
      </c>
      <c r="K226" s="49">
        <v>0.2</v>
      </c>
      <c r="L226" s="49">
        <v>2.5</v>
      </c>
      <c r="M226" s="49">
        <v>5.0999999999999996</v>
      </c>
    </row>
    <row r="227" spans="2:13" x14ac:dyDescent="0.25">
      <c r="B227" s="130" t="s">
        <v>391</v>
      </c>
      <c r="C227" s="49">
        <v>20.5</v>
      </c>
      <c r="D227" s="49">
        <v>1.8</v>
      </c>
      <c r="E227" s="49">
        <v>2.6</v>
      </c>
      <c r="F227" s="49">
        <v>4</v>
      </c>
      <c r="G227" s="49">
        <v>1.1000000000000001</v>
      </c>
      <c r="H227" s="49">
        <v>4.3</v>
      </c>
      <c r="I227" s="49">
        <v>1.6</v>
      </c>
      <c r="J227" s="49">
        <v>2.9</v>
      </c>
      <c r="K227" s="49">
        <v>0.1</v>
      </c>
      <c r="L227" s="49">
        <v>1.3</v>
      </c>
      <c r="M227" s="49">
        <v>3.9</v>
      </c>
    </row>
    <row r="228" spans="2:13" x14ac:dyDescent="0.25">
      <c r="B228" s="231" t="s">
        <v>392</v>
      </c>
      <c r="C228" s="49" t="s">
        <v>361</v>
      </c>
      <c r="D228" s="49" t="s">
        <v>361</v>
      </c>
      <c r="E228" s="49" t="s">
        <v>361</v>
      </c>
      <c r="F228" s="49" t="s">
        <v>361</v>
      </c>
      <c r="G228" s="49" t="s">
        <v>361</v>
      </c>
      <c r="H228" s="49" t="s">
        <v>361</v>
      </c>
      <c r="I228" s="49" t="s">
        <v>361</v>
      </c>
      <c r="J228" s="49" t="s">
        <v>361</v>
      </c>
      <c r="K228" s="49" t="s">
        <v>361</v>
      </c>
      <c r="L228" s="49" t="s">
        <v>361</v>
      </c>
      <c r="M228" s="49" t="s">
        <v>361</v>
      </c>
    </row>
    <row r="229" spans="2:13" x14ac:dyDescent="0.25">
      <c r="B229" s="234" t="s">
        <v>393</v>
      </c>
      <c r="C229" s="62"/>
      <c r="D229" s="62"/>
      <c r="E229" s="62"/>
      <c r="F229" s="62"/>
      <c r="G229" s="62"/>
      <c r="H229" s="62"/>
      <c r="I229" s="62"/>
      <c r="J229" s="62"/>
      <c r="K229" s="62"/>
      <c r="L229" s="62"/>
      <c r="M229" s="62"/>
    </row>
    <row r="230" spans="2:13" x14ac:dyDescent="0.25">
      <c r="B230" s="230" t="s">
        <v>394</v>
      </c>
      <c r="C230" s="63">
        <v>13.8</v>
      </c>
      <c r="D230" s="63">
        <v>1.6</v>
      </c>
      <c r="E230" s="63">
        <v>2.1</v>
      </c>
      <c r="F230" s="63">
        <v>2.5</v>
      </c>
      <c r="G230" s="63">
        <v>0.6</v>
      </c>
      <c r="H230" s="63">
        <v>2.4</v>
      </c>
      <c r="I230" s="63">
        <v>1</v>
      </c>
      <c r="J230" s="63">
        <v>1.8</v>
      </c>
      <c r="K230" s="63">
        <v>0.2</v>
      </c>
      <c r="L230" s="63">
        <v>0.7</v>
      </c>
      <c r="M230" s="63">
        <v>2.9</v>
      </c>
    </row>
    <row r="231" spans="2:13" x14ac:dyDescent="0.25">
      <c r="B231" s="130" t="s">
        <v>395</v>
      </c>
      <c r="C231" s="49">
        <v>10.9</v>
      </c>
      <c r="D231" s="49">
        <v>1.7</v>
      </c>
      <c r="E231" s="49">
        <v>1.5</v>
      </c>
      <c r="F231" s="49">
        <v>1.8</v>
      </c>
      <c r="G231" s="49">
        <v>0.6</v>
      </c>
      <c r="H231" s="49">
        <v>2.2000000000000002</v>
      </c>
      <c r="I231" s="49">
        <v>0.6</v>
      </c>
      <c r="J231" s="49">
        <v>1.7</v>
      </c>
      <c r="K231" s="49">
        <v>0.2</v>
      </c>
      <c r="L231" s="49">
        <v>0.6</v>
      </c>
      <c r="M231" s="49">
        <v>2.1</v>
      </c>
    </row>
    <row r="232" spans="2:13" x14ac:dyDescent="0.25">
      <c r="B232" s="130" t="s">
        <v>396</v>
      </c>
      <c r="C232" s="49">
        <v>12.3</v>
      </c>
      <c r="D232" s="49">
        <v>1.4</v>
      </c>
      <c r="E232" s="49">
        <v>1.6</v>
      </c>
      <c r="F232" s="49">
        <v>2</v>
      </c>
      <c r="G232" s="49">
        <v>0.5</v>
      </c>
      <c r="H232" s="49">
        <v>2.2999999999999998</v>
      </c>
      <c r="I232" s="49">
        <v>0.7</v>
      </c>
      <c r="J232" s="49">
        <v>1.3</v>
      </c>
      <c r="K232" s="49">
        <v>0.2</v>
      </c>
      <c r="L232" s="49">
        <v>1</v>
      </c>
      <c r="M232" s="49">
        <v>2.6</v>
      </c>
    </row>
    <row r="233" spans="2:13" x14ac:dyDescent="0.25">
      <c r="B233" s="130" t="s">
        <v>397</v>
      </c>
      <c r="C233" s="49">
        <v>13.2</v>
      </c>
      <c r="D233" s="49">
        <v>1.4</v>
      </c>
      <c r="E233" s="49">
        <v>1.9</v>
      </c>
      <c r="F233" s="49">
        <v>2.8</v>
      </c>
      <c r="G233" s="49">
        <v>0.5</v>
      </c>
      <c r="H233" s="49">
        <v>2.2000000000000002</v>
      </c>
      <c r="I233" s="49">
        <v>0.7</v>
      </c>
      <c r="J233" s="49">
        <v>1</v>
      </c>
      <c r="K233" s="49">
        <v>0.2</v>
      </c>
      <c r="L233" s="49">
        <v>0.9</v>
      </c>
      <c r="M233" s="49">
        <v>3.4</v>
      </c>
    </row>
    <row r="234" spans="2:13" x14ac:dyDescent="0.25">
      <c r="B234" s="130" t="s">
        <v>398</v>
      </c>
      <c r="C234" s="49">
        <v>14.8</v>
      </c>
      <c r="D234" s="49">
        <v>1.2</v>
      </c>
      <c r="E234" s="49">
        <v>2.1</v>
      </c>
      <c r="F234" s="49">
        <v>2.7</v>
      </c>
      <c r="G234" s="49">
        <v>0.7</v>
      </c>
      <c r="H234" s="49">
        <v>2.6</v>
      </c>
      <c r="I234" s="49">
        <v>0.7</v>
      </c>
      <c r="J234" s="49">
        <v>1.3</v>
      </c>
      <c r="K234" s="49">
        <v>0.2</v>
      </c>
      <c r="L234" s="49">
        <v>1.2</v>
      </c>
      <c r="M234" s="49">
        <v>2.9</v>
      </c>
    </row>
    <row r="235" spans="2:13" x14ac:dyDescent="0.25">
      <c r="B235" s="130" t="s">
        <v>352</v>
      </c>
      <c r="C235" s="49">
        <v>16.399999999999999</v>
      </c>
      <c r="D235" s="49">
        <v>1.1000000000000001</v>
      </c>
      <c r="E235" s="49">
        <v>1.8</v>
      </c>
      <c r="F235" s="49">
        <v>4.0999999999999996</v>
      </c>
      <c r="G235" s="49">
        <v>0.7</v>
      </c>
      <c r="H235" s="49">
        <v>2.4</v>
      </c>
      <c r="I235" s="49">
        <v>0.8</v>
      </c>
      <c r="J235" s="49">
        <v>0.8</v>
      </c>
      <c r="K235" s="49">
        <v>0.2</v>
      </c>
      <c r="L235" s="49">
        <v>1.6</v>
      </c>
      <c r="M235" s="49">
        <v>5.5</v>
      </c>
    </row>
    <row r="236" spans="2:13" x14ac:dyDescent="0.25">
      <c r="B236" s="130" t="s">
        <v>399</v>
      </c>
      <c r="C236" s="49">
        <v>17.2</v>
      </c>
      <c r="D236" s="49">
        <v>1.9</v>
      </c>
      <c r="E236" s="49">
        <v>2</v>
      </c>
      <c r="F236" s="49">
        <v>3.4</v>
      </c>
      <c r="G236" s="49">
        <v>0.6</v>
      </c>
      <c r="H236" s="49">
        <v>2.8</v>
      </c>
      <c r="I236" s="49">
        <v>0.5</v>
      </c>
      <c r="J236" s="49">
        <v>1.4</v>
      </c>
      <c r="K236" s="49">
        <v>0.2</v>
      </c>
      <c r="L236" s="49">
        <v>1.4</v>
      </c>
      <c r="M236" s="49">
        <v>3.7</v>
      </c>
    </row>
    <row r="237" spans="2:13" x14ac:dyDescent="0.25">
      <c r="B237" s="130" t="s">
        <v>89</v>
      </c>
      <c r="C237" s="49">
        <v>36.9</v>
      </c>
      <c r="D237" s="49">
        <v>3.2</v>
      </c>
      <c r="E237" s="49">
        <v>1.7</v>
      </c>
      <c r="F237" s="49">
        <v>3.2</v>
      </c>
      <c r="G237" s="49">
        <v>0.9</v>
      </c>
      <c r="H237" s="49">
        <v>4.4000000000000004</v>
      </c>
      <c r="I237" s="49">
        <v>1.5</v>
      </c>
      <c r="J237" s="49">
        <v>9.1</v>
      </c>
      <c r="K237" s="49">
        <v>0.2</v>
      </c>
      <c r="L237" s="49">
        <v>0.3</v>
      </c>
      <c r="M237" s="49" t="s">
        <v>229</v>
      </c>
    </row>
    <row r="238" spans="2:13" x14ac:dyDescent="0.25">
      <c r="B238" s="229" t="s">
        <v>400</v>
      </c>
      <c r="C238" s="57"/>
      <c r="D238" s="57"/>
      <c r="E238" s="57"/>
      <c r="F238" s="57"/>
      <c r="G238" s="57"/>
      <c r="H238" s="57"/>
      <c r="I238" s="57"/>
      <c r="J238" s="57"/>
      <c r="K238" s="57"/>
      <c r="L238" s="57"/>
      <c r="M238" s="57"/>
    </row>
    <row r="239" spans="2:13" x14ac:dyDescent="0.25">
      <c r="B239" s="130" t="s">
        <v>401</v>
      </c>
      <c r="C239" s="49">
        <v>13.7</v>
      </c>
      <c r="D239" s="49">
        <v>1.6</v>
      </c>
      <c r="E239" s="49">
        <v>2</v>
      </c>
      <c r="F239" s="49">
        <v>2.5</v>
      </c>
      <c r="G239" s="49">
        <v>0.5</v>
      </c>
      <c r="H239" s="49">
        <v>2.5</v>
      </c>
      <c r="I239" s="49">
        <v>1</v>
      </c>
      <c r="J239" s="49">
        <v>1.7</v>
      </c>
      <c r="K239" s="49">
        <v>0.2</v>
      </c>
      <c r="L239" s="49">
        <v>0.9</v>
      </c>
      <c r="M239" s="49">
        <v>2.7</v>
      </c>
    </row>
    <row r="240" spans="2:13" x14ac:dyDescent="0.25">
      <c r="B240" s="130" t="s">
        <v>398</v>
      </c>
      <c r="C240" s="49">
        <v>11.7</v>
      </c>
      <c r="D240" s="49">
        <v>1.5</v>
      </c>
      <c r="E240" s="49">
        <v>1.7</v>
      </c>
      <c r="F240" s="49">
        <v>2.1</v>
      </c>
      <c r="G240" s="49">
        <v>0.5</v>
      </c>
      <c r="H240" s="49">
        <v>2.2000000000000002</v>
      </c>
      <c r="I240" s="49">
        <v>0.6</v>
      </c>
      <c r="J240" s="49">
        <v>1.4</v>
      </c>
      <c r="K240" s="49">
        <v>0.2</v>
      </c>
      <c r="L240" s="49">
        <v>0.9</v>
      </c>
      <c r="M240" s="49">
        <v>2.4</v>
      </c>
    </row>
    <row r="241" spans="2:13" x14ac:dyDescent="0.25">
      <c r="B241" s="130" t="s">
        <v>402</v>
      </c>
      <c r="C241" s="49">
        <v>12.8</v>
      </c>
      <c r="D241" s="49">
        <v>1.6</v>
      </c>
      <c r="E241" s="49">
        <v>1.8</v>
      </c>
      <c r="F241" s="49">
        <v>2.2999999999999998</v>
      </c>
      <c r="G241" s="49">
        <v>0.9</v>
      </c>
      <c r="H241" s="49">
        <v>2.4</v>
      </c>
      <c r="I241" s="49">
        <v>0.8</v>
      </c>
      <c r="J241" s="49">
        <v>1.3</v>
      </c>
      <c r="K241" s="49">
        <v>0.2</v>
      </c>
      <c r="L241" s="49">
        <v>0.8</v>
      </c>
      <c r="M241" s="49">
        <v>2.6</v>
      </c>
    </row>
    <row r="242" spans="2:13" x14ac:dyDescent="0.25">
      <c r="B242" s="130" t="s">
        <v>353</v>
      </c>
      <c r="C242" s="49">
        <v>16</v>
      </c>
      <c r="D242" s="49">
        <v>1.2</v>
      </c>
      <c r="E242" s="49">
        <v>2.5</v>
      </c>
      <c r="F242" s="49">
        <v>3.8</v>
      </c>
      <c r="G242" s="49">
        <v>0.4</v>
      </c>
      <c r="H242" s="49">
        <v>2.4</v>
      </c>
      <c r="I242" s="49">
        <v>0.7</v>
      </c>
      <c r="J242" s="49">
        <v>0.9</v>
      </c>
      <c r="K242" s="49">
        <v>0.2</v>
      </c>
      <c r="L242" s="49">
        <v>1.8</v>
      </c>
      <c r="M242" s="49">
        <v>3.6</v>
      </c>
    </row>
    <row r="243" spans="2:13" x14ac:dyDescent="0.25">
      <c r="B243" s="130" t="s">
        <v>403</v>
      </c>
      <c r="C243" s="49">
        <v>13.8</v>
      </c>
      <c r="D243" s="49">
        <v>1.2</v>
      </c>
      <c r="E243" s="49">
        <v>1.8</v>
      </c>
      <c r="F243" s="49">
        <v>2.7</v>
      </c>
      <c r="G243" s="49">
        <v>0.5</v>
      </c>
      <c r="H243" s="49">
        <v>2.2999999999999998</v>
      </c>
      <c r="I243" s="49">
        <v>0.7</v>
      </c>
      <c r="J243" s="49">
        <v>1.1000000000000001</v>
      </c>
      <c r="K243" s="49">
        <v>0.2</v>
      </c>
      <c r="L243" s="49">
        <v>1.3</v>
      </c>
      <c r="M243" s="49">
        <v>2.9</v>
      </c>
    </row>
    <row r="244" spans="2:13" x14ac:dyDescent="0.25">
      <c r="B244" s="130" t="s">
        <v>37</v>
      </c>
      <c r="C244" s="49">
        <v>17.2</v>
      </c>
      <c r="D244" s="49">
        <v>1.3</v>
      </c>
      <c r="E244" s="49">
        <v>0.9</v>
      </c>
      <c r="F244" s="49">
        <v>3.6</v>
      </c>
      <c r="G244" s="49">
        <v>0.5</v>
      </c>
      <c r="H244" s="49">
        <v>2.4</v>
      </c>
      <c r="I244" s="49">
        <v>0.8</v>
      </c>
      <c r="J244" s="49">
        <v>1</v>
      </c>
      <c r="K244" s="49">
        <v>0.2</v>
      </c>
      <c r="L244" s="49">
        <v>1.9</v>
      </c>
      <c r="M244" s="49">
        <v>7.1</v>
      </c>
    </row>
    <row r="245" spans="2:13" x14ac:dyDescent="0.25">
      <c r="B245" s="130" t="s">
        <v>404</v>
      </c>
      <c r="C245" s="49">
        <v>13</v>
      </c>
      <c r="D245" s="49">
        <v>1.1000000000000001</v>
      </c>
      <c r="E245" s="49">
        <v>1.9</v>
      </c>
      <c r="F245" s="49">
        <v>2.2000000000000002</v>
      </c>
      <c r="G245" s="49">
        <v>0.4</v>
      </c>
      <c r="H245" s="49">
        <v>2.2999999999999998</v>
      </c>
      <c r="I245" s="49">
        <v>0.6</v>
      </c>
      <c r="J245" s="49">
        <v>2.5</v>
      </c>
      <c r="K245" s="49">
        <v>0.1</v>
      </c>
      <c r="L245" s="49">
        <v>0.7</v>
      </c>
      <c r="M245" s="49">
        <v>2.5</v>
      </c>
    </row>
    <row r="246" spans="2:13" x14ac:dyDescent="0.25">
      <c r="B246" s="130" t="s">
        <v>89</v>
      </c>
      <c r="C246" s="49" t="s">
        <v>229</v>
      </c>
      <c r="D246" s="49" t="s">
        <v>229</v>
      </c>
      <c r="E246" s="49" t="s">
        <v>229</v>
      </c>
      <c r="F246" s="49" t="s">
        <v>229</v>
      </c>
      <c r="G246" s="49" t="s">
        <v>229</v>
      </c>
      <c r="H246" s="49" t="s">
        <v>229</v>
      </c>
      <c r="I246" s="49" t="s">
        <v>229</v>
      </c>
      <c r="J246" s="49" t="s">
        <v>229</v>
      </c>
      <c r="K246" s="49" t="s">
        <v>229</v>
      </c>
      <c r="L246" s="49" t="s">
        <v>229</v>
      </c>
      <c r="M246" s="49" t="s">
        <v>229</v>
      </c>
    </row>
    <row r="247" spans="2:13" x14ac:dyDescent="0.25">
      <c r="B247" s="229" t="s">
        <v>405</v>
      </c>
      <c r="C247" s="57"/>
      <c r="D247" s="57"/>
      <c r="E247" s="57"/>
      <c r="F247" s="57"/>
      <c r="G247" s="57"/>
      <c r="H247" s="57"/>
      <c r="I247" s="57"/>
      <c r="J247" s="57"/>
      <c r="K247" s="57"/>
      <c r="L247" s="57"/>
      <c r="M247" s="57"/>
    </row>
    <row r="248" spans="2:13" x14ac:dyDescent="0.25">
      <c r="B248" s="130" t="s">
        <v>406</v>
      </c>
      <c r="C248" s="49">
        <v>15</v>
      </c>
      <c r="D248" s="49">
        <v>1.5</v>
      </c>
      <c r="E248" s="49">
        <v>1.9</v>
      </c>
      <c r="F248" s="49">
        <v>3.2</v>
      </c>
      <c r="G248" s="49">
        <v>0.5</v>
      </c>
      <c r="H248" s="49">
        <v>2.4</v>
      </c>
      <c r="I248" s="49">
        <v>0.8</v>
      </c>
      <c r="J248" s="49">
        <v>1.3</v>
      </c>
      <c r="K248" s="49">
        <v>0.2</v>
      </c>
      <c r="L248" s="49">
        <v>1.4</v>
      </c>
      <c r="M248" s="49">
        <v>3.4</v>
      </c>
    </row>
    <row r="249" spans="2:13" x14ac:dyDescent="0.25">
      <c r="B249" s="130" t="s">
        <v>407</v>
      </c>
      <c r="C249" s="49">
        <v>14.9</v>
      </c>
      <c r="D249" s="49">
        <v>1.5</v>
      </c>
      <c r="E249" s="49">
        <v>2.2000000000000002</v>
      </c>
      <c r="F249" s="49">
        <v>3.1</v>
      </c>
      <c r="G249" s="49">
        <v>0.5</v>
      </c>
      <c r="H249" s="49">
        <v>2.2999999999999998</v>
      </c>
      <c r="I249" s="49">
        <v>0.8</v>
      </c>
      <c r="J249" s="49">
        <v>1</v>
      </c>
      <c r="K249" s="49">
        <v>0.2</v>
      </c>
      <c r="L249" s="49">
        <v>1.4</v>
      </c>
      <c r="M249" s="49">
        <v>3.8</v>
      </c>
    </row>
    <row r="250" spans="2:13" x14ac:dyDescent="0.25">
      <c r="B250" s="230" t="s">
        <v>408</v>
      </c>
      <c r="C250" s="63">
        <v>16.899999999999999</v>
      </c>
      <c r="D250" s="63">
        <v>1.7</v>
      </c>
      <c r="E250" s="63">
        <v>2.1</v>
      </c>
      <c r="F250" s="63">
        <v>3.3</v>
      </c>
      <c r="G250" s="63">
        <v>0.5</v>
      </c>
      <c r="H250" s="63">
        <v>2.4</v>
      </c>
      <c r="I250" s="63">
        <v>1.3</v>
      </c>
      <c r="J250" s="63">
        <v>1.8</v>
      </c>
      <c r="K250" s="63">
        <v>0.2</v>
      </c>
      <c r="L250" s="63">
        <v>1.2</v>
      </c>
      <c r="M250" s="63">
        <v>4.7</v>
      </c>
    </row>
    <row r="251" spans="2:13" x14ac:dyDescent="0.25">
      <c r="B251" s="130" t="s">
        <v>409</v>
      </c>
      <c r="C251" s="49">
        <v>13.5</v>
      </c>
      <c r="D251" s="49">
        <v>1.4</v>
      </c>
      <c r="E251" s="49">
        <v>2</v>
      </c>
      <c r="F251" s="49">
        <v>2.5</v>
      </c>
      <c r="G251" s="49">
        <v>0.4</v>
      </c>
      <c r="H251" s="49">
        <v>2.2999999999999998</v>
      </c>
      <c r="I251" s="49">
        <v>0.6</v>
      </c>
      <c r="J251" s="49">
        <v>1.1000000000000001</v>
      </c>
      <c r="K251" s="49">
        <v>0.1</v>
      </c>
      <c r="L251" s="49">
        <v>1.6</v>
      </c>
      <c r="M251" s="49">
        <v>3</v>
      </c>
    </row>
    <row r="252" spans="2:13" x14ac:dyDescent="0.25">
      <c r="B252" s="130" t="s">
        <v>410</v>
      </c>
      <c r="C252" s="49">
        <v>13.6</v>
      </c>
      <c r="D252" s="49">
        <v>1.5</v>
      </c>
      <c r="E252" s="49">
        <v>2.1</v>
      </c>
      <c r="F252" s="49">
        <v>2.5</v>
      </c>
      <c r="G252" s="49">
        <v>0.5</v>
      </c>
      <c r="H252" s="49">
        <v>2.2999999999999998</v>
      </c>
      <c r="I252" s="49">
        <v>0.9</v>
      </c>
      <c r="J252" s="49">
        <v>1.4</v>
      </c>
      <c r="K252" s="49">
        <v>0.2</v>
      </c>
      <c r="L252" s="49">
        <v>1</v>
      </c>
      <c r="M252" s="49">
        <v>3.1</v>
      </c>
    </row>
    <row r="253" spans="2:13" x14ac:dyDescent="0.25">
      <c r="B253" s="130" t="s">
        <v>411</v>
      </c>
      <c r="C253" s="49">
        <v>15.6</v>
      </c>
      <c r="D253" s="49">
        <v>1.6</v>
      </c>
      <c r="E253" s="49">
        <v>2.2000000000000002</v>
      </c>
      <c r="F253" s="49">
        <v>3.2</v>
      </c>
      <c r="G253" s="49">
        <v>0.5</v>
      </c>
      <c r="H253" s="49">
        <v>2.4</v>
      </c>
      <c r="I253" s="49">
        <v>0.8</v>
      </c>
      <c r="J253" s="49">
        <v>1.3</v>
      </c>
      <c r="K253" s="49">
        <v>0.2</v>
      </c>
      <c r="L253" s="49">
        <v>1.5</v>
      </c>
      <c r="M253" s="49">
        <v>3.9</v>
      </c>
    </row>
    <row r="254" spans="2:13" x14ac:dyDescent="0.25">
      <c r="B254" s="230" t="s">
        <v>412</v>
      </c>
      <c r="C254" s="63">
        <v>11.9</v>
      </c>
      <c r="D254" s="63">
        <v>1.3</v>
      </c>
      <c r="E254" s="63">
        <v>2.1</v>
      </c>
      <c r="F254" s="63">
        <v>2</v>
      </c>
      <c r="G254" s="63">
        <v>0.5</v>
      </c>
      <c r="H254" s="63">
        <v>2.1</v>
      </c>
      <c r="I254" s="63">
        <v>0.9</v>
      </c>
      <c r="J254" s="63">
        <v>1.8</v>
      </c>
      <c r="K254" s="63">
        <v>0.1</v>
      </c>
      <c r="L254" s="63">
        <v>0.4</v>
      </c>
      <c r="M254" s="63">
        <v>2.4</v>
      </c>
    </row>
    <row r="255" spans="2:13" x14ac:dyDescent="0.25">
      <c r="B255" s="130" t="s">
        <v>413</v>
      </c>
      <c r="C255" s="49">
        <v>10.4</v>
      </c>
      <c r="D255" s="49">
        <v>1.5</v>
      </c>
      <c r="E255" s="49">
        <v>1.7</v>
      </c>
      <c r="F255" s="49">
        <v>1.7</v>
      </c>
      <c r="G255" s="49">
        <v>0.5</v>
      </c>
      <c r="H255" s="49">
        <v>2.1</v>
      </c>
      <c r="I255" s="49">
        <v>1.1000000000000001</v>
      </c>
      <c r="J255" s="49">
        <v>1.3</v>
      </c>
      <c r="K255" s="49">
        <v>0.1</v>
      </c>
      <c r="L255" s="49">
        <v>0.5</v>
      </c>
      <c r="M255" s="49">
        <v>2.1</v>
      </c>
    </row>
    <row r="256" spans="2:13" x14ac:dyDescent="0.25">
      <c r="B256" s="131" t="s">
        <v>414</v>
      </c>
      <c r="C256" s="62"/>
      <c r="D256" s="62"/>
      <c r="E256" s="62"/>
      <c r="F256" s="62"/>
      <c r="G256" s="62"/>
      <c r="H256" s="62"/>
      <c r="I256" s="62"/>
      <c r="J256" s="62"/>
      <c r="K256" s="62"/>
      <c r="L256" s="62"/>
      <c r="M256" s="62"/>
    </row>
    <row r="257" spans="2:13" x14ac:dyDescent="0.25">
      <c r="B257" s="130" t="s">
        <v>169</v>
      </c>
      <c r="C257" s="49">
        <v>11.7</v>
      </c>
      <c r="D257" s="49">
        <v>1.4</v>
      </c>
      <c r="E257" s="49">
        <v>1.8</v>
      </c>
      <c r="F257" s="49">
        <v>2.2000000000000002</v>
      </c>
      <c r="G257" s="49">
        <v>0.5</v>
      </c>
      <c r="H257" s="49">
        <v>2.2000000000000002</v>
      </c>
      <c r="I257" s="49">
        <v>0.7</v>
      </c>
      <c r="J257" s="49">
        <v>1.3</v>
      </c>
      <c r="K257" s="49">
        <v>0.2</v>
      </c>
      <c r="L257" s="49">
        <v>0.7</v>
      </c>
      <c r="M257" s="49">
        <v>2.5</v>
      </c>
    </row>
    <row r="258" spans="2:13" x14ac:dyDescent="0.25">
      <c r="B258" s="130" t="s">
        <v>139</v>
      </c>
      <c r="C258" s="49">
        <v>11.7</v>
      </c>
      <c r="D258" s="49">
        <v>1.3</v>
      </c>
      <c r="E258" s="49">
        <v>1.9</v>
      </c>
      <c r="F258" s="49">
        <v>2.2999999999999998</v>
      </c>
      <c r="G258" s="49">
        <v>0.5</v>
      </c>
      <c r="H258" s="49">
        <v>2.1</v>
      </c>
      <c r="I258" s="49">
        <v>0.7</v>
      </c>
      <c r="J258" s="49">
        <v>1</v>
      </c>
      <c r="K258" s="49">
        <v>0.2</v>
      </c>
      <c r="L258" s="49">
        <v>0.9</v>
      </c>
      <c r="M258" s="49">
        <v>2.4</v>
      </c>
    </row>
    <row r="259" spans="2:13" x14ac:dyDescent="0.25">
      <c r="B259" s="130" t="s">
        <v>415</v>
      </c>
      <c r="C259" s="49"/>
      <c r="D259" s="49"/>
      <c r="E259" s="49"/>
      <c r="F259" s="49"/>
      <c r="G259" s="49"/>
      <c r="H259" s="49"/>
      <c r="I259" s="49"/>
      <c r="J259" s="49"/>
      <c r="K259" s="49"/>
      <c r="L259" s="49"/>
      <c r="M259" s="49"/>
    </row>
    <row r="260" spans="2:13" x14ac:dyDescent="0.25">
      <c r="B260" s="130" t="s">
        <v>416</v>
      </c>
      <c r="C260" s="49">
        <v>12.7</v>
      </c>
      <c r="D260" s="49">
        <v>1.7</v>
      </c>
      <c r="E260" s="49">
        <v>2</v>
      </c>
      <c r="F260" s="49">
        <v>2.2999999999999998</v>
      </c>
      <c r="G260" s="49">
        <v>0.5</v>
      </c>
      <c r="H260" s="49">
        <v>2.1</v>
      </c>
      <c r="I260" s="49">
        <v>0.9</v>
      </c>
      <c r="J260" s="49">
        <v>1.4</v>
      </c>
      <c r="K260" s="49">
        <v>0.2</v>
      </c>
      <c r="L260" s="49">
        <v>0.9</v>
      </c>
      <c r="M260" s="49">
        <v>3</v>
      </c>
    </row>
    <row r="261" spans="2:13" x14ac:dyDescent="0.25">
      <c r="B261" s="130" t="s">
        <v>417</v>
      </c>
      <c r="C261" s="49">
        <v>13.4</v>
      </c>
      <c r="D261" s="49">
        <v>1.5</v>
      </c>
      <c r="E261" s="49">
        <v>2</v>
      </c>
      <c r="F261" s="49">
        <v>2.1</v>
      </c>
      <c r="G261" s="49">
        <v>0.7</v>
      </c>
      <c r="H261" s="49">
        <v>2.4</v>
      </c>
      <c r="I261" s="49">
        <v>1.1000000000000001</v>
      </c>
      <c r="J261" s="49">
        <v>1.6</v>
      </c>
      <c r="K261" s="49">
        <v>0.2</v>
      </c>
      <c r="L261" s="49">
        <v>1.1000000000000001</v>
      </c>
      <c r="M261" s="49">
        <v>3</v>
      </c>
    </row>
    <row r="262" spans="2:13" x14ac:dyDescent="0.25">
      <c r="B262" s="230" t="s">
        <v>418</v>
      </c>
      <c r="C262" s="63">
        <v>14.5</v>
      </c>
      <c r="D262" s="63">
        <v>1.2</v>
      </c>
      <c r="E262" s="63">
        <v>2.1</v>
      </c>
      <c r="F262" s="63">
        <v>3.2</v>
      </c>
      <c r="G262" s="63">
        <v>0.4</v>
      </c>
      <c r="H262" s="63">
        <v>2.6</v>
      </c>
      <c r="I262" s="63">
        <v>0.5</v>
      </c>
      <c r="J262" s="63">
        <v>1.2</v>
      </c>
      <c r="K262" s="63">
        <v>0.2</v>
      </c>
      <c r="L262" s="63">
        <v>1.1000000000000001</v>
      </c>
      <c r="M262" s="63">
        <v>3.2</v>
      </c>
    </row>
    <row r="263" spans="2:13" x14ac:dyDescent="0.25">
      <c r="B263" s="131" t="s">
        <v>419</v>
      </c>
      <c r="C263" s="62"/>
      <c r="D263" s="62"/>
      <c r="E263" s="62"/>
      <c r="F263" s="62"/>
      <c r="G263" s="62"/>
      <c r="H263" s="62"/>
      <c r="I263" s="62"/>
      <c r="J263" s="62"/>
      <c r="K263" s="62"/>
      <c r="L263" s="62"/>
      <c r="M263" s="62"/>
    </row>
    <row r="264" spans="2:13" x14ac:dyDescent="0.25">
      <c r="B264" s="130" t="s">
        <v>420</v>
      </c>
      <c r="C264" s="49">
        <v>16.399999999999999</v>
      </c>
      <c r="D264" s="49">
        <v>1.6</v>
      </c>
      <c r="E264" s="49">
        <v>2.2000000000000002</v>
      </c>
      <c r="F264" s="49">
        <v>3.3</v>
      </c>
      <c r="G264" s="49">
        <v>0.5</v>
      </c>
      <c r="H264" s="49">
        <v>2.5</v>
      </c>
      <c r="I264" s="49">
        <v>0.8</v>
      </c>
      <c r="J264" s="49">
        <v>1.3</v>
      </c>
      <c r="K264" s="49">
        <v>0.2</v>
      </c>
      <c r="L264" s="49">
        <v>1.9</v>
      </c>
      <c r="M264" s="49">
        <v>4.0999999999999996</v>
      </c>
    </row>
    <row r="265" spans="2:13" x14ac:dyDescent="0.25">
      <c r="B265" s="130" t="s">
        <v>421</v>
      </c>
      <c r="C265" s="49">
        <v>12.8</v>
      </c>
      <c r="D265" s="49">
        <v>1.2</v>
      </c>
      <c r="E265" s="49">
        <v>1.8</v>
      </c>
      <c r="F265" s="49">
        <v>2.8</v>
      </c>
      <c r="G265" s="49">
        <v>0.6</v>
      </c>
      <c r="H265" s="49">
        <v>2.4</v>
      </c>
      <c r="I265" s="49">
        <v>0.5</v>
      </c>
      <c r="J265" s="49">
        <v>1.5</v>
      </c>
      <c r="K265" s="49">
        <v>0.1</v>
      </c>
      <c r="L265" s="49">
        <v>0.8</v>
      </c>
      <c r="M265" s="49">
        <v>2.7</v>
      </c>
    </row>
    <row r="266" spans="2:13" x14ac:dyDescent="0.25">
      <c r="B266" s="130" t="s">
        <v>422</v>
      </c>
      <c r="C266" s="49">
        <v>18.3</v>
      </c>
      <c r="D266" s="49">
        <v>2.2999999999999998</v>
      </c>
      <c r="E266" s="49">
        <v>1.7</v>
      </c>
      <c r="F266" s="49">
        <v>3.8</v>
      </c>
      <c r="G266" s="49">
        <v>1.1000000000000001</v>
      </c>
      <c r="H266" s="49">
        <v>3.1</v>
      </c>
      <c r="I266" s="49">
        <v>0.7</v>
      </c>
      <c r="J266" s="49">
        <v>1.1000000000000001</v>
      </c>
      <c r="K266" s="49">
        <v>0.2</v>
      </c>
      <c r="L266" s="49" t="s">
        <v>229</v>
      </c>
      <c r="M266" s="49">
        <v>4.4000000000000004</v>
      </c>
    </row>
    <row r="267" spans="2:13" x14ac:dyDescent="0.25">
      <c r="B267" s="131" t="s">
        <v>423</v>
      </c>
      <c r="C267" s="62"/>
      <c r="D267" s="62"/>
      <c r="E267" s="62"/>
      <c r="F267" s="62"/>
      <c r="G267" s="62"/>
      <c r="H267" s="62"/>
      <c r="I267" s="62"/>
      <c r="J267" s="62"/>
      <c r="K267" s="62"/>
      <c r="L267" s="62"/>
      <c r="M267" s="62"/>
    </row>
    <row r="268" spans="2:13" x14ac:dyDescent="0.25">
      <c r="B268" s="130" t="s">
        <v>424</v>
      </c>
      <c r="C268" s="49">
        <v>14.7</v>
      </c>
      <c r="D268" s="49">
        <v>1.5</v>
      </c>
      <c r="E268" s="49">
        <v>2</v>
      </c>
      <c r="F268" s="49">
        <v>2.6</v>
      </c>
      <c r="G268" s="49">
        <v>0.7</v>
      </c>
      <c r="H268" s="49">
        <v>3.2</v>
      </c>
      <c r="I268" s="49">
        <v>0.8</v>
      </c>
      <c r="J268" s="49">
        <v>1.4</v>
      </c>
      <c r="K268" s="49">
        <v>0.2</v>
      </c>
      <c r="L268" s="49">
        <v>1</v>
      </c>
      <c r="M268" s="49">
        <v>3.2</v>
      </c>
    </row>
    <row r="269" spans="2:13" x14ac:dyDescent="0.25">
      <c r="B269" s="130" t="s">
        <v>425</v>
      </c>
      <c r="C269" s="49">
        <v>12.7</v>
      </c>
      <c r="D269" s="49">
        <v>1.5</v>
      </c>
      <c r="E269" s="49">
        <v>2</v>
      </c>
      <c r="F269" s="49">
        <v>2.4</v>
      </c>
      <c r="G269" s="49">
        <v>0.5</v>
      </c>
      <c r="H269" s="49">
        <v>2.2000000000000002</v>
      </c>
      <c r="I269" s="49">
        <v>0.8</v>
      </c>
      <c r="J269" s="49">
        <v>1.3</v>
      </c>
      <c r="K269" s="49">
        <v>0.2</v>
      </c>
      <c r="L269" s="49">
        <v>1</v>
      </c>
      <c r="M269" s="49">
        <v>3</v>
      </c>
    </row>
    <row r="270" spans="2:13" x14ac:dyDescent="0.25">
      <c r="B270" s="130" t="s">
        <v>426</v>
      </c>
      <c r="C270" s="49">
        <v>14.8</v>
      </c>
      <c r="D270" s="49">
        <v>1.5</v>
      </c>
      <c r="E270" s="49">
        <v>2</v>
      </c>
      <c r="F270" s="49">
        <v>3</v>
      </c>
      <c r="G270" s="49">
        <v>0.6</v>
      </c>
      <c r="H270" s="49">
        <v>2.6</v>
      </c>
      <c r="I270" s="49">
        <v>0.7</v>
      </c>
      <c r="J270" s="49">
        <v>1.3</v>
      </c>
      <c r="K270" s="49">
        <v>0.2</v>
      </c>
      <c r="L270" s="49">
        <v>1.2</v>
      </c>
      <c r="M270" s="49">
        <v>3.3</v>
      </c>
    </row>
    <row r="271" spans="2:13" x14ac:dyDescent="0.25">
      <c r="B271" s="230" t="s">
        <v>427</v>
      </c>
      <c r="C271" s="63">
        <v>14.5</v>
      </c>
      <c r="D271" s="63">
        <v>1.1000000000000001</v>
      </c>
      <c r="E271" s="63">
        <v>2.1</v>
      </c>
      <c r="F271" s="63">
        <v>2.9</v>
      </c>
      <c r="G271" s="63">
        <v>0.4</v>
      </c>
      <c r="H271" s="63">
        <v>2.9</v>
      </c>
      <c r="I271" s="63">
        <v>0.6</v>
      </c>
      <c r="J271" s="63">
        <v>0.9</v>
      </c>
      <c r="K271" s="63">
        <v>0.1</v>
      </c>
      <c r="L271" s="63">
        <v>1.5</v>
      </c>
      <c r="M271" s="63">
        <v>3.5</v>
      </c>
    </row>
    <row r="272" spans="2:13" x14ac:dyDescent="0.25">
      <c r="B272" s="130" t="s">
        <v>428</v>
      </c>
      <c r="C272" s="49">
        <v>15.4</v>
      </c>
      <c r="D272" s="49">
        <v>1.2</v>
      </c>
      <c r="E272" s="49">
        <v>2.2000000000000002</v>
      </c>
      <c r="F272" s="49">
        <v>2.8</v>
      </c>
      <c r="G272" s="49">
        <v>0.7</v>
      </c>
      <c r="H272" s="49">
        <v>3.2</v>
      </c>
      <c r="I272" s="49">
        <v>0.9</v>
      </c>
      <c r="J272" s="49">
        <v>1.6</v>
      </c>
      <c r="K272" s="49">
        <v>0.2</v>
      </c>
      <c r="L272" s="49">
        <v>1.1000000000000001</v>
      </c>
      <c r="M272" s="49">
        <v>3.1</v>
      </c>
    </row>
    <row r="273" spans="2:13" x14ac:dyDescent="0.25">
      <c r="B273" s="130" t="s">
        <v>429</v>
      </c>
      <c r="C273" s="49">
        <v>13.9</v>
      </c>
      <c r="D273" s="49">
        <v>1.5</v>
      </c>
      <c r="E273" s="49">
        <v>2</v>
      </c>
      <c r="F273" s="49">
        <v>2.7</v>
      </c>
      <c r="G273" s="49">
        <v>0.6</v>
      </c>
      <c r="H273" s="49">
        <v>2.2999999999999998</v>
      </c>
      <c r="I273" s="49">
        <v>0.8</v>
      </c>
      <c r="J273" s="49">
        <v>1.5</v>
      </c>
      <c r="K273" s="49">
        <v>0.2</v>
      </c>
      <c r="L273" s="49">
        <v>1.1000000000000001</v>
      </c>
      <c r="M273" s="49">
        <v>3.2</v>
      </c>
    </row>
    <row r="274" spans="2:13" x14ac:dyDescent="0.25">
      <c r="B274" s="130" t="s">
        <v>89</v>
      </c>
      <c r="C274" s="49" t="s">
        <v>229</v>
      </c>
      <c r="D274" s="49" t="s">
        <v>229</v>
      </c>
      <c r="E274" s="49" t="s">
        <v>229</v>
      </c>
      <c r="F274" s="49" t="s">
        <v>229</v>
      </c>
      <c r="G274" s="49" t="s">
        <v>229</v>
      </c>
      <c r="H274" s="49" t="s">
        <v>229</v>
      </c>
      <c r="I274" s="49" t="s">
        <v>229</v>
      </c>
      <c r="J274" s="49" t="s">
        <v>229</v>
      </c>
      <c r="K274" s="49" t="s">
        <v>229</v>
      </c>
      <c r="L274" s="49" t="s">
        <v>229</v>
      </c>
      <c r="M274" s="49" t="s">
        <v>229</v>
      </c>
    </row>
    <row r="275" spans="2:13" x14ac:dyDescent="0.25">
      <c r="B275" s="131" t="s">
        <v>430</v>
      </c>
      <c r="C275" s="62"/>
      <c r="D275" s="62"/>
      <c r="E275" s="62"/>
      <c r="F275" s="62"/>
      <c r="G275" s="62"/>
      <c r="H275" s="62"/>
      <c r="I275" s="62"/>
      <c r="J275" s="62"/>
      <c r="K275" s="62"/>
      <c r="L275" s="62"/>
      <c r="M275" s="62"/>
    </row>
    <row r="276" spans="2:13" x14ac:dyDescent="0.25">
      <c r="B276" s="130" t="s">
        <v>431</v>
      </c>
      <c r="C276" s="49">
        <v>13.5</v>
      </c>
      <c r="D276" s="49">
        <v>1.5</v>
      </c>
      <c r="E276" s="49">
        <v>2</v>
      </c>
      <c r="F276" s="49">
        <v>2.5</v>
      </c>
      <c r="G276" s="49">
        <v>0.5</v>
      </c>
      <c r="H276" s="49">
        <v>2.2999999999999998</v>
      </c>
      <c r="I276" s="49">
        <v>0.9</v>
      </c>
      <c r="J276" s="49">
        <v>1.4</v>
      </c>
      <c r="K276" s="49">
        <v>0.2</v>
      </c>
      <c r="L276" s="49">
        <v>0.9</v>
      </c>
      <c r="M276" s="49">
        <v>3.1</v>
      </c>
    </row>
    <row r="277" spans="2:13" x14ac:dyDescent="0.25">
      <c r="B277" s="130" t="s">
        <v>432</v>
      </c>
      <c r="C277" s="49">
        <v>18.600000000000001</v>
      </c>
      <c r="D277" s="49">
        <v>1.8</v>
      </c>
      <c r="E277" s="49">
        <v>2.4</v>
      </c>
      <c r="F277" s="49">
        <v>3.6</v>
      </c>
      <c r="G277" s="49">
        <v>0.9</v>
      </c>
      <c r="H277" s="49">
        <v>2.8</v>
      </c>
      <c r="I277" s="49">
        <v>1.1000000000000001</v>
      </c>
      <c r="J277" s="49">
        <v>2.7</v>
      </c>
      <c r="K277" s="49">
        <v>0.2</v>
      </c>
      <c r="L277" s="49">
        <v>0.9</v>
      </c>
      <c r="M277" s="49">
        <v>4.0999999999999996</v>
      </c>
    </row>
    <row r="278" spans="2:13" x14ac:dyDescent="0.25">
      <c r="B278" s="130" t="s">
        <v>433</v>
      </c>
      <c r="C278" s="49">
        <v>17.5</v>
      </c>
      <c r="D278" s="49">
        <v>1.7</v>
      </c>
      <c r="E278" s="49">
        <v>2.2000000000000002</v>
      </c>
      <c r="F278" s="49">
        <v>3.3</v>
      </c>
      <c r="G278" s="49">
        <v>0.7</v>
      </c>
      <c r="H278" s="49">
        <v>2.7</v>
      </c>
      <c r="I278" s="49">
        <v>1.1000000000000001</v>
      </c>
      <c r="J278" s="49">
        <v>2.6</v>
      </c>
      <c r="K278" s="49">
        <v>0.2</v>
      </c>
      <c r="L278" s="49">
        <v>1.1000000000000001</v>
      </c>
      <c r="M278" s="49">
        <v>3.6</v>
      </c>
    </row>
    <row r="279" spans="2:13" x14ac:dyDescent="0.25">
      <c r="B279" s="130" t="s">
        <v>434</v>
      </c>
      <c r="C279" s="49">
        <v>23.9</v>
      </c>
      <c r="D279" s="49">
        <v>1.5</v>
      </c>
      <c r="E279" s="49">
        <v>2.1</v>
      </c>
      <c r="F279" s="49">
        <v>3.1</v>
      </c>
      <c r="G279" s="49">
        <v>0.7</v>
      </c>
      <c r="H279" s="49">
        <v>2.8</v>
      </c>
      <c r="I279" s="49">
        <v>1.3</v>
      </c>
      <c r="J279" s="49">
        <v>6.2</v>
      </c>
      <c r="K279" s="49">
        <v>0.2</v>
      </c>
      <c r="L279" s="49">
        <v>0.8</v>
      </c>
      <c r="M279" s="49">
        <v>7</v>
      </c>
    </row>
    <row r="280" spans="2:13" x14ac:dyDescent="0.25">
      <c r="B280" s="130" t="s">
        <v>435</v>
      </c>
      <c r="C280" s="49">
        <v>16.399999999999999</v>
      </c>
      <c r="D280" s="49">
        <v>1.6</v>
      </c>
      <c r="E280" s="49">
        <v>2.4</v>
      </c>
      <c r="F280" s="49">
        <v>3.3</v>
      </c>
      <c r="G280" s="49">
        <v>0.7</v>
      </c>
      <c r="H280" s="49">
        <v>2.6</v>
      </c>
      <c r="I280" s="49">
        <v>1</v>
      </c>
      <c r="J280" s="49">
        <v>2.1</v>
      </c>
      <c r="K280" s="49">
        <v>0.2</v>
      </c>
      <c r="L280" s="49">
        <v>0.9</v>
      </c>
      <c r="M280" s="49">
        <v>3.5</v>
      </c>
    </row>
    <row r="281" spans="2:13" x14ac:dyDescent="0.25">
      <c r="B281" s="230" t="s">
        <v>436</v>
      </c>
      <c r="C281" s="63">
        <v>12.7</v>
      </c>
      <c r="D281" s="63">
        <v>1.5</v>
      </c>
      <c r="E281" s="63">
        <v>1.9</v>
      </c>
      <c r="F281" s="63">
        <v>2.4</v>
      </c>
      <c r="G281" s="63">
        <v>0.5</v>
      </c>
      <c r="H281" s="63">
        <v>2.2999999999999998</v>
      </c>
      <c r="I281" s="63">
        <v>0.7</v>
      </c>
      <c r="J281" s="63">
        <v>1.1000000000000001</v>
      </c>
      <c r="K281" s="63">
        <v>0.2</v>
      </c>
      <c r="L281" s="63">
        <v>0.9</v>
      </c>
      <c r="M281" s="63">
        <v>2.9</v>
      </c>
    </row>
    <row r="282" spans="2:13" x14ac:dyDescent="0.25">
      <c r="B282" s="130" t="s">
        <v>437</v>
      </c>
      <c r="C282" s="49">
        <v>14.5</v>
      </c>
      <c r="D282" s="49">
        <v>1.5</v>
      </c>
      <c r="E282" s="49">
        <v>2.1</v>
      </c>
      <c r="F282" s="49">
        <v>3</v>
      </c>
      <c r="G282" s="49">
        <v>0.5</v>
      </c>
      <c r="H282" s="49">
        <v>2.6</v>
      </c>
      <c r="I282" s="49">
        <v>0.6</v>
      </c>
      <c r="J282" s="49">
        <v>1.3</v>
      </c>
      <c r="K282" s="49">
        <v>0.2</v>
      </c>
      <c r="L282" s="49">
        <v>1</v>
      </c>
      <c r="M282" s="49">
        <v>3.3</v>
      </c>
    </row>
    <row r="283" spans="2:13" x14ac:dyDescent="0.25">
      <c r="B283" s="130" t="s">
        <v>438</v>
      </c>
      <c r="C283" s="49">
        <v>8.5</v>
      </c>
      <c r="D283" s="49">
        <v>1.5</v>
      </c>
      <c r="E283" s="49">
        <v>2.1</v>
      </c>
      <c r="F283" s="49">
        <v>1.4</v>
      </c>
      <c r="G283" s="49">
        <v>0.3</v>
      </c>
      <c r="H283" s="49">
        <v>1.7</v>
      </c>
      <c r="I283" s="49">
        <v>0.5</v>
      </c>
      <c r="J283" s="49" t="s">
        <v>361</v>
      </c>
      <c r="K283" s="49">
        <v>0.1</v>
      </c>
      <c r="L283" s="49">
        <v>1.2</v>
      </c>
      <c r="M283" s="49">
        <v>2.6</v>
      </c>
    </row>
    <row r="284" spans="2:13" x14ac:dyDescent="0.25">
      <c r="B284" s="131" t="s">
        <v>439</v>
      </c>
      <c r="C284" s="62"/>
      <c r="D284" s="62"/>
      <c r="E284" s="62"/>
      <c r="F284" s="62"/>
      <c r="G284" s="62"/>
      <c r="H284" s="62"/>
      <c r="I284" s="62"/>
      <c r="J284" s="62"/>
      <c r="K284" s="62"/>
      <c r="L284" s="62"/>
      <c r="M284" s="62"/>
    </row>
    <row r="285" spans="2:13" x14ac:dyDescent="0.25">
      <c r="B285" s="130" t="s">
        <v>440</v>
      </c>
      <c r="C285" s="49">
        <v>13.2</v>
      </c>
      <c r="D285" s="49">
        <v>1.5</v>
      </c>
      <c r="E285" s="49">
        <v>2</v>
      </c>
      <c r="F285" s="49">
        <v>2.5</v>
      </c>
      <c r="G285" s="49">
        <v>0.5</v>
      </c>
      <c r="H285" s="49">
        <v>2.2999999999999998</v>
      </c>
      <c r="I285" s="49">
        <v>0.9</v>
      </c>
      <c r="J285" s="49">
        <v>1.4</v>
      </c>
      <c r="K285" s="49">
        <v>0.2</v>
      </c>
      <c r="L285" s="49">
        <v>0.9</v>
      </c>
      <c r="M285" s="49">
        <v>3.1</v>
      </c>
    </row>
    <row r="286" spans="2:13" x14ac:dyDescent="0.25">
      <c r="B286" s="130" t="s">
        <v>441</v>
      </c>
      <c r="C286" s="49">
        <v>13.9</v>
      </c>
      <c r="D286" s="49">
        <v>1.4</v>
      </c>
      <c r="E286" s="49">
        <v>1.9</v>
      </c>
      <c r="F286" s="49">
        <v>2.8</v>
      </c>
      <c r="G286" s="49">
        <v>0.4</v>
      </c>
      <c r="H286" s="49">
        <v>2.4</v>
      </c>
      <c r="I286" s="49">
        <v>0.6</v>
      </c>
      <c r="J286" s="49">
        <v>1.1000000000000001</v>
      </c>
      <c r="K286" s="49">
        <v>0.2</v>
      </c>
      <c r="L286" s="49">
        <v>1.2</v>
      </c>
      <c r="M286" s="49">
        <v>3.3</v>
      </c>
    </row>
    <row r="287" spans="2:13" x14ac:dyDescent="0.25">
      <c r="B287" s="130" t="s">
        <v>442</v>
      </c>
      <c r="C287" s="49">
        <v>13.1</v>
      </c>
      <c r="D287" s="49">
        <v>1.4</v>
      </c>
      <c r="E287" s="49">
        <v>1.9</v>
      </c>
      <c r="F287" s="49">
        <v>2.5</v>
      </c>
      <c r="G287" s="49">
        <v>0.5</v>
      </c>
      <c r="H287" s="49">
        <v>2.2999999999999998</v>
      </c>
      <c r="I287" s="49">
        <v>0.7</v>
      </c>
      <c r="J287" s="49">
        <v>1.2</v>
      </c>
      <c r="K287" s="49">
        <v>0.2</v>
      </c>
      <c r="L287" s="49">
        <v>1</v>
      </c>
      <c r="M287" s="49">
        <v>3</v>
      </c>
    </row>
    <row r="288" spans="2:13" x14ac:dyDescent="0.25">
      <c r="B288" s="130" t="s">
        <v>443</v>
      </c>
      <c r="C288" s="49">
        <v>14.1</v>
      </c>
      <c r="D288" s="49">
        <v>1.5</v>
      </c>
      <c r="E288" s="49">
        <v>1.9</v>
      </c>
      <c r="F288" s="49">
        <v>2.7</v>
      </c>
      <c r="G288" s="49">
        <v>0.5</v>
      </c>
      <c r="H288" s="49">
        <v>2.5</v>
      </c>
      <c r="I288" s="49">
        <v>0.6</v>
      </c>
      <c r="J288" s="49">
        <v>1.2</v>
      </c>
      <c r="K288" s="49">
        <v>0.2</v>
      </c>
      <c r="L288" s="49">
        <v>1.4</v>
      </c>
      <c r="M288" s="49">
        <v>3.1</v>
      </c>
    </row>
    <row r="289" spans="2:13" x14ac:dyDescent="0.25">
      <c r="B289" s="130" t="s">
        <v>444</v>
      </c>
      <c r="C289" s="49">
        <v>14.3</v>
      </c>
      <c r="D289" s="49">
        <v>1.5</v>
      </c>
      <c r="E289" s="49">
        <v>2</v>
      </c>
      <c r="F289" s="49">
        <v>2.8</v>
      </c>
      <c r="G289" s="49">
        <v>0.6</v>
      </c>
      <c r="H289" s="49">
        <v>2.5</v>
      </c>
      <c r="I289" s="49">
        <v>0.7</v>
      </c>
      <c r="J289" s="49">
        <v>1.3</v>
      </c>
      <c r="K289" s="49">
        <v>0.2</v>
      </c>
      <c r="L289" s="49">
        <v>1.2</v>
      </c>
      <c r="M289" s="49">
        <v>3.2</v>
      </c>
    </row>
    <row r="290" spans="2:13" x14ac:dyDescent="0.25">
      <c r="B290" s="230" t="s">
        <v>445</v>
      </c>
      <c r="C290" s="63">
        <v>13.3</v>
      </c>
      <c r="D290" s="63">
        <v>1.5</v>
      </c>
      <c r="E290" s="63">
        <v>1.9</v>
      </c>
      <c r="F290" s="63">
        <v>2.7</v>
      </c>
      <c r="G290" s="63">
        <v>0.5</v>
      </c>
      <c r="H290" s="63">
        <v>2.4</v>
      </c>
      <c r="I290" s="63">
        <v>0.5</v>
      </c>
      <c r="J290" s="63">
        <v>1</v>
      </c>
      <c r="K290" s="63">
        <v>0.2</v>
      </c>
      <c r="L290" s="63">
        <v>1.1000000000000001</v>
      </c>
      <c r="M290" s="63">
        <v>3.1</v>
      </c>
    </row>
    <row r="291" spans="2:13" x14ac:dyDescent="0.25">
      <c r="B291" s="130" t="s">
        <v>446</v>
      </c>
      <c r="C291" s="49">
        <v>13.2</v>
      </c>
      <c r="D291" s="49">
        <v>1.5</v>
      </c>
      <c r="E291" s="49">
        <v>2</v>
      </c>
      <c r="F291" s="49">
        <v>2.5</v>
      </c>
      <c r="G291" s="49">
        <v>0.5</v>
      </c>
      <c r="H291" s="49">
        <v>2.2999999999999998</v>
      </c>
      <c r="I291" s="49">
        <v>0.8</v>
      </c>
      <c r="J291" s="49">
        <v>1.3</v>
      </c>
      <c r="K291" s="49">
        <v>0.2</v>
      </c>
      <c r="L291" s="49">
        <v>0.9</v>
      </c>
      <c r="M291" s="49">
        <v>3.1</v>
      </c>
    </row>
    <row r="292" spans="2:13" x14ac:dyDescent="0.25">
      <c r="B292" s="130" t="s">
        <v>447</v>
      </c>
      <c r="C292" s="49">
        <v>12.7</v>
      </c>
      <c r="D292" s="49">
        <v>1.5</v>
      </c>
      <c r="E292" s="49">
        <v>1.9</v>
      </c>
      <c r="F292" s="49">
        <v>2.6</v>
      </c>
      <c r="G292" s="49">
        <v>0.5</v>
      </c>
      <c r="H292" s="49">
        <v>2.1</v>
      </c>
      <c r="I292" s="49">
        <v>0.5</v>
      </c>
      <c r="J292" s="49">
        <v>0.7</v>
      </c>
      <c r="K292" s="49">
        <v>0.2</v>
      </c>
      <c r="L292" s="49">
        <v>1.2</v>
      </c>
      <c r="M292" s="49">
        <v>3.1</v>
      </c>
    </row>
    <row r="293" spans="2:13" x14ac:dyDescent="0.25">
      <c r="B293" s="130" t="s">
        <v>448</v>
      </c>
      <c r="C293" s="49">
        <v>13.9</v>
      </c>
      <c r="D293" s="49">
        <v>1.5</v>
      </c>
      <c r="E293" s="49">
        <v>2</v>
      </c>
      <c r="F293" s="49">
        <v>2.7</v>
      </c>
      <c r="G293" s="49">
        <v>0.6</v>
      </c>
      <c r="H293" s="49">
        <v>2.4</v>
      </c>
      <c r="I293" s="49">
        <v>0.7</v>
      </c>
      <c r="J293" s="49">
        <v>1.3</v>
      </c>
      <c r="K293" s="49">
        <v>0.2</v>
      </c>
      <c r="L293" s="49">
        <v>1</v>
      </c>
      <c r="M293" s="49">
        <v>3.1</v>
      </c>
    </row>
    <row r="294" spans="2:13" x14ac:dyDescent="0.25">
      <c r="B294" s="130" t="s">
        <v>449</v>
      </c>
      <c r="C294" s="49">
        <v>16.7</v>
      </c>
      <c r="D294" s="49">
        <v>1.8</v>
      </c>
      <c r="E294" s="49">
        <v>2.2000000000000002</v>
      </c>
      <c r="F294" s="49">
        <v>3.2</v>
      </c>
      <c r="G294" s="49">
        <v>0.7</v>
      </c>
      <c r="H294" s="49">
        <v>2.7</v>
      </c>
      <c r="I294" s="49">
        <v>1.1000000000000001</v>
      </c>
      <c r="J294" s="49">
        <v>2.2999999999999998</v>
      </c>
      <c r="K294" s="49">
        <v>0.2</v>
      </c>
      <c r="L294" s="49">
        <v>0.9</v>
      </c>
      <c r="M294" s="49">
        <v>3.5</v>
      </c>
    </row>
    <row r="295" spans="2:13" x14ac:dyDescent="0.25">
      <c r="B295" s="131" t="s">
        <v>450</v>
      </c>
      <c r="C295" s="62"/>
      <c r="D295" s="62"/>
      <c r="E295" s="62"/>
      <c r="F295" s="62"/>
      <c r="G295" s="62"/>
      <c r="H295" s="62"/>
      <c r="I295" s="62"/>
      <c r="J295" s="62"/>
      <c r="K295" s="62"/>
      <c r="L295" s="62"/>
      <c r="M295" s="62"/>
    </row>
    <row r="296" spans="2:13" x14ac:dyDescent="0.25">
      <c r="B296" s="130" t="s">
        <v>451</v>
      </c>
      <c r="C296" s="49">
        <v>15.4</v>
      </c>
      <c r="D296" s="49">
        <v>1.3</v>
      </c>
      <c r="E296" s="49">
        <v>2</v>
      </c>
      <c r="F296" s="49">
        <v>3.4</v>
      </c>
      <c r="G296" s="49">
        <v>0.6</v>
      </c>
      <c r="H296" s="49">
        <v>2.4</v>
      </c>
      <c r="I296" s="49">
        <v>0.6</v>
      </c>
      <c r="J296" s="49">
        <v>1.8</v>
      </c>
      <c r="K296" s="49">
        <v>0.2</v>
      </c>
      <c r="L296" s="49">
        <v>1</v>
      </c>
      <c r="M296" s="49">
        <v>3.3</v>
      </c>
    </row>
    <row r="297" spans="2:13" x14ac:dyDescent="0.25">
      <c r="B297" s="130" t="s">
        <v>452</v>
      </c>
      <c r="C297" s="49">
        <v>17.899999999999999</v>
      </c>
      <c r="D297" s="49">
        <v>1.6</v>
      </c>
      <c r="E297" s="49">
        <v>1.8</v>
      </c>
      <c r="F297" s="49">
        <v>4.2</v>
      </c>
      <c r="G297" s="49">
        <v>0.7</v>
      </c>
      <c r="H297" s="49">
        <v>3.2</v>
      </c>
      <c r="I297" s="49">
        <v>0.6</v>
      </c>
      <c r="J297" s="49">
        <v>2.2000000000000002</v>
      </c>
      <c r="K297" s="49">
        <v>0.2</v>
      </c>
      <c r="L297" s="49">
        <v>0.9</v>
      </c>
      <c r="M297" s="49">
        <v>3.7</v>
      </c>
    </row>
    <row r="298" spans="2:13" x14ac:dyDescent="0.25">
      <c r="B298" s="130" t="s">
        <v>453</v>
      </c>
      <c r="C298" s="49">
        <v>13.7</v>
      </c>
      <c r="D298" s="49">
        <v>1.2</v>
      </c>
      <c r="E298" s="49">
        <v>2.1</v>
      </c>
      <c r="F298" s="49">
        <v>3.2</v>
      </c>
      <c r="G298" s="49">
        <v>0.5</v>
      </c>
      <c r="H298" s="49">
        <v>2.2999999999999998</v>
      </c>
      <c r="I298" s="49">
        <v>0.6</v>
      </c>
      <c r="J298" s="49">
        <v>0.9</v>
      </c>
      <c r="K298" s="49">
        <v>0.2</v>
      </c>
      <c r="L298" s="49">
        <v>1</v>
      </c>
      <c r="M298" s="49">
        <v>3</v>
      </c>
    </row>
    <row r="299" spans="2:13" x14ac:dyDescent="0.25">
      <c r="B299" s="230" t="s">
        <v>454</v>
      </c>
      <c r="C299" s="63">
        <v>16.2</v>
      </c>
      <c r="D299" s="63">
        <v>1.4</v>
      </c>
      <c r="E299" s="63">
        <v>2.2999999999999998</v>
      </c>
      <c r="F299" s="63">
        <v>3.6</v>
      </c>
      <c r="G299" s="63">
        <v>0.7</v>
      </c>
      <c r="H299" s="63">
        <v>2.7</v>
      </c>
      <c r="I299" s="63">
        <v>0.6</v>
      </c>
      <c r="J299" s="63">
        <v>1.8</v>
      </c>
      <c r="K299" s="63">
        <v>0.2</v>
      </c>
      <c r="L299" s="63">
        <v>0.8</v>
      </c>
      <c r="M299" s="63">
        <v>3.5</v>
      </c>
    </row>
    <row r="300" spans="2:13" x14ac:dyDescent="0.25">
      <c r="B300" s="130" t="s">
        <v>455</v>
      </c>
      <c r="C300" s="49">
        <v>12</v>
      </c>
      <c r="D300" s="49">
        <v>1.4</v>
      </c>
      <c r="E300" s="49">
        <v>1.7</v>
      </c>
      <c r="F300" s="49">
        <v>2.4</v>
      </c>
      <c r="G300" s="49">
        <v>0.7</v>
      </c>
      <c r="H300" s="49">
        <v>2.1</v>
      </c>
      <c r="I300" s="49">
        <v>0.5</v>
      </c>
      <c r="J300" s="49">
        <v>1.1000000000000001</v>
      </c>
      <c r="K300" s="49">
        <v>0.2</v>
      </c>
      <c r="L300" s="49">
        <v>0.8</v>
      </c>
      <c r="M300" s="49">
        <v>2.5</v>
      </c>
    </row>
    <row r="301" spans="2:13" x14ac:dyDescent="0.25">
      <c r="B301" s="131" t="s">
        <v>456</v>
      </c>
      <c r="C301" s="62"/>
      <c r="D301" s="62"/>
      <c r="E301" s="62"/>
      <c r="F301" s="62"/>
      <c r="G301" s="62"/>
      <c r="H301" s="62"/>
      <c r="I301" s="62"/>
      <c r="J301" s="62"/>
      <c r="K301" s="62"/>
      <c r="L301" s="62"/>
      <c r="M301" s="62"/>
    </row>
    <row r="302" spans="2:13" x14ac:dyDescent="0.25">
      <c r="B302" s="130" t="s">
        <v>457</v>
      </c>
      <c r="C302" s="49">
        <v>13.5</v>
      </c>
      <c r="D302" s="49">
        <v>1.4</v>
      </c>
      <c r="E302" s="49">
        <v>1.9</v>
      </c>
      <c r="F302" s="49">
        <v>2.7</v>
      </c>
      <c r="G302" s="49">
        <v>0.5</v>
      </c>
      <c r="H302" s="49">
        <v>2.4</v>
      </c>
      <c r="I302" s="49">
        <v>0.7</v>
      </c>
      <c r="J302" s="49">
        <v>1.2</v>
      </c>
      <c r="K302" s="49">
        <v>0.2</v>
      </c>
      <c r="L302" s="49">
        <v>0.9</v>
      </c>
      <c r="M302" s="49">
        <v>3</v>
      </c>
    </row>
    <row r="303" spans="2:13" x14ac:dyDescent="0.25">
      <c r="B303" s="130" t="s">
        <v>62</v>
      </c>
      <c r="C303" s="49">
        <v>16.2</v>
      </c>
      <c r="D303" s="49">
        <v>1.2</v>
      </c>
      <c r="E303" s="49">
        <v>1.8</v>
      </c>
      <c r="F303" s="49">
        <v>3.9</v>
      </c>
      <c r="G303" s="49">
        <v>0.4</v>
      </c>
      <c r="H303" s="49">
        <v>2.5</v>
      </c>
      <c r="I303" s="49">
        <v>0.6</v>
      </c>
      <c r="J303" s="49">
        <v>1</v>
      </c>
      <c r="K303" s="49">
        <v>0.2</v>
      </c>
      <c r="L303" s="49">
        <v>1.6</v>
      </c>
      <c r="M303" s="49">
        <v>4.3</v>
      </c>
    </row>
    <row r="304" spans="2:13" x14ac:dyDescent="0.25">
      <c r="B304" s="130" t="s">
        <v>458</v>
      </c>
      <c r="C304" s="49">
        <v>13.9</v>
      </c>
      <c r="D304" s="49">
        <v>1.5</v>
      </c>
      <c r="E304" s="49">
        <v>2</v>
      </c>
      <c r="F304" s="49">
        <v>3</v>
      </c>
      <c r="G304" s="49">
        <v>0.5</v>
      </c>
      <c r="H304" s="49">
        <v>2.4</v>
      </c>
      <c r="I304" s="49">
        <v>0.6</v>
      </c>
      <c r="J304" s="49">
        <v>1</v>
      </c>
      <c r="K304" s="49">
        <v>0.2</v>
      </c>
      <c r="L304" s="49">
        <v>1.1000000000000001</v>
      </c>
      <c r="M304" s="49">
        <v>3.2</v>
      </c>
    </row>
    <row r="305" spans="2:13" x14ac:dyDescent="0.25">
      <c r="B305" s="130" t="s">
        <v>459</v>
      </c>
      <c r="C305" s="49">
        <v>12.2</v>
      </c>
      <c r="D305" s="49">
        <v>1.4</v>
      </c>
      <c r="E305" s="49">
        <v>2.1</v>
      </c>
      <c r="F305" s="49">
        <v>2.2000000000000002</v>
      </c>
      <c r="G305" s="49">
        <v>0.7</v>
      </c>
      <c r="H305" s="49">
        <v>2.1</v>
      </c>
      <c r="I305" s="49">
        <v>0.6</v>
      </c>
      <c r="J305" s="49">
        <v>0.9</v>
      </c>
      <c r="K305" s="49">
        <v>0.2</v>
      </c>
      <c r="L305" s="49">
        <v>0.9</v>
      </c>
      <c r="M305" s="49">
        <v>2.9</v>
      </c>
    </row>
    <row r="306" spans="2:13" x14ac:dyDescent="0.25">
      <c r="B306" s="229" t="s">
        <v>460</v>
      </c>
      <c r="C306" s="57"/>
      <c r="D306" s="57"/>
      <c r="E306" s="57"/>
      <c r="F306" s="57"/>
      <c r="G306" s="57"/>
      <c r="H306" s="57"/>
      <c r="I306" s="57"/>
      <c r="J306" s="57"/>
      <c r="K306" s="57"/>
      <c r="L306" s="57"/>
      <c r="M306" s="57"/>
    </row>
    <row r="307" spans="2:13" x14ac:dyDescent="0.25">
      <c r="B307" s="130" t="s">
        <v>461</v>
      </c>
      <c r="C307" s="49">
        <v>13.3</v>
      </c>
      <c r="D307" s="49">
        <v>1.6</v>
      </c>
      <c r="E307" s="49">
        <v>2</v>
      </c>
      <c r="F307" s="49">
        <v>2.5</v>
      </c>
      <c r="G307" s="49">
        <v>0.6</v>
      </c>
      <c r="H307" s="49">
        <v>2.2999999999999998</v>
      </c>
      <c r="I307" s="49">
        <v>0.9</v>
      </c>
      <c r="J307" s="49">
        <v>1.4</v>
      </c>
      <c r="K307" s="49">
        <v>0.2</v>
      </c>
      <c r="L307" s="49">
        <v>1</v>
      </c>
      <c r="M307" s="49">
        <v>3.1</v>
      </c>
    </row>
    <row r="308" spans="2:13" x14ac:dyDescent="0.25">
      <c r="B308" s="130" t="s">
        <v>462</v>
      </c>
      <c r="C308" s="49">
        <v>14.1</v>
      </c>
      <c r="D308" s="49">
        <v>1.5</v>
      </c>
      <c r="E308" s="49">
        <v>2.2000000000000002</v>
      </c>
      <c r="F308" s="49">
        <v>2.7</v>
      </c>
      <c r="G308" s="49">
        <v>0.5</v>
      </c>
      <c r="H308" s="49">
        <v>2.4</v>
      </c>
      <c r="I308" s="49">
        <v>0.8</v>
      </c>
      <c r="J308" s="49">
        <v>1.4</v>
      </c>
      <c r="K308" s="49">
        <v>0.2</v>
      </c>
      <c r="L308" s="49">
        <v>1.1000000000000001</v>
      </c>
      <c r="M308" s="49">
        <v>3.1</v>
      </c>
    </row>
    <row r="309" spans="2:13" x14ac:dyDescent="0.25">
      <c r="B309" s="130" t="s">
        <v>463</v>
      </c>
      <c r="C309" s="49">
        <v>15.5</v>
      </c>
      <c r="D309" s="49">
        <v>1.5</v>
      </c>
      <c r="E309" s="49">
        <v>1.9</v>
      </c>
      <c r="F309" s="49">
        <v>3.1</v>
      </c>
      <c r="G309" s="49">
        <v>0.6</v>
      </c>
      <c r="H309" s="49">
        <v>2.6</v>
      </c>
      <c r="I309" s="49">
        <v>0.7</v>
      </c>
      <c r="J309" s="49">
        <v>1.4</v>
      </c>
      <c r="K309" s="49">
        <v>0.2</v>
      </c>
      <c r="L309" s="49">
        <v>1.5</v>
      </c>
      <c r="M309" s="49">
        <v>3.7</v>
      </c>
    </row>
    <row r="310" spans="2:13" x14ac:dyDescent="0.25">
      <c r="B310" s="130" t="s">
        <v>464</v>
      </c>
      <c r="C310" s="49">
        <v>14.3</v>
      </c>
      <c r="D310" s="49">
        <v>1.5</v>
      </c>
      <c r="E310" s="49">
        <v>2.1</v>
      </c>
      <c r="F310" s="49">
        <v>2.5</v>
      </c>
      <c r="G310" s="49">
        <v>0.7</v>
      </c>
      <c r="H310" s="49">
        <v>2.4</v>
      </c>
      <c r="I310" s="49">
        <v>0.9</v>
      </c>
      <c r="J310" s="49">
        <v>1.9</v>
      </c>
      <c r="K310" s="49">
        <v>0.2</v>
      </c>
      <c r="L310" s="49">
        <v>0.9</v>
      </c>
      <c r="M310" s="49">
        <v>3</v>
      </c>
    </row>
    <row r="311" spans="2:13" x14ac:dyDescent="0.25">
      <c r="B311" s="130" t="s">
        <v>465</v>
      </c>
      <c r="C311" s="49">
        <v>13</v>
      </c>
      <c r="D311" s="49">
        <v>1.3</v>
      </c>
      <c r="E311" s="49">
        <v>1.8</v>
      </c>
      <c r="F311" s="49">
        <v>2.8</v>
      </c>
      <c r="G311" s="49">
        <v>0.4</v>
      </c>
      <c r="H311" s="49">
        <v>2.2000000000000002</v>
      </c>
      <c r="I311" s="49">
        <v>0.6</v>
      </c>
      <c r="J311" s="49">
        <v>1.1000000000000001</v>
      </c>
      <c r="K311" s="49">
        <v>0.2</v>
      </c>
      <c r="L311" s="49">
        <v>1</v>
      </c>
      <c r="M311" s="49">
        <v>3</v>
      </c>
    </row>
    <row r="312" spans="2:13" x14ac:dyDescent="0.25">
      <c r="B312" s="230" t="s">
        <v>466</v>
      </c>
      <c r="C312" s="63">
        <v>15.5</v>
      </c>
      <c r="D312" s="63">
        <v>1.5</v>
      </c>
      <c r="E312" s="63">
        <v>2</v>
      </c>
      <c r="F312" s="63">
        <v>3.2</v>
      </c>
      <c r="G312" s="63">
        <v>0.6</v>
      </c>
      <c r="H312" s="63">
        <v>2.5</v>
      </c>
      <c r="I312" s="63">
        <v>0.8</v>
      </c>
      <c r="J312" s="63">
        <v>1.6</v>
      </c>
      <c r="K312" s="63">
        <v>0.2</v>
      </c>
      <c r="L312" s="63">
        <v>1.5</v>
      </c>
      <c r="M312" s="63">
        <v>3.5</v>
      </c>
    </row>
    <row r="313" spans="2:13" x14ac:dyDescent="0.25">
      <c r="B313" s="130" t="s">
        <v>467</v>
      </c>
      <c r="C313" s="49">
        <v>13.8</v>
      </c>
      <c r="D313" s="49">
        <v>1.5</v>
      </c>
      <c r="E313" s="49">
        <v>1.9</v>
      </c>
      <c r="F313" s="49">
        <v>2.9</v>
      </c>
      <c r="G313" s="49">
        <v>0.5</v>
      </c>
      <c r="H313" s="49">
        <v>2.2000000000000002</v>
      </c>
      <c r="I313" s="49">
        <v>0.6</v>
      </c>
      <c r="J313" s="49">
        <v>1.3</v>
      </c>
      <c r="K313" s="49">
        <v>0.2</v>
      </c>
      <c r="L313" s="49">
        <v>1.1000000000000001</v>
      </c>
      <c r="M313" s="49">
        <v>3.4</v>
      </c>
    </row>
    <row r="314" spans="2:13" x14ac:dyDescent="0.25">
      <c r="B314" s="130" t="s">
        <v>468</v>
      </c>
      <c r="C314" s="49">
        <v>15.4</v>
      </c>
      <c r="D314" s="49">
        <v>1.5</v>
      </c>
      <c r="E314" s="49">
        <v>2.1</v>
      </c>
      <c r="F314" s="49">
        <v>3.4</v>
      </c>
      <c r="G314" s="49">
        <v>0.5</v>
      </c>
      <c r="H314" s="49">
        <v>2.2000000000000002</v>
      </c>
      <c r="I314" s="49">
        <v>0.9</v>
      </c>
      <c r="J314" s="49">
        <v>1.4</v>
      </c>
      <c r="K314" s="49">
        <v>0.2</v>
      </c>
      <c r="L314" s="49">
        <v>1.1000000000000001</v>
      </c>
      <c r="M314" s="49">
        <v>3.8</v>
      </c>
    </row>
    <row r="315" spans="2:13" x14ac:dyDescent="0.25">
      <c r="B315" s="130" t="s">
        <v>469</v>
      </c>
      <c r="C315" s="49">
        <v>16.399999999999999</v>
      </c>
      <c r="D315" s="49">
        <v>1.3</v>
      </c>
      <c r="E315" s="49">
        <v>1.9</v>
      </c>
      <c r="F315" s="49">
        <v>3.7</v>
      </c>
      <c r="G315" s="49">
        <v>0.5</v>
      </c>
      <c r="H315" s="49">
        <v>2.6</v>
      </c>
      <c r="I315" s="49">
        <v>0.5</v>
      </c>
      <c r="J315" s="49">
        <v>1.5</v>
      </c>
      <c r="K315" s="49">
        <v>0.2</v>
      </c>
      <c r="L315" s="49">
        <v>1.9</v>
      </c>
      <c r="M315" s="49">
        <v>3.6</v>
      </c>
    </row>
    <row r="316" spans="2:13" x14ac:dyDescent="0.25">
      <c r="B316" s="130" t="s">
        <v>470</v>
      </c>
      <c r="C316" s="49">
        <v>18.399999999999999</v>
      </c>
      <c r="D316" s="49">
        <v>1.6</v>
      </c>
      <c r="E316" s="49">
        <v>2.4</v>
      </c>
      <c r="F316" s="49">
        <v>3.3</v>
      </c>
      <c r="G316" s="49">
        <v>0.8</v>
      </c>
      <c r="H316" s="49">
        <v>2.1</v>
      </c>
      <c r="I316" s="49">
        <v>1.1000000000000001</v>
      </c>
      <c r="J316" s="49">
        <v>1.3</v>
      </c>
      <c r="K316" s="49">
        <v>0.2</v>
      </c>
      <c r="L316" s="49" t="s">
        <v>229</v>
      </c>
      <c r="M316" s="49">
        <v>5.3</v>
      </c>
    </row>
    <row r="317" spans="2:13" x14ac:dyDescent="0.25">
      <c r="B317" s="130" t="s">
        <v>471</v>
      </c>
      <c r="C317" s="49">
        <v>12.4</v>
      </c>
      <c r="D317" s="49">
        <v>1.4</v>
      </c>
      <c r="E317" s="49">
        <v>1.6</v>
      </c>
      <c r="F317" s="49">
        <v>2.7</v>
      </c>
      <c r="G317" s="49">
        <v>0.6</v>
      </c>
      <c r="H317" s="49">
        <v>2.1</v>
      </c>
      <c r="I317" s="49">
        <v>0.9</v>
      </c>
      <c r="J317" s="49">
        <v>1.3</v>
      </c>
      <c r="K317" s="49">
        <v>0.2</v>
      </c>
      <c r="L317" s="49">
        <v>0.7</v>
      </c>
      <c r="M317" s="49">
        <v>3</v>
      </c>
    </row>
    <row r="318" spans="2:13" x14ac:dyDescent="0.25">
      <c r="B318" s="130" t="s">
        <v>472</v>
      </c>
      <c r="C318" s="49">
        <v>16.100000000000001</v>
      </c>
      <c r="D318" s="49">
        <v>1.6</v>
      </c>
      <c r="E318" s="49">
        <v>2.1</v>
      </c>
      <c r="F318" s="49">
        <v>3.4</v>
      </c>
      <c r="G318" s="49">
        <v>0.6</v>
      </c>
      <c r="H318" s="49">
        <v>2.6</v>
      </c>
      <c r="I318" s="49">
        <v>0.8</v>
      </c>
      <c r="J318" s="49">
        <v>1.7</v>
      </c>
      <c r="K318" s="49">
        <v>0.2</v>
      </c>
      <c r="L318" s="49">
        <v>1.2</v>
      </c>
      <c r="M318" s="49">
        <v>3.6</v>
      </c>
    </row>
    <row r="319" spans="2:13" x14ac:dyDescent="0.25">
      <c r="B319" s="131" t="s">
        <v>473</v>
      </c>
      <c r="C319" s="62"/>
      <c r="D319" s="62"/>
      <c r="E319" s="62"/>
      <c r="F319" s="62"/>
      <c r="G319" s="62"/>
      <c r="H319" s="62"/>
      <c r="I319" s="62"/>
      <c r="J319" s="62"/>
      <c r="K319" s="62"/>
      <c r="L319" s="62"/>
      <c r="M319" s="62"/>
    </row>
    <row r="320" spans="2:13" x14ac:dyDescent="0.25">
      <c r="B320" s="130" t="s">
        <v>474</v>
      </c>
      <c r="C320" s="49">
        <v>12.9</v>
      </c>
      <c r="D320" s="49">
        <v>1.2</v>
      </c>
      <c r="E320" s="49">
        <v>1.7</v>
      </c>
      <c r="F320" s="49">
        <v>2.9</v>
      </c>
      <c r="G320" s="49">
        <v>0.4</v>
      </c>
      <c r="H320" s="49">
        <v>2.2999999999999998</v>
      </c>
      <c r="I320" s="49">
        <v>0.7</v>
      </c>
      <c r="J320" s="49">
        <v>1.1000000000000001</v>
      </c>
      <c r="K320" s="49">
        <v>0.1</v>
      </c>
      <c r="L320" s="49">
        <v>1.1000000000000001</v>
      </c>
      <c r="M320" s="49">
        <v>2.9</v>
      </c>
    </row>
    <row r="321" spans="2:13" x14ac:dyDescent="0.25">
      <c r="B321" s="229" t="s">
        <v>475</v>
      </c>
      <c r="C321" s="57"/>
      <c r="D321" s="57"/>
      <c r="E321" s="57"/>
      <c r="F321" s="57"/>
      <c r="G321" s="57"/>
      <c r="H321" s="57"/>
      <c r="I321" s="57"/>
      <c r="J321" s="57"/>
      <c r="K321" s="57"/>
      <c r="L321" s="57"/>
      <c r="M321" s="57"/>
    </row>
    <row r="322" spans="2:13" x14ac:dyDescent="0.25">
      <c r="B322" s="130" t="s">
        <v>476</v>
      </c>
      <c r="C322" s="49">
        <v>1.5</v>
      </c>
      <c r="D322" s="49">
        <v>0.4</v>
      </c>
      <c r="E322" s="49">
        <v>0.3</v>
      </c>
      <c r="F322" s="49">
        <v>0.1</v>
      </c>
      <c r="G322" s="49" t="s">
        <v>228</v>
      </c>
      <c r="H322" s="49">
        <v>0.5</v>
      </c>
      <c r="I322" s="49" t="s">
        <v>229</v>
      </c>
      <c r="J322" s="49">
        <v>0.1</v>
      </c>
      <c r="K322" s="49">
        <v>0.1</v>
      </c>
      <c r="L322" s="49">
        <v>0.1</v>
      </c>
      <c r="M322" s="49">
        <v>0.6</v>
      </c>
    </row>
    <row r="323" spans="2:13" x14ac:dyDescent="0.25">
      <c r="B323" s="130" t="s">
        <v>477</v>
      </c>
      <c r="C323" s="49">
        <v>4.8</v>
      </c>
      <c r="D323" s="49">
        <v>1</v>
      </c>
      <c r="E323" s="49">
        <v>1</v>
      </c>
      <c r="F323" s="49">
        <v>0.6</v>
      </c>
      <c r="G323" s="49">
        <v>0.1</v>
      </c>
      <c r="H323" s="49">
        <v>1.2</v>
      </c>
      <c r="I323" s="49">
        <v>0.2</v>
      </c>
      <c r="J323" s="49">
        <v>0.4</v>
      </c>
      <c r="K323" s="49">
        <v>0.1</v>
      </c>
      <c r="L323" s="49">
        <v>0.2</v>
      </c>
      <c r="M323" s="49">
        <v>1.3</v>
      </c>
    </row>
    <row r="324" spans="2:13" x14ac:dyDescent="0.25">
      <c r="B324" s="130" t="s">
        <v>478</v>
      </c>
      <c r="C324" s="49">
        <v>8</v>
      </c>
      <c r="D324" s="49">
        <v>1.4</v>
      </c>
      <c r="E324" s="49">
        <v>1.5</v>
      </c>
      <c r="F324" s="49">
        <v>1.1000000000000001</v>
      </c>
      <c r="G324" s="49">
        <v>0.3</v>
      </c>
      <c r="H324" s="49">
        <v>1.7</v>
      </c>
      <c r="I324" s="49">
        <v>0.5</v>
      </c>
      <c r="J324" s="49">
        <v>1.1000000000000001</v>
      </c>
      <c r="K324" s="49">
        <v>0.2</v>
      </c>
      <c r="L324" s="49">
        <v>0.4</v>
      </c>
      <c r="M324" s="49">
        <v>1.9</v>
      </c>
    </row>
    <row r="325" spans="2:13" x14ac:dyDescent="0.25">
      <c r="B325" s="130" t="s">
        <v>479</v>
      </c>
      <c r="C325" s="49">
        <v>11.3</v>
      </c>
      <c r="D325" s="49">
        <v>1.5</v>
      </c>
      <c r="E325" s="49">
        <v>2</v>
      </c>
      <c r="F325" s="49">
        <v>1.7</v>
      </c>
      <c r="G325" s="49">
        <v>0.5</v>
      </c>
      <c r="H325" s="49">
        <v>2</v>
      </c>
      <c r="I325" s="49">
        <v>1.3</v>
      </c>
      <c r="J325" s="49">
        <v>1.7</v>
      </c>
      <c r="K325" s="49">
        <v>0.2</v>
      </c>
      <c r="L325" s="49">
        <v>0.6</v>
      </c>
      <c r="M325" s="49">
        <v>2.2999999999999998</v>
      </c>
    </row>
    <row r="326" spans="2:13" x14ac:dyDescent="0.25">
      <c r="B326" s="130" t="s">
        <v>480</v>
      </c>
      <c r="C326" s="49">
        <v>13.1</v>
      </c>
      <c r="D326" s="49">
        <v>2</v>
      </c>
      <c r="E326" s="49">
        <v>2.2000000000000002</v>
      </c>
      <c r="F326" s="49">
        <v>2.2000000000000002</v>
      </c>
      <c r="G326" s="49">
        <v>0.7</v>
      </c>
      <c r="H326" s="49">
        <v>2.2000000000000002</v>
      </c>
      <c r="I326" s="49">
        <v>1.3</v>
      </c>
      <c r="J326" s="49">
        <v>1.2</v>
      </c>
      <c r="K326" s="49">
        <v>0.1</v>
      </c>
      <c r="L326" s="49">
        <v>0.8</v>
      </c>
      <c r="M326" s="49">
        <v>2.8</v>
      </c>
    </row>
    <row r="327" spans="2:13" x14ac:dyDescent="0.25">
      <c r="B327" s="230" t="s">
        <v>481</v>
      </c>
      <c r="C327" s="63">
        <v>16.5</v>
      </c>
      <c r="D327" s="63">
        <v>1.6</v>
      </c>
      <c r="E327" s="63">
        <v>2.2999999999999998</v>
      </c>
      <c r="F327" s="63">
        <v>3.1</v>
      </c>
      <c r="G327" s="63">
        <v>0.6</v>
      </c>
      <c r="H327" s="63">
        <v>2.9</v>
      </c>
      <c r="I327" s="63">
        <v>0.7</v>
      </c>
      <c r="J327" s="63">
        <v>1.8</v>
      </c>
      <c r="K327" s="63">
        <v>0.2</v>
      </c>
      <c r="L327" s="63">
        <v>1</v>
      </c>
      <c r="M327" s="63">
        <v>4</v>
      </c>
    </row>
    <row r="328" spans="2:13" x14ac:dyDescent="0.25">
      <c r="B328" s="130" t="s">
        <v>482</v>
      </c>
      <c r="C328" s="49">
        <v>22.1</v>
      </c>
      <c r="D328" s="49">
        <v>1.5</v>
      </c>
      <c r="E328" s="49">
        <v>2.6</v>
      </c>
      <c r="F328" s="49">
        <v>5.3</v>
      </c>
      <c r="G328" s="49">
        <v>0.5</v>
      </c>
      <c r="H328" s="49">
        <v>3.2</v>
      </c>
      <c r="I328" s="49">
        <v>0.7</v>
      </c>
      <c r="J328" s="49">
        <v>1.2</v>
      </c>
      <c r="K328" s="49">
        <v>0.2</v>
      </c>
      <c r="L328" s="49">
        <v>2.7</v>
      </c>
      <c r="M328" s="49">
        <v>5.9</v>
      </c>
    </row>
    <row r="329" spans="2:13" x14ac:dyDescent="0.25">
      <c r="B329" s="81"/>
      <c r="C329" s="49"/>
      <c r="D329" s="49"/>
      <c r="E329" s="49"/>
      <c r="F329" s="49"/>
      <c r="G329" s="49"/>
      <c r="H329" s="49"/>
      <c r="I329" s="49"/>
      <c r="J329" s="49"/>
      <c r="K329" s="49"/>
      <c r="L329" s="49"/>
      <c r="M329" s="49"/>
    </row>
    <row r="330" spans="2:13" x14ac:dyDescent="0.25">
      <c r="B330" s="81"/>
      <c r="C330" s="49"/>
      <c r="D330" s="49"/>
      <c r="E330" s="49"/>
      <c r="F330" s="49"/>
      <c r="G330" s="49"/>
      <c r="H330" s="49"/>
      <c r="I330" s="49"/>
      <c r="J330" s="49"/>
      <c r="K330" s="49"/>
      <c r="L330" s="49"/>
      <c r="M330" s="49"/>
    </row>
    <row r="331" spans="2:13" x14ac:dyDescent="0.25">
      <c r="B331" s="82"/>
      <c r="C331" s="57"/>
      <c r="D331" s="57"/>
      <c r="E331" s="57"/>
      <c r="F331" s="57"/>
      <c r="G331" s="57"/>
      <c r="H331" s="57"/>
      <c r="I331" s="57"/>
      <c r="J331" s="57"/>
      <c r="K331" s="57"/>
      <c r="L331" s="57"/>
      <c r="M331" s="57"/>
    </row>
    <row r="332" spans="2:13" x14ac:dyDescent="0.25">
      <c r="B332" s="81"/>
      <c r="C332" s="49"/>
      <c r="D332" s="49"/>
      <c r="E332" s="49"/>
      <c r="F332" s="49"/>
      <c r="G332" s="49"/>
      <c r="H332" s="49"/>
      <c r="I332" s="49"/>
      <c r="J332" s="49"/>
      <c r="K332" s="49"/>
      <c r="L332" s="49"/>
      <c r="M332" s="49"/>
    </row>
    <row r="333" spans="2:13" x14ac:dyDescent="0.25">
      <c r="B333" s="81"/>
      <c r="C333" s="49"/>
      <c r="D333" s="49"/>
      <c r="E333" s="49"/>
      <c r="F333" s="49"/>
      <c r="G333" s="49"/>
      <c r="H333" s="49"/>
      <c r="I333" s="49"/>
      <c r="J333" s="49"/>
      <c r="K333" s="49"/>
      <c r="L333" s="49"/>
      <c r="M333" s="49"/>
    </row>
    <row r="334" spans="2:13" x14ac:dyDescent="0.25">
      <c r="B334" s="81"/>
      <c r="C334" s="49"/>
      <c r="D334" s="49"/>
      <c r="E334" s="49"/>
      <c r="F334" s="49"/>
      <c r="G334" s="49"/>
      <c r="H334" s="49"/>
      <c r="I334" s="49"/>
      <c r="J334" s="49"/>
      <c r="K334" s="49"/>
      <c r="L334" s="49"/>
      <c r="M334" s="49"/>
    </row>
    <row r="335" spans="2:13" x14ac:dyDescent="0.25">
      <c r="B335" s="82"/>
      <c r="C335" s="57"/>
      <c r="D335" s="57"/>
      <c r="E335" s="57"/>
      <c r="F335" s="57"/>
      <c r="G335" s="57"/>
      <c r="H335" s="57"/>
      <c r="I335" s="57"/>
      <c r="J335" s="57"/>
      <c r="K335" s="57"/>
      <c r="L335" s="57"/>
      <c r="M335" s="57"/>
    </row>
    <row r="336" spans="2:13" x14ac:dyDescent="0.25">
      <c r="B336" s="81"/>
      <c r="C336" s="49"/>
      <c r="D336" s="49"/>
      <c r="E336" s="49"/>
      <c r="F336" s="49"/>
      <c r="G336" s="49"/>
      <c r="H336" s="49"/>
      <c r="I336" s="49"/>
      <c r="J336" s="49"/>
      <c r="K336" s="49"/>
      <c r="L336" s="49"/>
      <c r="M336" s="49"/>
    </row>
    <row r="337" spans="2:13" x14ac:dyDescent="0.25">
      <c r="B337" s="81"/>
      <c r="C337" s="49"/>
      <c r="D337" s="49"/>
      <c r="E337" s="49"/>
      <c r="F337" s="49"/>
      <c r="G337" s="49"/>
      <c r="H337" s="49"/>
      <c r="I337" s="49"/>
      <c r="J337" s="49"/>
      <c r="K337" s="49"/>
      <c r="L337" s="49"/>
      <c r="M337" s="49"/>
    </row>
    <row r="338" spans="2:13" x14ac:dyDescent="0.25">
      <c r="B338" s="81"/>
      <c r="C338" s="49"/>
      <c r="D338" s="49"/>
      <c r="E338" s="49"/>
      <c r="F338" s="49"/>
      <c r="G338" s="49"/>
      <c r="H338" s="49"/>
      <c r="I338" s="49"/>
      <c r="J338" s="49"/>
      <c r="K338" s="49"/>
      <c r="L338" s="49"/>
      <c r="M338" s="49"/>
    </row>
    <row r="339" spans="2:13" x14ac:dyDescent="0.25">
      <c r="B339" s="81"/>
      <c r="C339" s="49"/>
      <c r="D339" s="49"/>
      <c r="E339" s="49"/>
      <c r="F339" s="49"/>
      <c r="G339" s="49"/>
      <c r="H339" s="49"/>
      <c r="I339" s="49"/>
      <c r="J339" s="49"/>
      <c r="K339" s="49"/>
      <c r="L339" s="49"/>
      <c r="M339" s="49"/>
    </row>
    <row r="340" spans="2:13" x14ac:dyDescent="0.25">
      <c r="B340" s="81"/>
      <c r="C340" s="49"/>
      <c r="D340" s="49"/>
      <c r="E340" s="49"/>
      <c r="F340" s="49"/>
      <c r="G340" s="49"/>
      <c r="H340" s="49"/>
      <c r="I340" s="49"/>
      <c r="J340" s="49"/>
      <c r="K340" s="49"/>
      <c r="L340" s="49"/>
      <c r="M340" s="49"/>
    </row>
    <row r="341" spans="2:13" x14ac:dyDescent="0.25">
      <c r="B341" s="81"/>
      <c r="C341" s="49"/>
      <c r="D341" s="49"/>
      <c r="E341" s="49"/>
      <c r="F341" s="49"/>
      <c r="G341" s="49"/>
      <c r="H341" s="49"/>
      <c r="I341" s="49"/>
      <c r="J341" s="49"/>
      <c r="K341" s="49"/>
      <c r="L341" s="49"/>
      <c r="M341" s="49"/>
    </row>
    <row r="342" spans="2:13" x14ac:dyDescent="0.25">
      <c r="B342" s="81"/>
      <c r="C342" s="49"/>
      <c r="D342" s="49"/>
      <c r="E342" s="49"/>
      <c r="F342" s="49"/>
      <c r="G342" s="49"/>
      <c r="H342" s="49"/>
      <c r="I342" s="49"/>
      <c r="J342" s="49"/>
      <c r="K342" s="49"/>
      <c r="L342" s="49"/>
      <c r="M342" s="49"/>
    </row>
    <row r="343" spans="2:13" x14ac:dyDescent="0.25">
      <c r="B343" s="81"/>
      <c r="C343" s="49"/>
      <c r="D343" s="49"/>
      <c r="E343" s="49"/>
      <c r="F343" s="49"/>
      <c r="G343" s="49"/>
      <c r="H343" s="49"/>
      <c r="I343" s="49"/>
      <c r="J343" s="49"/>
      <c r="K343" s="49"/>
      <c r="L343" s="49"/>
      <c r="M343" s="49"/>
    </row>
    <row r="344" spans="2:13" x14ac:dyDescent="0.25">
      <c r="B344" s="81"/>
      <c r="C344" s="49"/>
      <c r="D344" s="49"/>
      <c r="E344" s="49"/>
      <c r="F344" s="49"/>
      <c r="G344" s="49"/>
      <c r="H344" s="49"/>
      <c r="I344" s="49"/>
      <c r="J344" s="49"/>
      <c r="K344" s="49"/>
      <c r="L344" s="49"/>
      <c r="M344" s="49"/>
    </row>
    <row r="345" spans="2:13" x14ac:dyDescent="0.25">
      <c r="B345" s="81"/>
      <c r="C345" s="49"/>
      <c r="D345" s="49"/>
      <c r="E345" s="49"/>
      <c r="F345" s="49"/>
      <c r="G345" s="49"/>
      <c r="H345" s="49"/>
      <c r="I345" s="49"/>
      <c r="J345" s="49"/>
      <c r="K345" s="49"/>
      <c r="L345" s="49"/>
      <c r="M345" s="49"/>
    </row>
    <row r="346" spans="2:13" x14ac:dyDescent="0.25">
      <c r="B346" s="81"/>
      <c r="C346" s="49"/>
      <c r="D346" s="49"/>
      <c r="E346" s="49"/>
      <c r="F346" s="49"/>
      <c r="G346" s="49"/>
      <c r="H346" s="49"/>
      <c r="I346" s="49"/>
      <c r="J346" s="49"/>
      <c r="K346" s="49"/>
      <c r="L346" s="49"/>
      <c r="M346" s="49"/>
    </row>
    <row r="347" spans="2:13" x14ac:dyDescent="0.25">
      <c r="B347" s="82"/>
      <c r="C347" s="57"/>
      <c r="D347" s="57"/>
      <c r="E347" s="57"/>
      <c r="F347" s="57"/>
      <c r="G347" s="57"/>
      <c r="H347" s="57"/>
      <c r="I347" s="57"/>
      <c r="J347" s="57"/>
      <c r="K347" s="57"/>
      <c r="L347" s="57"/>
      <c r="M347" s="57"/>
    </row>
    <row r="348" spans="2:13" x14ac:dyDescent="0.25">
      <c r="B348" s="81"/>
      <c r="C348" s="49"/>
      <c r="D348" s="49"/>
      <c r="E348" s="49"/>
      <c r="F348" s="49"/>
      <c r="G348" s="49"/>
      <c r="H348" s="49"/>
      <c r="I348" s="49"/>
      <c r="J348" s="49"/>
      <c r="K348" s="49"/>
      <c r="L348" s="49"/>
      <c r="M348" s="49"/>
    </row>
    <row r="349" spans="2:13" x14ac:dyDescent="0.25">
      <c r="B349" s="81"/>
      <c r="C349" s="49"/>
      <c r="D349" s="49"/>
      <c r="E349" s="49"/>
      <c r="F349" s="49"/>
      <c r="G349" s="49"/>
      <c r="H349" s="49"/>
      <c r="I349" s="49"/>
      <c r="J349" s="49"/>
      <c r="K349" s="49"/>
      <c r="L349" s="49"/>
      <c r="M349" s="49"/>
    </row>
    <row r="350" spans="2:13" x14ac:dyDescent="0.25">
      <c r="B350" s="81"/>
      <c r="C350" s="49"/>
      <c r="D350" s="49"/>
      <c r="E350" s="49"/>
      <c r="F350" s="49"/>
      <c r="G350" s="49"/>
      <c r="H350" s="49"/>
      <c r="I350" s="49"/>
      <c r="J350" s="49"/>
      <c r="K350" s="49"/>
      <c r="L350" s="49"/>
      <c r="M350" s="49"/>
    </row>
    <row r="351" spans="2:13" x14ac:dyDescent="0.25">
      <c r="B351" s="82"/>
      <c r="C351" s="57"/>
      <c r="D351" s="57"/>
      <c r="E351" s="57"/>
      <c r="F351" s="57"/>
      <c r="G351" s="57"/>
      <c r="H351" s="57"/>
      <c r="I351" s="57"/>
      <c r="J351" s="57"/>
      <c r="K351" s="57"/>
      <c r="L351" s="57"/>
      <c r="M351" s="57"/>
    </row>
    <row r="352" spans="2:13" x14ac:dyDescent="0.25">
      <c r="B352" s="81"/>
      <c r="C352" s="49"/>
      <c r="D352" s="49"/>
      <c r="E352" s="49"/>
      <c r="F352" s="49"/>
      <c r="G352" s="49"/>
      <c r="H352" s="49"/>
      <c r="I352" s="49"/>
      <c r="J352" s="49"/>
      <c r="K352" s="49"/>
      <c r="L352" s="49"/>
      <c r="M352" s="49"/>
    </row>
    <row r="353" spans="2:13" x14ac:dyDescent="0.25">
      <c r="B353" s="81"/>
      <c r="C353" s="49"/>
      <c r="D353" s="49"/>
      <c r="E353" s="49"/>
      <c r="F353" s="49"/>
      <c r="G353" s="49"/>
      <c r="H353" s="49"/>
      <c r="I353" s="49"/>
      <c r="J353" s="49"/>
      <c r="K353" s="49"/>
      <c r="L353" s="49"/>
      <c r="M353" s="49"/>
    </row>
    <row r="354" spans="2:13" x14ac:dyDescent="0.25">
      <c r="B354" s="81"/>
      <c r="C354" s="49"/>
      <c r="D354" s="49"/>
      <c r="E354" s="49"/>
      <c r="F354" s="49"/>
      <c r="G354" s="49"/>
      <c r="H354" s="49"/>
      <c r="I354" s="49"/>
      <c r="J354" s="49"/>
      <c r="K354" s="49"/>
      <c r="L354" s="49"/>
      <c r="M354" s="49"/>
    </row>
    <row r="355" spans="2:13" x14ac:dyDescent="0.25">
      <c r="B355" s="81"/>
      <c r="C355" s="49"/>
      <c r="D355" s="49"/>
      <c r="E355" s="49"/>
      <c r="F355" s="49"/>
      <c r="G355" s="49"/>
      <c r="H355" s="49"/>
      <c r="I355" s="49"/>
      <c r="J355" s="49"/>
      <c r="K355" s="49"/>
      <c r="L355" s="49"/>
      <c r="M355" s="49"/>
    </row>
    <row r="356" spans="2:13" x14ac:dyDescent="0.25">
      <c r="B356" s="81"/>
      <c r="C356" s="49"/>
      <c r="D356" s="49"/>
      <c r="E356" s="49"/>
      <c r="F356" s="49"/>
      <c r="G356" s="49"/>
      <c r="H356" s="49"/>
      <c r="I356" s="49"/>
      <c r="J356" s="49"/>
      <c r="K356" s="49"/>
      <c r="L356" s="49"/>
      <c r="M356" s="49"/>
    </row>
    <row r="357" spans="2:13" x14ac:dyDescent="0.25">
      <c r="B357" s="81"/>
      <c r="C357" s="49"/>
      <c r="D357" s="49"/>
      <c r="E357" s="49"/>
      <c r="F357" s="49"/>
      <c r="G357" s="49"/>
      <c r="H357" s="49"/>
      <c r="I357" s="49"/>
      <c r="J357" s="49"/>
      <c r="K357" s="49"/>
      <c r="L357" s="49"/>
      <c r="M357" s="49"/>
    </row>
    <row r="358" spans="2:13" x14ac:dyDescent="0.25">
      <c r="B358" s="81"/>
      <c r="C358" s="49"/>
      <c r="D358" s="49"/>
      <c r="E358" s="49"/>
      <c r="F358" s="49"/>
      <c r="G358" s="49"/>
      <c r="H358" s="49"/>
      <c r="I358" s="49"/>
      <c r="J358" s="49"/>
      <c r="K358" s="49"/>
      <c r="L358" s="49"/>
      <c r="M358" s="49"/>
    </row>
    <row r="359" spans="2:13" ht="15.75" thickBot="1" x14ac:dyDescent="0.3">
      <c r="B359" s="132"/>
      <c r="C359" s="58"/>
      <c r="D359" s="16"/>
      <c r="E359" s="16"/>
      <c r="F359" s="16"/>
      <c r="G359" s="16"/>
      <c r="H359" s="16"/>
      <c r="I359" s="59"/>
      <c r="J359" s="16"/>
      <c r="K359" s="16"/>
      <c r="L359" s="16"/>
      <c r="M359" s="16"/>
    </row>
    <row r="360" spans="2:13" x14ac:dyDescent="0.25">
      <c r="B360" s="418" t="s">
        <v>483</v>
      </c>
      <c r="C360" s="418"/>
      <c r="D360" s="418"/>
      <c r="E360" s="418"/>
      <c r="F360" s="418"/>
      <c r="G360" s="418"/>
      <c r="H360" s="418"/>
      <c r="I360" s="418"/>
      <c r="J360" s="419"/>
      <c r="K360" s="419"/>
      <c r="L360" s="419"/>
      <c r="M360" s="419"/>
    </row>
  </sheetData>
  <mergeCells count="3">
    <mergeCell ref="B6:M6"/>
    <mergeCell ref="C7:M7"/>
    <mergeCell ref="B360:M360"/>
  </mergeCells>
  <pageMargins left="0.7" right="0.7" top="0.6" bottom="0.6" header="0.3" footer="0.3"/>
  <pageSetup scale="52" fitToHeight="0" orientation="portrait" r:id="rId1"/>
  <rowBreaks count="5" manualBreakCount="5">
    <brk id="48" max="16383" man="1"/>
    <brk id="89" max="16383" man="1"/>
    <brk id="252" max="16383" man="1"/>
    <brk id="288" max="16383" man="1"/>
    <brk id="358"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4F9E3-F1E8-4A58-92A2-9C9E3C08B07D}">
  <sheetPr codeName="Sheet10">
    <tabColor rgb="FF7030A0"/>
  </sheetPr>
  <dimension ref="A2:AX363"/>
  <sheetViews>
    <sheetView workbookViewId="0">
      <selection activeCell="K31" sqref="K31"/>
    </sheetView>
  </sheetViews>
  <sheetFormatPr defaultColWidth="8.85546875" defaultRowHeight="15" x14ac:dyDescent="0.25"/>
  <cols>
    <col min="1" max="1" width="2.7109375" style="28" customWidth="1"/>
    <col min="2" max="2" width="49.7109375" style="28" customWidth="1"/>
    <col min="3" max="16384" width="8.85546875" style="28"/>
  </cols>
  <sheetData>
    <row r="2" spans="1:50" s="21" customFormat="1" ht="22.5" x14ac:dyDescent="0.35">
      <c r="A2" s="17"/>
      <c r="B2" s="18" t="str">
        <f>Lookups!B2</f>
        <v>Ph V TRM Appendix F: Building Operator Certification Audit and Design Tool</v>
      </c>
      <c r="O2" s="19"/>
      <c r="P2" s="19"/>
      <c r="Q2" s="19"/>
      <c r="R2" s="19"/>
      <c r="S2" s="19"/>
      <c r="T2" s="19"/>
      <c r="U2" s="19"/>
      <c r="V2" s="19"/>
      <c r="W2" s="19"/>
      <c r="X2" s="19"/>
      <c r="Y2" s="19"/>
      <c r="Z2" s="19"/>
      <c r="AA2" s="19"/>
      <c r="AB2" s="19"/>
      <c r="AC2" s="19"/>
      <c r="AD2" s="19"/>
      <c r="AE2" s="19"/>
      <c r="AF2" s="20"/>
      <c r="AG2" s="20"/>
      <c r="AH2" s="20"/>
    </row>
    <row r="3" spans="1:50" s="25" customFormat="1" ht="17.25" x14ac:dyDescent="0.25">
      <c r="A3" s="22"/>
      <c r="B3" s="23" t="s">
        <v>484</v>
      </c>
      <c r="AL3" s="24"/>
      <c r="AM3" s="24"/>
      <c r="AN3" s="24"/>
      <c r="AO3" s="24"/>
      <c r="AP3" s="24"/>
      <c r="AQ3" s="24"/>
      <c r="AR3" s="24"/>
      <c r="AS3" s="24"/>
      <c r="AT3" s="24"/>
      <c r="AU3" s="24"/>
      <c r="AV3" s="24"/>
      <c r="AW3" s="24"/>
      <c r="AX3" s="24"/>
    </row>
    <row r="5" spans="1:50" x14ac:dyDescent="0.25">
      <c r="B5" s="155" t="s">
        <v>197</v>
      </c>
      <c r="C5" s="156"/>
      <c r="D5" s="156"/>
      <c r="E5" s="156"/>
      <c r="F5" s="156"/>
      <c r="G5" s="156"/>
      <c r="H5" s="156" t="s">
        <v>485</v>
      </c>
      <c r="I5" s="156"/>
      <c r="J5" s="156"/>
      <c r="K5" s="156"/>
      <c r="L5" s="156"/>
      <c r="M5" s="156"/>
      <c r="N5" s="156"/>
      <c r="O5" s="156"/>
      <c r="P5" s="156"/>
      <c r="Q5" s="156"/>
    </row>
    <row r="6" spans="1:50" ht="15.6" customHeight="1" x14ac:dyDescent="0.25">
      <c r="B6" s="415" t="s">
        <v>486</v>
      </c>
      <c r="C6" s="415"/>
      <c r="D6" s="415"/>
      <c r="E6" s="415"/>
      <c r="F6" s="415"/>
      <c r="G6" s="415"/>
      <c r="H6" s="415"/>
      <c r="I6" s="415"/>
      <c r="J6" s="415"/>
      <c r="K6" s="415"/>
      <c r="L6" s="415"/>
      <c r="M6" s="415"/>
      <c r="N6" s="415"/>
      <c r="O6" s="415"/>
      <c r="P6" s="415"/>
      <c r="Q6" s="415"/>
    </row>
    <row r="7" spans="1:50" ht="16.149999999999999" customHeight="1" x14ac:dyDescent="0.25">
      <c r="B7" s="425"/>
      <c r="C7" s="426" t="s">
        <v>487</v>
      </c>
      <c r="D7" s="426"/>
      <c r="E7" s="426"/>
      <c r="F7" s="426"/>
      <c r="G7" s="427"/>
      <c r="H7" s="430" t="s">
        <v>488</v>
      </c>
      <c r="I7" s="426"/>
      <c r="J7" s="426"/>
      <c r="K7" s="426"/>
      <c r="L7" s="426"/>
      <c r="M7" s="430" t="s">
        <v>488</v>
      </c>
      <c r="N7" s="426"/>
      <c r="O7" s="426"/>
      <c r="P7" s="426"/>
      <c r="Q7" s="426"/>
    </row>
    <row r="8" spans="1:50" ht="14.45" customHeight="1" x14ac:dyDescent="0.25">
      <c r="B8" s="425"/>
      <c r="C8" s="426" t="s">
        <v>489</v>
      </c>
      <c r="D8" s="426"/>
      <c r="E8" s="426"/>
      <c r="F8" s="426"/>
      <c r="G8" s="427"/>
      <c r="H8" s="431" t="s">
        <v>490</v>
      </c>
      <c r="I8" s="432"/>
      <c r="J8" s="432"/>
      <c r="K8" s="432"/>
      <c r="L8" s="432"/>
      <c r="M8" s="431" t="s">
        <v>491</v>
      </c>
      <c r="N8" s="432"/>
      <c r="O8" s="432"/>
      <c r="P8" s="432"/>
      <c r="Q8" s="432"/>
    </row>
    <row r="9" spans="1:50" ht="14.45" customHeight="1" thickBot="1" x14ac:dyDescent="0.3">
      <c r="B9" s="425"/>
      <c r="C9" s="428"/>
      <c r="D9" s="428"/>
      <c r="E9" s="428"/>
      <c r="F9" s="428"/>
      <c r="G9" s="429"/>
      <c r="H9" s="433" t="s">
        <v>492</v>
      </c>
      <c r="I9" s="434"/>
      <c r="J9" s="434"/>
      <c r="K9" s="434"/>
      <c r="L9" s="434"/>
      <c r="M9" s="433" t="s">
        <v>492</v>
      </c>
      <c r="N9" s="434"/>
      <c r="O9" s="434"/>
      <c r="P9" s="434"/>
      <c r="Q9" s="434"/>
    </row>
    <row r="10" spans="1:50" ht="14.45" customHeight="1" thickTop="1" x14ac:dyDescent="0.25">
      <c r="B10" s="158"/>
      <c r="C10" s="421" t="s">
        <v>90</v>
      </c>
      <c r="D10" s="421" t="s">
        <v>81</v>
      </c>
      <c r="E10" s="421" t="s">
        <v>84</v>
      </c>
      <c r="F10" s="421" t="s">
        <v>86</v>
      </c>
      <c r="G10" s="421" t="s">
        <v>89</v>
      </c>
      <c r="H10" s="421" t="s">
        <v>90</v>
      </c>
      <c r="I10" s="421" t="s">
        <v>81</v>
      </c>
      <c r="J10" s="421" t="s">
        <v>84</v>
      </c>
      <c r="K10" s="421" t="s">
        <v>86</v>
      </c>
      <c r="L10" s="421" t="s">
        <v>89</v>
      </c>
      <c r="M10" s="421" t="s">
        <v>90</v>
      </c>
      <c r="N10" s="421" t="s">
        <v>81</v>
      </c>
      <c r="O10" s="421" t="s">
        <v>84</v>
      </c>
      <c r="P10" s="421" t="s">
        <v>86</v>
      </c>
      <c r="Q10" s="421" t="s">
        <v>89</v>
      </c>
    </row>
    <row r="11" spans="1:50" ht="15.75" thickBot="1" x14ac:dyDescent="0.3">
      <c r="B11" s="159"/>
      <c r="C11" s="422"/>
      <c r="D11" s="422"/>
      <c r="E11" s="422"/>
      <c r="F11" s="422"/>
      <c r="G11" s="422"/>
      <c r="H11" s="422"/>
      <c r="I11" s="422"/>
      <c r="J11" s="422"/>
      <c r="K11" s="422"/>
      <c r="L11" s="422"/>
      <c r="M11" s="422"/>
      <c r="N11" s="422"/>
      <c r="O11" s="422"/>
      <c r="P11" s="422"/>
      <c r="Q11" s="422"/>
    </row>
    <row r="12" spans="1:50" ht="15.75" thickTop="1" x14ac:dyDescent="0.25">
      <c r="B12" s="236" t="s">
        <v>154</v>
      </c>
      <c r="C12" s="49">
        <v>2216</v>
      </c>
      <c r="D12" s="49">
        <v>1520</v>
      </c>
      <c r="E12" s="49">
        <v>221</v>
      </c>
      <c r="F12" s="49">
        <v>380</v>
      </c>
      <c r="G12" s="49">
        <v>95</v>
      </c>
      <c r="H12" s="49">
        <v>32.700000000000003</v>
      </c>
      <c r="I12" s="49">
        <v>26.2</v>
      </c>
      <c r="J12" s="49">
        <v>4.7</v>
      </c>
      <c r="K12" s="49">
        <v>13.7</v>
      </c>
      <c r="L12" s="49">
        <v>8.8000000000000007</v>
      </c>
      <c r="M12" s="191">
        <f>H12*Lookups_Conversion_CF_to_kBTU</f>
        <v>33.975299999999997</v>
      </c>
      <c r="N12" s="191">
        <f>I12*Lookups_Conversion_CF_to_kBTU</f>
        <v>27.221799999999998</v>
      </c>
      <c r="O12" s="191">
        <f>J12*Lookups_Conversion_CF_to_kBTU</f>
        <v>4.8833000000000002</v>
      </c>
      <c r="P12" s="191">
        <f>K12*Lookups_Conversion_CF_to_kBTU</f>
        <v>14.234299999999998</v>
      </c>
      <c r="Q12" s="191">
        <f>L12*Lookups_Conversion_CF_to_kBTU</f>
        <v>9.1432000000000002</v>
      </c>
    </row>
    <row r="13" spans="1:50" x14ac:dyDescent="0.25">
      <c r="B13" s="236" t="s">
        <v>200</v>
      </c>
      <c r="C13" s="62"/>
      <c r="D13" s="62"/>
      <c r="E13" s="62"/>
      <c r="F13" s="62"/>
      <c r="G13" s="62"/>
      <c r="H13" s="62"/>
      <c r="I13" s="62"/>
      <c r="J13" s="62"/>
      <c r="K13" s="62"/>
      <c r="L13" s="62"/>
      <c r="M13" s="62"/>
      <c r="N13" s="62"/>
      <c r="O13" s="62"/>
      <c r="P13" s="62"/>
      <c r="Q13" s="62"/>
    </row>
    <row r="14" spans="1:50" x14ac:dyDescent="0.25">
      <c r="B14" s="237" t="s">
        <v>201</v>
      </c>
      <c r="C14" s="49">
        <v>176</v>
      </c>
      <c r="D14" s="49">
        <v>102</v>
      </c>
      <c r="E14" s="49">
        <v>17</v>
      </c>
      <c r="F14" s="49">
        <v>54</v>
      </c>
      <c r="G14" s="49">
        <v>3</v>
      </c>
      <c r="H14" s="49">
        <v>53.6</v>
      </c>
      <c r="I14" s="49">
        <v>36.1</v>
      </c>
      <c r="J14" s="49">
        <v>8.9</v>
      </c>
      <c r="K14" s="49">
        <v>87.6</v>
      </c>
      <c r="L14" s="49">
        <v>13.4</v>
      </c>
      <c r="M14" s="191">
        <f t="shared" ref="M14:Q21" si="0">H14*Lookups_Conversion_CF_to_kBTU</f>
        <v>55.690399999999997</v>
      </c>
      <c r="N14" s="191">
        <f t="shared" si="0"/>
        <v>37.507899999999999</v>
      </c>
      <c r="O14" s="191">
        <f t="shared" si="0"/>
        <v>9.2470999999999997</v>
      </c>
      <c r="P14" s="191">
        <f t="shared" si="0"/>
        <v>91.01639999999999</v>
      </c>
      <c r="Q14" s="191">
        <f t="shared" si="0"/>
        <v>13.922599999999999</v>
      </c>
    </row>
    <row r="15" spans="1:50" x14ac:dyDescent="0.25">
      <c r="B15" s="237" t="s">
        <v>202</v>
      </c>
      <c r="C15" s="49">
        <v>201</v>
      </c>
      <c r="D15" s="49">
        <v>123</v>
      </c>
      <c r="E15" s="49">
        <v>14</v>
      </c>
      <c r="F15" s="49">
        <v>55</v>
      </c>
      <c r="G15" s="49">
        <v>8</v>
      </c>
      <c r="H15" s="49">
        <v>38.6</v>
      </c>
      <c r="I15" s="49">
        <v>27.4</v>
      </c>
      <c r="J15" s="49">
        <v>4</v>
      </c>
      <c r="K15" s="49">
        <v>50.4</v>
      </c>
      <c r="L15" s="49">
        <v>17.5</v>
      </c>
      <c r="M15" s="191">
        <f t="shared" si="0"/>
        <v>40.105399999999996</v>
      </c>
      <c r="N15" s="191">
        <f t="shared" si="0"/>
        <v>28.468599999999995</v>
      </c>
      <c r="O15" s="191">
        <f t="shared" si="0"/>
        <v>4.1559999999999997</v>
      </c>
      <c r="P15" s="191">
        <f t="shared" si="0"/>
        <v>52.365599999999993</v>
      </c>
      <c r="Q15" s="191">
        <f t="shared" si="0"/>
        <v>18.182499999999997</v>
      </c>
    </row>
    <row r="16" spans="1:50" x14ac:dyDescent="0.25">
      <c r="B16" s="237" t="s">
        <v>203</v>
      </c>
      <c r="C16" s="49">
        <v>308</v>
      </c>
      <c r="D16" s="49">
        <v>244</v>
      </c>
      <c r="E16" s="49">
        <v>25</v>
      </c>
      <c r="F16" s="49">
        <v>34</v>
      </c>
      <c r="G16" s="49">
        <v>5</v>
      </c>
      <c r="H16" s="49">
        <v>32.299999999999997</v>
      </c>
      <c r="I16" s="49">
        <v>27.8</v>
      </c>
      <c r="J16" s="49">
        <v>4.2</v>
      </c>
      <c r="K16" s="49">
        <v>15</v>
      </c>
      <c r="L16" s="49">
        <v>6.4</v>
      </c>
      <c r="M16" s="191">
        <f t="shared" si="0"/>
        <v>33.559699999999992</v>
      </c>
      <c r="N16" s="191">
        <f t="shared" si="0"/>
        <v>28.8842</v>
      </c>
      <c r="O16" s="191">
        <f t="shared" si="0"/>
        <v>4.3637999999999995</v>
      </c>
      <c r="P16" s="191">
        <f t="shared" si="0"/>
        <v>15.584999999999999</v>
      </c>
      <c r="Q16" s="191">
        <f t="shared" si="0"/>
        <v>6.6495999999999995</v>
      </c>
    </row>
    <row r="17" spans="2:17" x14ac:dyDescent="0.25">
      <c r="B17" s="237" t="s">
        <v>204</v>
      </c>
      <c r="C17" s="49">
        <v>352</v>
      </c>
      <c r="D17" s="49">
        <v>265</v>
      </c>
      <c r="E17" s="49">
        <v>39</v>
      </c>
      <c r="F17" s="49">
        <v>36</v>
      </c>
      <c r="G17" s="49">
        <v>12</v>
      </c>
      <c r="H17" s="49">
        <v>33.6</v>
      </c>
      <c r="I17" s="49">
        <v>29.2</v>
      </c>
      <c r="J17" s="49">
        <v>5.5</v>
      </c>
      <c r="K17" s="49">
        <v>11</v>
      </c>
      <c r="L17" s="49">
        <v>8</v>
      </c>
      <c r="M17" s="191">
        <f t="shared" si="0"/>
        <v>34.910399999999996</v>
      </c>
      <c r="N17" s="191">
        <f t="shared" si="0"/>
        <v>30.338799999999996</v>
      </c>
      <c r="O17" s="191">
        <f t="shared" si="0"/>
        <v>5.7144999999999992</v>
      </c>
      <c r="P17" s="191">
        <f t="shared" si="0"/>
        <v>11.428999999999998</v>
      </c>
      <c r="Q17" s="191">
        <f t="shared" si="0"/>
        <v>8.3119999999999994</v>
      </c>
    </row>
    <row r="18" spans="2:17" x14ac:dyDescent="0.25">
      <c r="B18" s="237" t="s">
        <v>205</v>
      </c>
      <c r="C18" s="49">
        <v>371</v>
      </c>
      <c r="D18" s="49">
        <v>257</v>
      </c>
      <c r="E18" s="49">
        <v>46</v>
      </c>
      <c r="F18" s="49">
        <v>46</v>
      </c>
      <c r="G18" s="49">
        <v>22</v>
      </c>
      <c r="H18" s="49">
        <v>31</v>
      </c>
      <c r="I18" s="49">
        <v>25.2</v>
      </c>
      <c r="J18" s="49">
        <v>5.0999999999999996</v>
      </c>
      <c r="K18" s="49">
        <v>10.1</v>
      </c>
      <c r="L18" s="49">
        <v>9.9</v>
      </c>
      <c r="M18" s="191">
        <f t="shared" si="0"/>
        <v>32.208999999999996</v>
      </c>
      <c r="N18" s="191">
        <f t="shared" si="0"/>
        <v>26.182799999999997</v>
      </c>
      <c r="O18" s="191">
        <f t="shared" si="0"/>
        <v>5.2988999999999988</v>
      </c>
      <c r="P18" s="191">
        <f t="shared" si="0"/>
        <v>10.493899999999998</v>
      </c>
      <c r="Q18" s="191">
        <f t="shared" si="0"/>
        <v>10.286099999999999</v>
      </c>
    </row>
    <row r="19" spans="2:17" x14ac:dyDescent="0.25">
      <c r="B19" s="237" t="s">
        <v>206</v>
      </c>
      <c r="C19" s="49">
        <v>309</v>
      </c>
      <c r="D19" s="49">
        <v>213</v>
      </c>
      <c r="E19" s="49">
        <v>30</v>
      </c>
      <c r="F19" s="49">
        <v>50</v>
      </c>
      <c r="G19" s="49">
        <v>17</v>
      </c>
      <c r="H19" s="49">
        <v>29.4</v>
      </c>
      <c r="I19" s="49">
        <v>22.9</v>
      </c>
      <c r="J19" s="49">
        <v>3.8</v>
      </c>
      <c r="K19" s="49">
        <v>8.8000000000000007</v>
      </c>
      <c r="L19" s="49">
        <v>7.7</v>
      </c>
      <c r="M19" s="191">
        <f t="shared" si="0"/>
        <v>30.546599999999998</v>
      </c>
      <c r="N19" s="191">
        <f t="shared" si="0"/>
        <v>23.793099999999995</v>
      </c>
      <c r="O19" s="191">
        <f t="shared" si="0"/>
        <v>3.9481999999999995</v>
      </c>
      <c r="P19" s="191">
        <f t="shared" si="0"/>
        <v>9.1432000000000002</v>
      </c>
      <c r="Q19" s="191">
        <f t="shared" si="0"/>
        <v>8.0002999999999993</v>
      </c>
    </row>
    <row r="20" spans="2:17" x14ac:dyDescent="0.25">
      <c r="B20" s="237" t="s">
        <v>207</v>
      </c>
      <c r="C20" s="49">
        <v>308</v>
      </c>
      <c r="D20" s="49">
        <v>213</v>
      </c>
      <c r="E20" s="49">
        <v>28</v>
      </c>
      <c r="F20" s="49">
        <v>53</v>
      </c>
      <c r="G20" s="49">
        <v>14</v>
      </c>
      <c r="H20" s="49">
        <v>31.9</v>
      </c>
      <c r="I20" s="49">
        <v>26.1</v>
      </c>
      <c r="J20" s="49">
        <v>4.0999999999999996</v>
      </c>
      <c r="K20" s="49">
        <v>9.5</v>
      </c>
      <c r="L20" s="49">
        <v>7.6</v>
      </c>
      <c r="M20" s="191">
        <f t="shared" si="0"/>
        <v>33.144099999999995</v>
      </c>
      <c r="N20" s="191">
        <f t="shared" si="0"/>
        <v>27.117899999999999</v>
      </c>
      <c r="O20" s="191">
        <f t="shared" si="0"/>
        <v>4.2598999999999991</v>
      </c>
      <c r="P20" s="191">
        <f t="shared" si="0"/>
        <v>9.8704999999999998</v>
      </c>
      <c r="Q20" s="191">
        <f t="shared" si="0"/>
        <v>7.896399999999999</v>
      </c>
    </row>
    <row r="21" spans="2:17" x14ac:dyDescent="0.25">
      <c r="B21" s="237" t="s">
        <v>208</v>
      </c>
      <c r="C21" s="49">
        <v>190</v>
      </c>
      <c r="D21" s="49">
        <v>103</v>
      </c>
      <c r="E21" s="49">
        <v>23</v>
      </c>
      <c r="F21" s="49">
        <v>50</v>
      </c>
      <c r="G21" s="49">
        <v>14</v>
      </c>
      <c r="H21" s="49">
        <v>26.9</v>
      </c>
      <c r="I21" s="49">
        <v>19.600000000000001</v>
      </c>
      <c r="J21" s="49">
        <v>5.2</v>
      </c>
      <c r="K21" s="49">
        <v>10.9</v>
      </c>
      <c r="L21" s="49">
        <v>8.6</v>
      </c>
      <c r="M21" s="191">
        <f t="shared" si="0"/>
        <v>27.949099999999998</v>
      </c>
      <c r="N21" s="191">
        <f t="shared" si="0"/>
        <v>20.3644</v>
      </c>
      <c r="O21" s="191">
        <f t="shared" si="0"/>
        <v>5.4028</v>
      </c>
      <c r="P21" s="191">
        <f t="shared" si="0"/>
        <v>11.325099999999999</v>
      </c>
      <c r="Q21" s="191">
        <f t="shared" si="0"/>
        <v>8.9353999999999996</v>
      </c>
    </row>
    <row r="22" spans="2:17" ht="15" customHeight="1" x14ac:dyDescent="0.25">
      <c r="B22" s="236" t="s">
        <v>209</v>
      </c>
      <c r="C22" s="62"/>
      <c r="D22" s="62"/>
      <c r="E22" s="62"/>
      <c r="F22" s="62"/>
      <c r="G22" s="62"/>
      <c r="H22" s="62"/>
      <c r="I22" s="62"/>
      <c r="J22" s="62"/>
      <c r="K22" s="62"/>
      <c r="L22" s="62"/>
      <c r="M22" s="62"/>
      <c r="N22" s="62"/>
      <c r="O22" s="62"/>
      <c r="P22" s="62"/>
      <c r="Q22" s="62"/>
    </row>
    <row r="23" spans="2:17" x14ac:dyDescent="0.25">
      <c r="B23" s="237" t="s">
        <v>210</v>
      </c>
      <c r="C23" s="49">
        <v>316</v>
      </c>
      <c r="D23" s="49">
        <v>250</v>
      </c>
      <c r="E23" s="49">
        <v>28</v>
      </c>
      <c r="F23" s="49">
        <v>22</v>
      </c>
      <c r="G23" s="49">
        <v>16</v>
      </c>
      <c r="H23" s="49">
        <v>30.8</v>
      </c>
      <c r="I23" s="49">
        <v>27.4</v>
      </c>
      <c r="J23" s="49">
        <v>3.2</v>
      </c>
      <c r="K23" s="49">
        <v>3.2</v>
      </c>
      <c r="L23" s="49">
        <v>7.1</v>
      </c>
      <c r="M23" s="191">
        <f t="shared" ref="M23:M40" si="1">H23*Lookups_Conversion_CF_to_kBTU</f>
        <v>32.001199999999997</v>
      </c>
      <c r="N23" s="191">
        <f t="shared" ref="N23:N40" si="2">I23*Lookups_Conversion_CF_to_kBTU</f>
        <v>28.468599999999995</v>
      </c>
      <c r="O23" s="191">
        <f t="shared" ref="O23:O40" si="3">J23*Lookups_Conversion_CF_to_kBTU</f>
        <v>3.3247999999999998</v>
      </c>
      <c r="P23" s="191">
        <f t="shared" ref="P23:P40" si="4">K23*Lookups_Conversion_CF_to_kBTU</f>
        <v>3.3247999999999998</v>
      </c>
      <c r="Q23" s="191">
        <f t="shared" ref="Q23:Q40" si="5">L23*Lookups_Conversion_CF_to_kBTU</f>
        <v>7.3768999999999991</v>
      </c>
    </row>
    <row r="24" spans="2:17" x14ac:dyDescent="0.25">
      <c r="B24" s="237" t="s">
        <v>211</v>
      </c>
      <c r="C24" s="49">
        <v>46</v>
      </c>
      <c r="D24" s="49">
        <v>24</v>
      </c>
      <c r="E24" s="49" t="s">
        <v>229</v>
      </c>
      <c r="F24" s="49">
        <v>18</v>
      </c>
      <c r="G24" s="49" t="s">
        <v>229</v>
      </c>
      <c r="H24" s="49">
        <v>69.2</v>
      </c>
      <c r="I24" s="49">
        <v>41.1</v>
      </c>
      <c r="J24" s="452">
        <f>4.4*$H24/62.8</f>
        <v>4.8484076433121022</v>
      </c>
      <c r="K24" s="452">
        <v>41.8</v>
      </c>
      <c r="L24" s="452">
        <f>9.5*$H24/62.8</f>
        <v>10.468152866242038</v>
      </c>
      <c r="M24" s="191">
        <f t="shared" si="1"/>
        <v>71.898799999999994</v>
      </c>
      <c r="N24" s="191">
        <f t="shared" si="2"/>
        <v>42.7029</v>
      </c>
      <c r="O24" s="191">
        <f t="shared" si="3"/>
        <v>5.0374955414012739</v>
      </c>
      <c r="P24" s="191">
        <f t="shared" si="4"/>
        <v>43.430199999999992</v>
      </c>
      <c r="Q24" s="191">
        <f t="shared" si="5"/>
        <v>10.876410828025477</v>
      </c>
    </row>
    <row r="25" spans="2:17" x14ac:dyDescent="0.25">
      <c r="B25" s="237" t="s">
        <v>212</v>
      </c>
      <c r="C25" s="49">
        <v>146</v>
      </c>
      <c r="D25" s="49">
        <v>26</v>
      </c>
      <c r="E25" s="49">
        <v>14</v>
      </c>
      <c r="F25" s="49">
        <v>105</v>
      </c>
      <c r="G25" s="49" t="s">
        <v>229</v>
      </c>
      <c r="H25" s="49">
        <v>147.6</v>
      </c>
      <c r="I25" s="49">
        <v>37</v>
      </c>
      <c r="J25" s="452">
        <v>18.3</v>
      </c>
      <c r="K25" s="452">
        <v>117</v>
      </c>
      <c r="L25" s="452">
        <f>16.9*$H25/163.2</f>
        <v>15.284558823529411</v>
      </c>
      <c r="M25" s="191">
        <f t="shared" si="1"/>
        <v>153.35639999999998</v>
      </c>
      <c r="N25" s="191">
        <f t="shared" si="2"/>
        <v>38.442999999999998</v>
      </c>
      <c r="O25" s="191">
        <f t="shared" si="3"/>
        <v>19.0137</v>
      </c>
      <c r="P25" s="191">
        <f t="shared" si="4"/>
        <v>121.56299999999999</v>
      </c>
      <c r="Q25" s="191">
        <f t="shared" si="5"/>
        <v>15.880656617647057</v>
      </c>
    </row>
    <row r="26" spans="2:17" x14ac:dyDescent="0.25">
      <c r="B26" s="237" t="s">
        <v>213</v>
      </c>
      <c r="C26" s="49">
        <v>199</v>
      </c>
      <c r="D26" s="49">
        <v>127</v>
      </c>
      <c r="E26" s="49">
        <v>27</v>
      </c>
      <c r="F26" s="49">
        <v>33</v>
      </c>
      <c r="G26" s="49">
        <v>12</v>
      </c>
      <c r="H26" s="49">
        <v>59.1</v>
      </c>
      <c r="I26" s="49">
        <v>46.6</v>
      </c>
      <c r="J26" s="452">
        <v>9.5</v>
      </c>
      <c r="K26" s="452">
        <v>16.399999999999999</v>
      </c>
      <c r="L26" s="452">
        <v>15.5</v>
      </c>
      <c r="M26" s="191">
        <f t="shared" si="1"/>
        <v>61.404899999999998</v>
      </c>
      <c r="N26" s="191">
        <f t="shared" si="2"/>
        <v>48.417400000000001</v>
      </c>
      <c r="O26" s="191">
        <f t="shared" si="3"/>
        <v>9.8704999999999998</v>
      </c>
      <c r="P26" s="191">
        <f t="shared" si="4"/>
        <v>17.039599999999997</v>
      </c>
      <c r="Q26" s="191">
        <f t="shared" si="5"/>
        <v>16.104499999999998</v>
      </c>
    </row>
    <row r="27" spans="2:17" x14ac:dyDescent="0.25">
      <c r="B27" s="237" t="s">
        <v>214</v>
      </c>
      <c r="C27" s="49">
        <v>164</v>
      </c>
      <c r="D27" s="49">
        <v>97</v>
      </c>
      <c r="E27" s="49">
        <v>24</v>
      </c>
      <c r="F27" s="49">
        <v>32</v>
      </c>
      <c r="G27" s="49">
        <v>11</v>
      </c>
      <c r="H27" s="49">
        <v>77.900000000000006</v>
      </c>
      <c r="I27" s="49">
        <v>58.3</v>
      </c>
      <c r="J27" s="452">
        <v>13.5</v>
      </c>
      <c r="K27" s="452">
        <v>16.899999999999999</v>
      </c>
      <c r="L27" s="452">
        <v>19.899999999999999</v>
      </c>
      <c r="M27" s="191">
        <f t="shared" si="1"/>
        <v>80.938100000000006</v>
      </c>
      <c r="N27" s="191">
        <f t="shared" si="2"/>
        <v>60.573699999999995</v>
      </c>
      <c r="O27" s="191">
        <f t="shared" si="3"/>
        <v>14.026499999999999</v>
      </c>
      <c r="P27" s="191">
        <f t="shared" si="4"/>
        <v>17.559099999999997</v>
      </c>
      <c r="Q27" s="191">
        <f t="shared" si="5"/>
        <v>20.676099999999998</v>
      </c>
    </row>
    <row r="28" spans="2:17" x14ac:dyDescent="0.25">
      <c r="B28" s="237" t="s">
        <v>215</v>
      </c>
      <c r="C28" s="49">
        <v>35</v>
      </c>
      <c r="D28" s="49">
        <v>30</v>
      </c>
      <c r="E28" s="49">
        <v>3</v>
      </c>
      <c r="F28" s="49">
        <v>1</v>
      </c>
      <c r="G28" s="49">
        <v>1</v>
      </c>
      <c r="H28" s="49">
        <v>27.8</v>
      </c>
      <c r="I28" s="49">
        <v>28.1</v>
      </c>
      <c r="J28" s="452">
        <v>3</v>
      </c>
      <c r="K28" s="452">
        <v>9.1999999999999993</v>
      </c>
      <c r="L28" s="452">
        <v>4.4000000000000004</v>
      </c>
      <c r="M28" s="191">
        <f t="shared" si="1"/>
        <v>28.8842</v>
      </c>
      <c r="N28" s="191">
        <f t="shared" si="2"/>
        <v>29.195899999999998</v>
      </c>
      <c r="O28" s="191">
        <f t="shared" si="3"/>
        <v>3.117</v>
      </c>
      <c r="P28" s="191">
        <f t="shared" si="4"/>
        <v>9.558799999999998</v>
      </c>
      <c r="Q28" s="191">
        <f t="shared" si="5"/>
        <v>4.5716000000000001</v>
      </c>
    </row>
    <row r="29" spans="2:17" x14ac:dyDescent="0.25">
      <c r="B29" s="237" t="s">
        <v>216</v>
      </c>
      <c r="C29" s="49">
        <v>216</v>
      </c>
      <c r="D29" s="49">
        <v>64</v>
      </c>
      <c r="E29" s="49">
        <v>80</v>
      </c>
      <c r="F29" s="49">
        <v>60</v>
      </c>
      <c r="G29" s="49">
        <v>12</v>
      </c>
      <c r="H29" s="49">
        <v>37</v>
      </c>
      <c r="I29" s="49">
        <v>16.5</v>
      </c>
      <c r="J29" s="452">
        <v>16.3</v>
      </c>
      <c r="K29" s="452">
        <v>16.7</v>
      </c>
      <c r="L29" s="452">
        <v>11.9</v>
      </c>
      <c r="M29" s="191">
        <f t="shared" si="1"/>
        <v>38.442999999999998</v>
      </c>
      <c r="N29" s="191">
        <f t="shared" si="2"/>
        <v>17.1435</v>
      </c>
      <c r="O29" s="191">
        <f t="shared" si="3"/>
        <v>16.935700000000001</v>
      </c>
      <c r="P29" s="191">
        <f t="shared" si="4"/>
        <v>17.351299999999998</v>
      </c>
      <c r="Q29" s="191">
        <f t="shared" si="5"/>
        <v>12.364099999999999</v>
      </c>
    </row>
    <row r="30" spans="2:17" x14ac:dyDescent="0.25">
      <c r="B30" s="237" t="s">
        <v>217</v>
      </c>
      <c r="C30" s="49">
        <v>321</v>
      </c>
      <c r="D30" s="49">
        <v>185</v>
      </c>
      <c r="E30" s="49">
        <v>35</v>
      </c>
      <c r="F30" s="49">
        <v>89</v>
      </c>
      <c r="G30" s="49">
        <v>12</v>
      </c>
      <c r="H30" s="49">
        <v>35.700000000000003</v>
      </c>
      <c r="I30" s="49">
        <v>21.4</v>
      </c>
      <c r="J30" s="452">
        <v>5.4</v>
      </c>
      <c r="K30" s="452">
        <v>18.899999999999999</v>
      </c>
      <c r="L30" s="452">
        <v>9.6</v>
      </c>
      <c r="M30" s="191">
        <f t="shared" si="1"/>
        <v>37.092300000000002</v>
      </c>
      <c r="N30" s="191">
        <f t="shared" si="2"/>
        <v>22.234599999999997</v>
      </c>
      <c r="O30" s="191">
        <f t="shared" si="3"/>
        <v>5.6105999999999998</v>
      </c>
      <c r="P30" s="191">
        <f t="shared" si="4"/>
        <v>19.637099999999997</v>
      </c>
      <c r="Q30" s="191">
        <f t="shared" si="5"/>
        <v>9.9743999999999993</v>
      </c>
    </row>
    <row r="31" spans="2:17" x14ac:dyDescent="0.25">
      <c r="B31" s="237" t="s">
        <v>218</v>
      </c>
      <c r="C31" s="49">
        <v>83</v>
      </c>
      <c r="D31" s="49">
        <v>65</v>
      </c>
      <c r="E31" s="49" t="s">
        <v>229</v>
      </c>
      <c r="F31" s="49">
        <v>13</v>
      </c>
      <c r="G31" s="49" t="s">
        <v>229</v>
      </c>
      <c r="H31" s="49">
        <v>23.3</v>
      </c>
      <c r="I31" s="49">
        <v>19</v>
      </c>
      <c r="J31" s="452">
        <f>2.5*$H31/22</f>
        <v>2.6477272727272729</v>
      </c>
      <c r="K31" s="452">
        <v>10.1</v>
      </c>
      <c r="L31" s="452">
        <f>6.9*$H31/22</f>
        <v>7.3077272727272735</v>
      </c>
      <c r="M31" s="191">
        <f t="shared" si="1"/>
        <v>24.2087</v>
      </c>
      <c r="N31" s="191">
        <f t="shared" si="2"/>
        <v>19.741</v>
      </c>
      <c r="O31" s="191">
        <f t="shared" si="3"/>
        <v>2.7509886363636364</v>
      </c>
      <c r="P31" s="191">
        <f t="shared" si="4"/>
        <v>10.493899999999998</v>
      </c>
      <c r="Q31" s="191">
        <f t="shared" si="5"/>
        <v>7.5927286363636366</v>
      </c>
    </row>
    <row r="32" spans="2:17" x14ac:dyDescent="0.25">
      <c r="B32" s="237" t="s">
        <v>219</v>
      </c>
      <c r="C32" s="49">
        <v>238</v>
      </c>
      <c r="D32" s="49">
        <v>120</v>
      </c>
      <c r="E32" s="49">
        <v>32</v>
      </c>
      <c r="F32" s="49">
        <v>76</v>
      </c>
      <c r="G32" s="49">
        <v>9</v>
      </c>
      <c r="H32" s="49">
        <v>44</v>
      </c>
      <c r="I32" s="49">
        <v>22.9</v>
      </c>
      <c r="J32" s="452">
        <v>7</v>
      </c>
      <c r="K32" s="452">
        <v>22.3</v>
      </c>
      <c r="L32" s="452">
        <v>9.1999999999999993</v>
      </c>
      <c r="M32" s="191">
        <f t="shared" si="1"/>
        <v>45.715999999999994</v>
      </c>
      <c r="N32" s="191">
        <f t="shared" si="2"/>
        <v>23.793099999999995</v>
      </c>
      <c r="O32" s="191">
        <f t="shared" si="3"/>
        <v>7.2729999999999997</v>
      </c>
      <c r="P32" s="191">
        <f t="shared" si="4"/>
        <v>23.169699999999999</v>
      </c>
      <c r="Q32" s="191">
        <f t="shared" si="5"/>
        <v>9.558799999999998</v>
      </c>
    </row>
    <row r="33" spans="2:17" x14ac:dyDescent="0.25">
      <c r="B33" s="237" t="s">
        <v>220</v>
      </c>
      <c r="C33" s="49">
        <v>241</v>
      </c>
      <c r="D33" s="49">
        <v>211</v>
      </c>
      <c r="E33" s="49">
        <v>8</v>
      </c>
      <c r="F33" s="49">
        <v>12</v>
      </c>
      <c r="G33" s="49">
        <v>11</v>
      </c>
      <c r="H33" s="49">
        <v>21.3</v>
      </c>
      <c r="I33" s="49">
        <v>22.7</v>
      </c>
      <c r="J33" s="452">
        <v>1.1000000000000001</v>
      </c>
      <c r="K33" s="452">
        <v>4.0999999999999996</v>
      </c>
      <c r="L33" s="452">
        <v>5.9</v>
      </c>
      <c r="M33" s="191">
        <f t="shared" si="1"/>
        <v>22.130699999999997</v>
      </c>
      <c r="N33" s="191">
        <f t="shared" si="2"/>
        <v>23.585299999999997</v>
      </c>
      <c r="O33" s="191">
        <f t="shared" si="3"/>
        <v>1.1429</v>
      </c>
      <c r="P33" s="191">
        <f t="shared" si="4"/>
        <v>4.2598999999999991</v>
      </c>
      <c r="Q33" s="191">
        <f t="shared" si="5"/>
        <v>6.1300999999999997</v>
      </c>
    </row>
    <row r="34" spans="2:17" x14ac:dyDescent="0.25">
      <c r="B34" s="237" t="s">
        <v>221</v>
      </c>
      <c r="C34" s="49">
        <v>208</v>
      </c>
      <c r="D34" s="49">
        <v>176</v>
      </c>
      <c r="E34" s="49">
        <v>4</v>
      </c>
      <c r="F34" s="49">
        <v>18</v>
      </c>
      <c r="G34" s="49">
        <v>11</v>
      </c>
      <c r="H34" s="49">
        <v>39.799999999999997</v>
      </c>
      <c r="I34" s="49">
        <v>41.1</v>
      </c>
      <c r="J34" s="452">
        <v>0.9</v>
      </c>
      <c r="K34" s="452">
        <v>6.7</v>
      </c>
      <c r="L34" s="452">
        <v>16.100000000000001</v>
      </c>
      <c r="M34" s="191">
        <f t="shared" si="1"/>
        <v>41.352199999999996</v>
      </c>
      <c r="N34" s="191">
        <f t="shared" si="2"/>
        <v>42.7029</v>
      </c>
      <c r="O34" s="191">
        <f t="shared" si="3"/>
        <v>0.93509999999999993</v>
      </c>
      <c r="P34" s="191">
        <f t="shared" si="4"/>
        <v>6.9612999999999996</v>
      </c>
      <c r="Q34" s="191">
        <f t="shared" si="5"/>
        <v>16.727900000000002</v>
      </c>
    </row>
    <row r="35" spans="2:17" x14ac:dyDescent="0.25">
      <c r="B35" s="237" t="s">
        <v>222</v>
      </c>
      <c r="C35" s="49">
        <v>45</v>
      </c>
      <c r="D35" s="49">
        <v>31</v>
      </c>
      <c r="E35" s="49">
        <v>9</v>
      </c>
      <c r="F35" s="49">
        <v>3</v>
      </c>
      <c r="G35" s="49" t="s">
        <v>229</v>
      </c>
      <c r="H35" s="49">
        <v>35.5</v>
      </c>
      <c r="I35" s="49">
        <v>28.5</v>
      </c>
      <c r="J35" s="452">
        <v>9.4</v>
      </c>
      <c r="K35" s="452">
        <v>4.7</v>
      </c>
      <c r="L35" s="452">
        <f>2.2*$H35/40.4</f>
        <v>1.9331683168316836</v>
      </c>
      <c r="M35" s="191">
        <f t="shared" si="1"/>
        <v>36.884499999999996</v>
      </c>
      <c r="N35" s="191">
        <f t="shared" si="2"/>
        <v>29.611499999999999</v>
      </c>
      <c r="O35" s="191">
        <f t="shared" si="3"/>
        <v>9.7666000000000004</v>
      </c>
      <c r="P35" s="191">
        <f t="shared" si="4"/>
        <v>4.8833000000000002</v>
      </c>
      <c r="Q35" s="191">
        <f t="shared" si="5"/>
        <v>2.0085618811881192</v>
      </c>
    </row>
    <row r="36" spans="2:17" x14ac:dyDescent="0.25">
      <c r="B36" s="237" t="s">
        <v>223</v>
      </c>
      <c r="C36" s="49">
        <v>91</v>
      </c>
      <c r="D36" s="49">
        <v>71</v>
      </c>
      <c r="E36" s="49">
        <v>3</v>
      </c>
      <c r="F36" s="49">
        <v>16</v>
      </c>
      <c r="G36" s="49" t="s">
        <v>229</v>
      </c>
      <c r="H36" s="49">
        <v>22.2</v>
      </c>
      <c r="I36" s="49">
        <v>19.600000000000001</v>
      </c>
      <c r="J36" s="452">
        <v>1.1000000000000001</v>
      </c>
      <c r="K36" s="452">
        <v>7.4</v>
      </c>
      <c r="L36" s="452">
        <f>4.7*$H36/28.8</f>
        <v>3.6229166666666668</v>
      </c>
      <c r="M36" s="191">
        <f t="shared" si="1"/>
        <v>23.065799999999996</v>
      </c>
      <c r="N36" s="191">
        <f t="shared" si="2"/>
        <v>20.3644</v>
      </c>
      <c r="O36" s="191">
        <f t="shared" si="3"/>
        <v>1.1429</v>
      </c>
      <c r="P36" s="191">
        <f t="shared" si="4"/>
        <v>7.6886000000000001</v>
      </c>
      <c r="Q36" s="191">
        <f t="shared" si="5"/>
        <v>3.7642104166666663</v>
      </c>
    </row>
    <row r="37" spans="2:17" x14ac:dyDescent="0.25">
      <c r="B37" s="237" t="s">
        <v>224</v>
      </c>
      <c r="C37" s="49">
        <v>140</v>
      </c>
      <c r="D37" s="49">
        <v>131</v>
      </c>
      <c r="E37" s="49" t="s">
        <v>229</v>
      </c>
      <c r="F37" s="49" t="s">
        <v>229</v>
      </c>
      <c r="G37" s="49" t="s">
        <v>229</v>
      </c>
      <c r="H37" s="49">
        <v>41.9</v>
      </c>
      <c r="I37" s="49">
        <v>41</v>
      </c>
      <c r="J37" s="452">
        <f>15*$H37/43.7</f>
        <v>14.382151029748282</v>
      </c>
      <c r="K37" s="452">
        <f>0*$H37/43.7</f>
        <v>0</v>
      </c>
      <c r="L37" s="452">
        <f>0*$H37/43.7</f>
        <v>0</v>
      </c>
      <c r="M37" s="191">
        <f t="shared" si="1"/>
        <v>43.534099999999995</v>
      </c>
      <c r="N37" s="191">
        <f t="shared" si="2"/>
        <v>42.598999999999997</v>
      </c>
      <c r="O37" s="191">
        <f t="shared" si="3"/>
        <v>14.943054919908464</v>
      </c>
      <c r="P37" s="191">
        <f t="shared" si="4"/>
        <v>0</v>
      </c>
      <c r="Q37" s="191">
        <f t="shared" si="5"/>
        <v>0</v>
      </c>
    </row>
    <row r="38" spans="2:17" x14ac:dyDescent="0.25">
      <c r="B38" s="237" t="s">
        <v>225</v>
      </c>
      <c r="C38" s="49">
        <v>192</v>
      </c>
      <c r="D38" s="49">
        <v>177</v>
      </c>
      <c r="E38" s="49">
        <v>4</v>
      </c>
      <c r="F38" s="49" t="s">
        <v>229</v>
      </c>
      <c r="G38" s="49">
        <v>10</v>
      </c>
      <c r="H38" s="49">
        <v>18.600000000000001</v>
      </c>
      <c r="I38" s="49">
        <v>19.100000000000001</v>
      </c>
      <c r="J38" s="452">
        <v>0.9</v>
      </c>
      <c r="K38" s="452">
        <f>0*$H38/19.9</f>
        <v>0</v>
      </c>
      <c r="L38" s="452">
        <v>5.9</v>
      </c>
      <c r="M38" s="191">
        <f t="shared" si="1"/>
        <v>19.325399999999998</v>
      </c>
      <c r="N38" s="191">
        <f t="shared" si="2"/>
        <v>19.844899999999999</v>
      </c>
      <c r="O38" s="191">
        <f t="shared" si="3"/>
        <v>0.93509999999999993</v>
      </c>
      <c r="P38" s="191">
        <f t="shared" si="4"/>
        <v>0</v>
      </c>
      <c r="Q38" s="191">
        <f t="shared" si="5"/>
        <v>6.1300999999999997</v>
      </c>
    </row>
    <row r="39" spans="2:17" x14ac:dyDescent="0.25">
      <c r="B39" s="237" t="s">
        <v>226</v>
      </c>
      <c r="C39" s="49">
        <v>47</v>
      </c>
      <c r="D39" s="49">
        <v>39</v>
      </c>
      <c r="E39" s="49">
        <v>1</v>
      </c>
      <c r="F39" s="49" t="s">
        <v>229</v>
      </c>
      <c r="G39" s="49" t="s">
        <v>229</v>
      </c>
      <c r="H39" s="49">
        <v>29.2</v>
      </c>
      <c r="I39" s="49">
        <v>31.9</v>
      </c>
      <c r="J39" s="452">
        <v>1</v>
      </c>
      <c r="K39" s="452">
        <f>0*$H39/58.6</f>
        <v>0</v>
      </c>
      <c r="L39" s="452">
        <v>7.8</v>
      </c>
      <c r="M39" s="191">
        <f t="shared" si="1"/>
        <v>30.338799999999996</v>
      </c>
      <c r="N39" s="191">
        <f t="shared" si="2"/>
        <v>33.144099999999995</v>
      </c>
      <c r="O39" s="191">
        <f t="shared" si="3"/>
        <v>1.0389999999999999</v>
      </c>
      <c r="P39" s="191">
        <f t="shared" si="4"/>
        <v>0</v>
      </c>
      <c r="Q39" s="191">
        <f t="shared" si="5"/>
        <v>8.1041999999999987</v>
      </c>
    </row>
    <row r="40" spans="2:17" x14ac:dyDescent="0.25">
      <c r="B40" s="237" t="s">
        <v>227</v>
      </c>
      <c r="C40" s="49">
        <v>10</v>
      </c>
      <c r="D40" s="49">
        <v>9</v>
      </c>
      <c r="E40" s="49" t="s">
        <v>229</v>
      </c>
      <c r="F40" s="49" t="s">
        <v>229</v>
      </c>
      <c r="G40" s="49" t="s">
        <v>229</v>
      </c>
      <c r="H40" s="49">
        <v>19.2</v>
      </c>
      <c r="I40" s="49">
        <v>20.100000000000001</v>
      </c>
      <c r="J40" s="452">
        <v>0</v>
      </c>
      <c r="K40" s="452">
        <v>0</v>
      </c>
      <c r="L40" s="452">
        <v>0</v>
      </c>
      <c r="M40" s="191">
        <f t="shared" si="1"/>
        <v>19.948799999999999</v>
      </c>
      <c r="N40" s="191">
        <f t="shared" si="2"/>
        <v>20.883900000000001</v>
      </c>
      <c r="O40" s="191">
        <f t="shared" si="3"/>
        <v>0</v>
      </c>
      <c r="P40" s="191">
        <f t="shared" si="4"/>
        <v>0</v>
      </c>
      <c r="Q40" s="191">
        <f t="shared" si="5"/>
        <v>0</v>
      </c>
    </row>
    <row r="41" spans="2:17" x14ac:dyDescent="0.25">
      <c r="B41" s="236" t="s">
        <v>230</v>
      </c>
      <c r="C41" s="62"/>
      <c r="D41" s="62"/>
      <c r="E41" s="62"/>
      <c r="F41" s="62"/>
      <c r="G41" s="62"/>
      <c r="H41" s="62"/>
      <c r="I41" s="62"/>
      <c r="J41" s="62"/>
      <c r="K41" s="62"/>
      <c r="L41" s="62"/>
      <c r="M41" s="62"/>
      <c r="N41" s="62"/>
      <c r="O41" s="62"/>
      <c r="P41" s="62"/>
      <c r="Q41" s="62"/>
    </row>
    <row r="42" spans="2:17" x14ac:dyDescent="0.25">
      <c r="B42" s="237" t="s">
        <v>231</v>
      </c>
      <c r="C42" s="49">
        <v>79</v>
      </c>
      <c r="D42" s="49">
        <v>61</v>
      </c>
      <c r="E42" s="49">
        <v>4</v>
      </c>
      <c r="F42" s="49">
        <v>10</v>
      </c>
      <c r="G42" s="49">
        <v>3</v>
      </c>
      <c r="H42" s="49">
        <v>31.9</v>
      </c>
      <c r="I42" s="49">
        <v>28.1</v>
      </c>
      <c r="J42" s="49">
        <v>3.1</v>
      </c>
      <c r="K42" s="49">
        <v>13.3</v>
      </c>
      <c r="L42" s="49">
        <v>6.7</v>
      </c>
      <c r="M42" s="191">
        <f t="shared" ref="M42:M50" si="6">H42*Lookups_Conversion_CF_to_kBTU</f>
        <v>33.144099999999995</v>
      </c>
      <c r="N42" s="191">
        <f t="shared" ref="N42:N50" si="7">I42*Lookups_Conversion_CF_to_kBTU</f>
        <v>29.195899999999998</v>
      </c>
      <c r="O42" s="191">
        <f t="shared" ref="O42:O50" si="8">J42*Lookups_Conversion_CF_to_kBTU</f>
        <v>3.2208999999999999</v>
      </c>
      <c r="P42" s="191">
        <f t="shared" ref="P42:P50" si="9">K42*Lookups_Conversion_CF_to_kBTU</f>
        <v>13.8187</v>
      </c>
      <c r="Q42" s="191">
        <f t="shared" ref="Q42:Q50" si="10">L42*Lookups_Conversion_CF_to_kBTU</f>
        <v>6.9612999999999996</v>
      </c>
    </row>
    <row r="43" spans="2:17" x14ac:dyDescent="0.25">
      <c r="B43" s="237" t="s">
        <v>232</v>
      </c>
      <c r="C43" s="49">
        <v>119</v>
      </c>
      <c r="D43" s="49">
        <v>91</v>
      </c>
      <c r="E43" s="49">
        <v>8</v>
      </c>
      <c r="F43" s="49">
        <v>19</v>
      </c>
      <c r="G43" s="49">
        <v>1</v>
      </c>
      <c r="H43" s="49">
        <v>31</v>
      </c>
      <c r="I43" s="49">
        <v>27.8</v>
      </c>
      <c r="J43" s="49">
        <v>3.1</v>
      </c>
      <c r="K43" s="49">
        <v>10.9</v>
      </c>
      <c r="L43" s="49" t="s">
        <v>229</v>
      </c>
      <c r="M43" s="191">
        <f t="shared" si="6"/>
        <v>32.208999999999996</v>
      </c>
      <c r="N43" s="191">
        <f t="shared" si="7"/>
        <v>28.8842</v>
      </c>
      <c r="O43" s="191">
        <f t="shared" si="8"/>
        <v>3.2208999999999999</v>
      </c>
      <c r="P43" s="191">
        <f t="shared" si="9"/>
        <v>11.325099999999999</v>
      </c>
      <c r="Q43" s="191" t="e">
        <f t="shared" si="10"/>
        <v>#VALUE!</v>
      </c>
    </row>
    <row r="44" spans="2:17" x14ac:dyDescent="0.25">
      <c r="B44" s="237" t="s">
        <v>233</v>
      </c>
      <c r="C44" s="49">
        <v>166</v>
      </c>
      <c r="D44" s="49">
        <v>127</v>
      </c>
      <c r="E44" s="49">
        <v>14</v>
      </c>
      <c r="F44" s="49">
        <v>21</v>
      </c>
      <c r="G44" s="49">
        <v>5</v>
      </c>
      <c r="H44" s="49">
        <v>33.1</v>
      </c>
      <c r="I44" s="49">
        <v>28.1</v>
      </c>
      <c r="J44" s="49">
        <v>4.2</v>
      </c>
      <c r="K44" s="49">
        <v>10.1</v>
      </c>
      <c r="L44" s="49">
        <v>7.2</v>
      </c>
      <c r="M44" s="191">
        <f t="shared" si="6"/>
        <v>34.390900000000002</v>
      </c>
      <c r="N44" s="191">
        <f t="shared" si="7"/>
        <v>29.195899999999998</v>
      </c>
      <c r="O44" s="191">
        <f t="shared" si="8"/>
        <v>4.3637999999999995</v>
      </c>
      <c r="P44" s="191">
        <f t="shared" si="9"/>
        <v>10.493899999999998</v>
      </c>
      <c r="Q44" s="191">
        <f t="shared" si="10"/>
        <v>7.4807999999999995</v>
      </c>
    </row>
    <row r="45" spans="2:17" x14ac:dyDescent="0.25">
      <c r="B45" s="237" t="s">
        <v>234</v>
      </c>
      <c r="C45" s="49">
        <v>278</v>
      </c>
      <c r="D45" s="49">
        <v>198</v>
      </c>
      <c r="E45" s="49">
        <v>29</v>
      </c>
      <c r="F45" s="49">
        <v>37</v>
      </c>
      <c r="G45" s="49">
        <v>13</v>
      </c>
      <c r="H45" s="49">
        <v>35.6</v>
      </c>
      <c r="I45" s="49">
        <v>29.8</v>
      </c>
      <c r="J45" s="49">
        <v>5.3</v>
      </c>
      <c r="K45" s="49">
        <v>11.3</v>
      </c>
      <c r="L45" s="49">
        <v>11.4</v>
      </c>
      <c r="M45" s="191">
        <f t="shared" si="6"/>
        <v>36.988399999999999</v>
      </c>
      <c r="N45" s="191">
        <f t="shared" si="7"/>
        <v>30.962199999999999</v>
      </c>
      <c r="O45" s="191">
        <f t="shared" si="8"/>
        <v>5.5066999999999995</v>
      </c>
      <c r="P45" s="191">
        <f t="shared" si="9"/>
        <v>11.7407</v>
      </c>
      <c r="Q45" s="191">
        <f t="shared" si="10"/>
        <v>11.8446</v>
      </c>
    </row>
    <row r="46" spans="2:17" x14ac:dyDescent="0.25">
      <c r="B46" s="237" t="s">
        <v>235</v>
      </c>
      <c r="C46" s="49">
        <v>292</v>
      </c>
      <c r="D46" s="49">
        <v>205</v>
      </c>
      <c r="E46" s="49">
        <v>29</v>
      </c>
      <c r="F46" s="49">
        <v>48</v>
      </c>
      <c r="G46" s="49">
        <v>9</v>
      </c>
      <c r="H46" s="49">
        <v>32.1</v>
      </c>
      <c r="I46" s="49">
        <v>26.1</v>
      </c>
      <c r="J46" s="49">
        <v>4.8</v>
      </c>
      <c r="K46" s="49">
        <v>15.2</v>
      </c>
      <c r="L46" s="49">
        <v>6.7</v>
      </c>
      <c r="M46" s="191">
        <f t="shared" si="6"/>
        <v>33.351900000000001</v>
      </c>
      <c r="N46" s="191">
        <f t="shared" si="7"/>
        <v>27.117899999999999</v>
      </c>
      <c r="O46" s="191">
        <f t="shared" si="8"/>
        <v>4.9871999999999996</v>
      </c>
      <c r="P46" s="191">
        <f t="shared" si="9"/>
        <v>15.792799999999998</v>
      </c>
      <c r="Q46" s="191">
        <f t="shared" si="10"/>
        <v>6.9612999999999996</v>
      </c>
    </row>
    <row r="47" spans="2:17" x14ac:dyDescent="0.25">
      <c r="B47" s="237" t="s">
        <v>236</v>
      </c>
      <c r="C47" s="49">
        <v>301</v>
      </c>
      <c r="D47" s="49">
        <v>180</v>
      </c>
      <c r="E47" s="49">
        <v>41</v>
      </c>
      <c r="F47" s="49">
        <v>67</v>
      </c>
      <c r="G47" s="49">
        <v>12</v>
      </c>
      <c r="H47" s="49">
        <v>34.299999999999997</v>
      </c>
      <c r="I47" s="49">
        <v>24.8</v>
      </c>
      <c r="J47" s="49">
        <v>6.7</v>
      </c>
      <c r="K47" s="49">
        <v>17.899999999999999</v>
      </c>
      <c r="L47" s="49">
        <v>12.1</v>
      </c>
      <c r="M47" s="191">
        <f t="shared" si="6"/>
        <v>35.637699999999995</v>
      </c>
      <c r="N47" s="191">
        <f t="shared" si="7"/>
        <v>25.767199999999999</v>
      </c>
      <c r="O47" s="191">
        <f t="shared" si="8"/>
        <v>6.9612999999999996</v>
      </c>
      <c r="P47" s="191">
        <f t="shared" si="9"/>
        <v>18.598099999999999</v>
      </c>
      <c r="Q47" s="191">
        <f t="shared" si="10"/>
        <v>12.571899999999999</v>
      </c>
    </row>
    <row r="48" spans="2:17" x14ac:dyDescent="0.25">
      <c r="B48" s="237" t="s">
        <v>237</v>
      </c>
      <c r="C48" s="49">
        <v>300</v>
      </c>
      <c r="D48" s="49">
        <v>210</v>
      </c>
      <c r="E48" s="49">
        <v>28</v>
      </c>
      <c r="F48" s="49">
        <v>47</v>
      </c>
      <c r="G48" s="49">
        <v>15</v>
      </c>
      <c r="H48" s="49">
        <v>28.9</v>
      </c>
      <c r="I48" s="49">
        <v>23.4</v>
      </c>
      <c r="J48" s="49">
        <v>4</v>
      </c>
      <c r="K48" s="49">
        <v>10.9</v>
      </c>
      <c r="L48" s="49">
        <v>10.1</v>
      </c>
      <c r="M48" s="191">
        <f t="shared" si="6"/>
        <v>30.027099999999997</v>
      </c>
      <c r="N48" s="191">
        <f t="shared" si="7"/>
        <v>24.312599999999996</v>
      </c>
      <c r="O48" s="191">
        <f t="shared" si="8"/>
        <v>4.1559999999999997</v>
      </c>
      <c r="P48" s="191">
        <f t="shared" si="9"/>
        <v>11.325099999999999</v>
      </c>
      <c r="Q48" s="191">
        <f t="shared" si="10"/>
        <v>10.493899999999998</v>
      </c>
    </row>
    <row r="49" spans="2:17" x14ac:dyDescent="0.25">
      <c r="B49" s="237" t="s">
        <v>238</v>
      </c>
      <c r="C49" s="49">
        <v>458</v>
      </c>
      <c r="D49" s="49">
        <v>302</v>
      </c>
      <c r="E49" s="49">
        <v>44</v>
      </c>
      <c r="F49" s="49">
        <v>90</v>
      </c>
      <c r="G49" s="49">
        <v>22</v>
      </c>
      <c r="H49" s="49">
        <v>35.700000000000003</v>
      </c>
      <c r="I49" s="49">
        <v>26.6</v>
      </c>
      <c r="J49" s="49">
        <v>4.7</v>
      </c>
      <c r="K49" s="49">
        <v>15.4</v>
      </c>
      <c r="L49" s="49">
        <v>9.1999999999999993</v>
      </c>
      <c r="M49" s="191">
        <f t="shared" si="6"/>
        <v>37.092300000000002</v>
      </c>
      <c r="N49" s="191">
        <f t="shared" si="7"/>
        <v>27.6374</v>
      </c>
      <c r="O49" s="191">
        <f t="shared" si="8"/>
        <v>4.8833000000000002</v>
      </c>
      <c r="P49" s="191">
        <f t="shared" si="9"/>
        <v>16.000599999999999</v>
      </c>
      <c r="Q49" s="191">
        <f t="shared" si="10"/>
        <v>9.558799999999998</v>
      </c>
    </row>
    <row r="50" spans="2:17" x14ac:dyDescent="0.25">
      <c r="B50" s="237" t="s">
        <v>239</v>
      </c>
      <c r="C50" s="49">
        <v>223</v>
      </c>
      <c r="D50" s="49">
        <v>146</v>
      </c>
      <c r="E50" s="49">
        <v>23</v>
      </c>
      <c r="F50" s="49">
        <v>40</v>
      </c>
      <c r="G50" s="49">
        <v>14</v>
      </c>
      <c r="H50" s="49">
        <v>29.8</v>
      </c>
      <c r="I50" s="49">
        <v>24.4</v>
      </c>
      <c r="J50" s="49">
        <v>4.5</v>
      </c>
      <c r="K50" s="49">
        <v>14.2</v>
      </c>
      <c r="L50" s="49">
        <v>8.4</v>
      </c>
      <c r="M50" s="191">
        <f t="shared" si="6"/>
        <v>30.962199999999999</v>
      </c>
      <c r="N50" s="191">
        <f t="shared" si="7"/>
        <v>25.351599999999998</v>
      </c>
      <c r="O50" s="191">
        <f t="shared" si="8"/>
        <v>4.6754999999999995</v>
      </c>
      <c r="P50" s="191">
        <f t="shared" si="9"/>
        <v>14.753799999999998</v>
      </c>
      <c r="Q50" s="191">
        <f t="shared" si="10"/>
        <v>8.7275999999999989</v>
      </c>
    </row>
    <row r="51" spans="2:17" x14ac:dyDescent="0.25">
      <c r="B51" s="236" t="s">
        <v>240</v>
      </c>
      <c r="C51" s="62"/>
      <c r="D51" s="62"/>
      <c r="E51" s="62"/>
      <c r="F51" s="62"/>
      <c r="G51" s="62"/>
      <c r="H51" s="62"/>
      <c r="I51" s="62"/>
      <c r="J51" s="62"/>
      <c r="K51" s="62"/>
      <c r="L51" s="62"/>
      <c r="M51" s="62"/>
      <c r="N51" s="62"/>
      <c r="O51" s="62"/>
      <c r="P51" s="62"/>
      <c r="Q51" s="62"/>
    </row>
    <row r="52" spans="2:17" x14ac:dyDescent="0.25">
      <c r="B52" s="237" t="s">
        <v>241</v>
      </c>
      <c r="C52" s="49">
        <v>409</v>
      </c>
      <c r="D52" s="49">
        <v>313</v>
      </c>
      <c r="E52" s="49">
        <v>27</v>
      </c>
      <c r="F52" s="49">
        <v>50</v>
      </c>
      <c r="G52" s="49">
        <v>19</v>
      </c>
      <c r="H52" s="49">
        <v>36.1</v>
      </c>
      <c r="I52" s="49">
        <v>31.3</v>
      </c>
      <c r="J52" s="49">
        <v>3.9</v>
      </c>
      <c r="K52" s="49">
        <v>9.5</v>
      </c>
      <c r="L52" s="49">
        <v>8.3000000000000007</v>
      </c>
      <c r="M52" s="191">
        <f t="shared" ref="M52:M64" si="11">H52*Lookups_Conversion_CF_to_kBTU</f>
        <v>37.507899999999999</v>
      </c>
      <c r="N52" s="191">
        <f t="shared" ref="N52:N64" si="12">I52*Lookups_Conversion_CF_to_kBTU</f>
        <v>32.520699999999998</v>
      </c>
      <c r="O52" s="191">
        <f t="shared" ref="O52:O64" si="13">J52*Lookups_Conversion_CF_to_kBTU</f>
        <v>4.0520999999999994</v>
      </c>
      <c r="P52" s="191">
        <f t="shared" ref="P52:P64" si="14">K52*Lookups_Conversion_CF_to_kBTU</f>
        <v>9.8704999999999998</v>
      </c>
      <c r="Q52" s="191">
        <f t="shared" ref="Q52:Q64" si="15">L52*Lookups_Conversion_CF_to_kBTU</f>
        <v>8.6236999999999995</v>
      </c>
    </row>
    <row r="53" spans="2:17" x14ac:dyDescent="0.25">
      <c r="B53" s="237" t="s">
        <v>242</v>
      </c>
      <c r="C53" s="49">
        <v>75</v>
      </c>
      <c r="D53" s="49">
        <v>54</v>
      </c>
      <c r="E53" s="49">
        <v>6</v>
      </c>
      <c r="F53" s="49">
        <v>12</v>
      </c>
      <c r="G53" s="49">
        <v>2</v>
      </c>
      <c r="H53" s="49">
        <v>40.5</v>
      </c>
      <c r="I53" s="49">
        <v>32.700000000000003</v>
      </c>
      <c r="J53" s="49">
        <v>5.8</v>
      </c>
      <c r="K53" s="49">
        <v>15.1</v>
      </c>
      <c r="L53" s="49">
        <v>6.4</v>
      </c>
      <c r="M53" s="191">
        <f t="shared" si="11"/>
        <v>42.079499999999996</v>
      </c>
      <c r="N53" s="191">
        <f t="shared" si="12"/>
        <v>33.975299999999997</v>
      </c>
      <c r="O53" s="191">
        <f t="shared" si="13"/>
        <v>6.0261999999999993</v>
      </c>
      <c r="P53" s="191">
        <f t="shared" si="14"/>
        <v>15.688899999999999</v>
      </c>
      <c r="Q53" s="191">
        <f t="shared" si="15"/>
        <v>6.6495999999999995</v>
      </c>
    </row>
    <row r="54" spans="2:17" x14ac:dyDescent="0.25">
      <c r="B54" s="237" t="s">
        <v>243</v>
      </c>
      <c r="C54" s="49">
        <v>334</v>
      </c>
      <c r="D54" s="49">
        <v>259</v>
      </c>
      <c r="E54" s="49">
        <v>21</v>
      </c>
      <c r="F54" s="49">
        <v>37</v>
      </c>
      <c r="G54" s="49">
        <v>17</v>
      </c>
      <c r="H54" s="49">
        <v>35.200000000000003</v>
      </c>
      <c r="I54" s="49">
        <v>31</v>
      </c>
      <c r="J54" s="49">
        <v>3.6</v>
      </c>
      <c r="K54" s="49">
        <v>8.5</v>
      </c>
      <c r="L54" s="49">
        <v>8.6999999999999993</v>
      </c>
      <c r="M54" s="191">
        <f t="shared" si="11"/>
        <v>36.572800000000001</v>
      </c>
      <c r="N54" s="191">
        <f t="shared" si="12"/>
        <v>32.208999999999996</v>
      </c>
      <c r="O54" s="191">
        <f t="shared" si="13"/>
        <v>3.7403999999999997</v>
      </c>
      <c r="P54" s="191">
        <f t="shared" si="14"/>
        <v>8.8315000000000001</v>
      </c>
      <c r="Q54" s="191">
        <f t="shared" si="15"/>
        <v>9.039299999999999</v>
      </c>
    </row>
    <row r="55" spans="2:17" x14ac:dyDescent="0.25">
      <c r="B55" s="237" t="s">
        <v>244</v>
      </c>
      <c r="C55" s="49">
        <v>786</v>
      </c>
      <c r="D55" s="49">
        <v>617</v>
      </c>
      <c r="E55" s="49">
        <v>52</v>
      </c>
      <c r="F55" s="49">
        <v>91</v>
      </c>
      <c r="G55" s="49">
        <v>26</v>
      </c>
      <c r="H55" s="49">
        <v>38.5</v>
      </c>
      <c r="I55" s="49">
        <v>32.799999999999997</v>
      </c>
      <c r="J55" s="49">
        <v>3.7</v>
      </c>
      <c r="K55" s="49">
        <v>11.9</v>
      </c>
      <c r="L55" s="49">
        <v>7.7</v>
      </c>
      <c r="M55" s="191">
        <f t="shared" si="11"/>
        <v>40.0015</v>
      </c>
      <c r="N55" s="191">
        <f t="shared" si="12"/>
        <v>34.079199999999993</v>
      </c>
      <c r="O55" s="191">
        <f t="shared" si="13"/>
        <v>3.8443000000000001</v>
      </c>
      <c r="P55" s="191">
        <f t="shared" si="14"/>
        <v>12.364099999999999</v>
      </c>
      <c r="Q55" s="191">
        <f t="shared" si="15"/>
        <v>8.0002999999999993</v>
      </c>
    </row>
    <row r="56" spans="2:17" x14ac:dyDescent="0.25">
      <c r="B56" s="237" t="s">
        <v>245</v>
      </c>
      <c r="C56" s="49">
        <v>580</v>
      </c>
      <c r="D56" s="49">
        <v>449</v>
      </c>
      <c r="E56" s="49">
        <v>41</v>
      </c>
      <c r="F56" s="49">
        <v>72</v>
      </c>
      <c r="G56" s="49">
        <v>18</v>
      </c>
      <c r="H56" s="49">
        <v>40.1</v>
      </c>
      <c r="I56" s="49">
        <v>33.5</v>
      </c>
      <c r="J56" s="49">
        <v>4</v>
      </c>
      <c r="K56" s="49">
        <v>13.5</v>
      </c>
      <c r="L56" s="49">
        <v>6.1</v>
      </c>
      <c r="M56" s="191">
        <f t="shared" si="11"/>
        <v>41.663899999999998</v>
      </c>
      <c r="N56" s="191">
        <f t="shared" si="12"/>
        <v>34.8065</v>
      </c>
      <c r="O56" s="191">
        <f t="shared" si="13"/>
        <v>4.1559999999999997</v>
      </c>
      <c r="P56" s="191">
        <f t="shared" si="14"/>
        <v>14.026499999999999</v>
      </c>
      <c r="Q56" s="191">
        <f t="shared" si="15"/>
        <v>6.3378999999999994</v>
      </c>
    </row>
    <row r="57" spans="2:17" x14ac:dyDescent="0.25">
      <c r="B57" s="237" t="s">
        <v>246</v>
      </c>
      <c r="C57" s="49">
        <v>206</v>
      </c>
      <c r="D57" s="49">
        <v>168</v>
      </c>
      <c r="E57" s="49">
        <v>11</v>
      </c>
      <c r="F57" s="49">
        <v>19</v>
      </c>
      <c r="G57" s="49">
        <v>8</v>
      </c>
      <c r="H57" s="49">
        <v>34.799999999999997</v>
      </c>
      <c r="I57" s="49">
        <v>30.9</v>
      </c>
      <c r="J57" s="49">
        <v>2.8</v>
      </c>
      <c r="K57" s="49">
        <v>8</v>
      </c>
      <c r="L57" s="49">
        <v>17.7</v>
      </c>
      <c r="M57" s="191">
        <f t="shared" si="11"/>
        <v>36.157199999999996</v>
      </c>
      <c r="N57" s="191">
        <f t="shared" si="12"/>
        <v>32.105099999999993</v>
      </c>
      <c r="O57" s="191">
        <f t="shared" si="13"/>
        <v>2.9091999999999998</v>
      </c>
      <c r="P57" s="191">
        <f t="shared" si="14"/>
        <v>8.3119999999999994</v>
      </c>
      <c r="Q57" s="191">
        <f t="shared" si="15"/>
        <v>18.390299999999996</v>
      </c>
    </row>
    <row r="58" spans="2:17" x14ac:dyDescent="0.25">
      <c r="B58" s="237" t="s">
        <v>247</v>
      </c>
      <c r="C58" s="49">
        <v>593</v>
      </c>
      <c r="D58" s="49">
        <v>347</v>
      </c>
      <c r="E58" s="49">
        <v>80</v>
      </c>
      <c r="F58" s="49">
        <v>129</v>
      </c>
      <c r="G58" s="49">
        <v>38</v>
      </c>
      <c r="H58" s="49">
        <v>27.1</v>
      </c>
      <c r="I58" s="49">
        <v>19.899999999999999</v>
      </c>
      <c r="J58" s="49">
        <v>5.4</v>
      </c>
      <c r="K58" s="49">
        <v>14</v>
      </c>
      <c r="L58" s="49">
        <v>10.4</v>
      </c>
      <c r="M58" s="191">
        <f t="shared" si="11"/>
        <v>28.1569</v>
      </c>
      <c r="N58" s="191">
        <f t="shared" si="12"/>
        <v>20.676099999999998</v>
      </c>
      <c r="O58" s="191">
        <f t="shared" si="13"/>
        <v>5.6105999999999998</v>
      </c>
      <c r="P58" s="191">
        <f t="shared" si="14"/>
        <v>14.545999999999999</v>
      </c>
      <c r="Q58" s="191">
        <f t="shared" si="15"/>
        <v>10.8056</v>
      </c>
    </row>
    <row r="59" spans="2:17" x14ac:dyDescent="0.25">
      <c r="B59" s="237" t="s">
        <v>248</v>
      </c>
      <c r="C59" s="49">
        <v>285</v>
      </c>
      <c r="D59" s="49">
        <v>156</v>
      </c>
      <c r="E59" s="49">
        <v>40</v>
      </c>
      <c r="F59" s="49">
        <v>68</v>
      </c>
      <c r="G59" s="49">
        <v>20</v>
      </c>
      <c r="H59" s="49">
        <v>27.7</v>
      </c>
      <c r="I59" s="49">
        <v>19.8</v>
      </c>
      <c r="J59" s="49">
        <v>5.9</v>
      </c>
      <c r="K59" s="49">
        <v>14.5</v>
      </c>
      <c r="L59" s="49">
        <v>9.9</v>
      </c>
      <c r="M59" s="191">
        <f t="shared" si="11"/>
        <v>28.780299999999997</v>
      </c>
      <c r="N59" s="191">
        <f t="shared" si="12"/>
        <v>20.572199999999999</v>
      </c>
      <c r="O59" s="191">
        <f t="shared" si="13"/>
        <v>6.1300999999999997</v>
      </c>
      <c r="P59" s="191">
        <f t="shared" si="14"/>
        <v>15.065499999999998</v>
      </c>
      <c r="Q59" s="191">
        <f t="shared" si="15"/>
        <v>10.286099999999999</v>
      </c>
    </row>
    <row r="60" spans="2:17" x14ac:dyDescent="0.25">
      <c r="B60" s="237" t="s">
        <v>249</v>
      </c>
      <c r="C60" s="49">
        <v>122</v>
      </c>
      <c r="D60" s="49">
        <v>84</v>
      </c>
      <c r="E60" s="49">
        <v>10</v>
      </c>
      <c r="F60" s="49">
        <v>20</v>
      </c>
      <c r="G60" s="49">
        <v>8</v>
      </c>
      <c r="H60" s="49">
        <v>29.5</v>
      </c>
      <c r="I60" s="49">
        <v>22.9</v>
      </c>
      <c r="J60" s="49">
        <v>3.8</v>
      </c>
      <c r="K60" s="49">
        <v>15</v>
      </c>
      <c r="L60" s="49">
        <v>13.7</v>
      </c>
      <c r="M60" s="191">
        <f t="shared" si="11"/>
        <v>30.650499999999997</v>
      </c>
      <c r="N60" s="191">
        <f t="shared" si="12"/>
        <v>23.793099999999995</v>
      </c>
      <c r="O60" s="191">
        <f t="shared" si="13"/>
        <v>3.9481999999999995</v>
      </c>
      <c r="P60" s="191">
        <f t="shared" si="14"/>
        <v>15.584999999999999</v>
      </c>
      <c r="Q60" s="191">
        <f t="shared" si="15"/>
        <v>14.234299999999998</v>
      </c>
    </row>
    <row r="61" spans="2:17" x14ac:dyDescent="0.25">
      <c r="B61" s="237" t="s">
        <v>250</v>
      </c>
      <c r="C61" s="49">
        <v>187</v>
      </c>
      <c r="D61" s="49">
        <v>107</v>
      </c>
      <c r="E61" s="49">
        <v>30</v>
      </c>
      <c r="F61" s="49">
        <v>40</v>
      </c>
      <c r="G61" s="49">
        <v>10</v>
      </c>
      <c r="H61" s="49">
        <v>25</v>
      </c>
      <c r="I61" s="49">
        <v>18.100000000000001</v>
      </c>
      <c r="J61" s="49">
        <v>5.5</v>
      </c>
      <c r="K61" s="49">
        <v>12.7</v>
      </c>
      <c r="L61" s="49">
        <v>9.5</v>
      </c>
      <c r="M61" s="191">
        <f t="shared" si="11"/>
        <v>25.974999999999998</v>
      </c>
      <c r="N61" s="191">
        <f t="shared" si="12"/>
        <v>18.805900000000001</v>
      </c>
      <c r="O61" s="191">
        <f t="shared" si="13"/>
        <v>5.7144999999999992</v>
      </c>
      <c r="P61" s="191">
        <f t="shared" si="14"/>
        <v>13.195299999999998</v>
      </c>
      <c r="Q61" s="191">
        <f t="shared" si="15"/>
        <v>9.8704999999999998</v>
      </c>
    </row>
    <row r="62" spans="2:17" x14ac:dyDescent="0.25">
      <c r="B62" s="237" t="s">
        <v>251</v>
      </c>
      <c r="C62" s="49">
        <v>428</v>
      </c>
      <c r="D62" s="49">
        <v>244</v>
      </c>
      <c r="E62" s="49">
        <v>62</v>
      </c>
      <c r="F62" s="49">
        <v>110</v>
      </c>
      <c r="G62" s="49">
        <v>12</v>
      </c>
      <c r="H62" s="49">
        <v>30.4</v>
      </c>
      <c r="I62" s="49">
        <v>20.7</v>
      </c>
      <c r="J62" s="49">
        <v>5.8</v>
      </c>
      <c r="K62" s="49">
        <v>19.7</v>
      </c>
      <c r="L62" s="49">
        <v>8.1999999999999993</v>
      </c>
      <c r="M62" s="191">
        <f t="shared" si="11"/>
        <v>31.585599999999996</v>
      </c>
      <c r="N62" s="191">
        <f t="shared" si="12"/>
        <v>21.507299999999997</v>
      </c>
      <c r="O62" s="191">
        <f t="shared" si="13"/>
        <v>6.0261999999999993</v>
      </c>
      <c r="P62" s="191">
        <f t="shared" si="14"/>
        <v>20.468299999999999</v>
      </c>
      <c r="Q62" s="191">
        <f t="shared" si="15"/>
        <v>8.5197999999999983</v>
      </c>
    </row>
    <row r="63" spans="2:17" x14ac:dyDescent="0.25">
      <c r="B63" s="237" t="s">
        <v>252</v>
      </c>
      <c r="C63" s="49">
        <v>223</v>
      </c>
      <c r="D63" s="49">
        <v>139</v>
      </c>
      <c r="E63" s="49">
        <v>26</v>
      </c>
      <c r="F63" s="49">
        <v>54</v>
      </c>
      <c r="G63" s="49">
        <v>4</v>
      </c>
      <c r="H63" s="49">
        <v>37.5</v>
      </c>
      <c r="I63" s="49">
        <v>26.6</v>
      </c>
      <c r="J63" s="49">
        <v>5.7</v>
      </c>
      <c r="K63" s="49">
        <v>21.2</v>
      </c>
      <c r="L63" s="49">
        <v>6.4</v>
      </c>
      <c r="M63" s="191">
        <f t="shared" si="11"/>
        <v>38.962499999999999</v>
      </c>
      <c r="N63" s="191">
        <f t="shared" si="12"/>
        <v>27.6374</v>
      </c>
      <c r="O63" s="191">
        <f t="shared" si="13"/>
        <v>5.9222999999999999</v>
      </c>
      <c r="P63" s="191">
        <f t="shared" si="14"/>
        <v>22.026799999999998</v>
      </c>
      <c r="Q63" s="191">
        <f t="shared" si="15"/>
        <v>6.6495999999999995</v>
      </c>
    </row>
    <row r="64" spans="2:17" x14ac:dyDescent="0.25">
      <c r="B64" s="237" t="s">
        <v>253</v>
      </c>
      <c r="C64" s="49">
        <v>204</v>
      </c>
      <c r="D64" s="49">
        <v>104</v>
      </c>
      <c r="E64" s="49">
        <v>36</v>
      </c>
      <c r="F64" s="49">
        <v>57</v>
      </c>
      <c r="G64" s="49">
        <v>7</v>
      </c>
      <c r="H64" s="49">
        <v>25.1</v>
      </c>
      <c r="I64" s="49">
        <v>16</v>
      </c>
      <c r="J64" s="49">
        <v>5.8</v>
      </c>
      <c r="K64" s="49">
        <v>18.399999999999999</v>
      </c>
      <c r="L64" s="49">
        <v>9.8000000000000007</v>
      </c>
      <c r="M64" s="191">
        <f t="shared" si="11"/>
        <v>26.078900000000001</v>
      </c>
      <c r="N64" s="191">
        <f t="shared" si="12"/>
        <v>16.623999999999999</v>
      </c>
      <c r="O64" s="191">
        <f t="shared" si="13"/>
        <v>6.0261999999999993</v>
      </c>
      <c r="P64" s="191">
        <f t="shared" si="14"/>
        <v>19.117599999999996</v>
      </c>
      <c r="Q64" s="191">
        <f t="shared" si="15"/>
        <v>10.1822</v>
      </c>
    </row>
    <row r="65" spans="2:17" ht="15.75" x14ac:dyDescent="0.25">
      <c r="B65" s="236" t="s">
        <v>493</v>
      </c>
      <c r="C65" s="62"/>
      <c r="D65" s="62"/>
      <c r="E65" s="62"/>
      <c r="F65" s="62"/>
      <c r="G65" s="62"/>
      <c r="H65" s="62"/>
      <c r="I65" s="62"/>
      <c r="J65" s="62"/>
      <c r="K65" s="62"/>
      <c r="L65" s="62"/>
      <c r="M65" s="62"/>
      <c r="N65" s="62"/>
      <c r="O65" s="62"/>
      <c r="P65" s="62"/>
      <c r="Q65" s="62"/>
    </row>
    <row r="66" spans="2:17" x14ac:dyDescent="0.25">
      <c r="B66" s="237" t="s">
        <v>255</v>
      </c>
      <c r="C66" s="49">
        <v>200</v>
      </c>
      <c r="D66" s="49">
        <v>168</v>
      </c>
      <c r="E66" s="49">
        <v>10</v>
      </c>
      <c r="F66" s="49">
        <v>17</v>
      </c>
      <c r="G66" s="49">
        <v>5</v>
      </c>
      <c r="H66" s="49">
        <v>40.200000000000003</v>
      </c>
      <c r="I66" s="49">
        <v>36.200000000000003</v>
      </c>
      <c r="J66" s="49">
        <v>3</v>
      </c>
      <c r="K66" s="49">
        <v>9</v>
      </c>
      <c r="L66" s="49">
        <v>7.4</v>
      </c>
      <c r="M66" s="191">
        <f t="shared" ref="M66:Q70" si="16">H66*Lookups_Conversion_CF_to_kBTU</f>
        <v>41.767800000000001</v>
      </c>
      <c r="N66" s="191">
        <f t="shared" si="16"/>
        <v>37.611800000000002</v>
      </c>
      <c r="O66" s="191">
        <f t="shared" si="16"/>
        <v>3.117</v>
      </c>
      <c r="P66" s="191">
        <f t="shared" si="16"/>
        <v>9.3509999999999991</v>
      </c>
      <c r="Q66" s="191">
        <f t="shared" si="16"/>
        <v>7.6886000000000001</v>
      </c>
    </row>
    <row r="67" spans="2:17" x14ac:dyDescent="0.25">
      <c r="B67" s="237" t="s">
        <v>256</v>
      </c>
      <c r="C67" s="49">
        <v>791</v>
      </c>
      <c r="D67" s="49">
        <v>600</v>
      </c>
      <c r="E67" s="49">
        <v>54</v>
      </c>
      <c r="F67" s="49">
        <v>110</v>
      </c>
      <c r="G67" s="49">
        <v>27</v>
      </c>
      <c r="H67" s="49">
        <v>38.6</v>
      </c>
      <c r="I67" s="49">
        <v>31.8</v>
      </c>
      <c r="J67" s="49">
        <v>3.8</v>
      </c>
      <c r="K67" s="49">
        <v>13.5</v>
      </c>
      <c r="L67" s="49">
        <v>7</v>
      </c>
      <c r="M67" s="191">
        <f t="shared" si="16"/>
        <v>40.105399999999996</v>
      </c>
      <c r="N67" s="191">
        <f t="shared" si="16"/>
        <v>33.040199999999999</v>
      </c>
      <c r="O67" s="191">
        <f t="shared" si="16"/>
        <v>3.9481999999999995</v>
      </c>
      <c r="P67" s="191">
        <f t="shared" si="16"/>
        <v>14.026499999999999</v>
      </c>
      <c r="Q67" s="191">
        <f t="shared" si="16"/>
        <v>7.2729999999999997</v>
      </c>
    </row>
    <row r="68" spans="2:17" x14ac:dyDescent="0.25">
      <c r="B68" s="237" t="s">
        <v>257</v>
      </c>
      <c r="C68" s="49">
        <v>630</v>
      </c>
      <c r="D68" s="49">
        <v>450</v>
      </c>
      <c r="E68" s="49">
        <v>65</v>
      </c>
      <c r="F68" s="49">
        <v>87</v>
      </c>
      <c r="G68" s="49">
        <v>29</v>
      </c>
      <c r="H68" s="49">
        <v>33.6</v>
      </c>
      <c r="I68" s="49">
        <v>29</v>
      </c>
      <c r="J68" s="49">
        <v>5.0999999999999996</v>
      </c>
      <c r="K68" s="49">
        <v>11</v>
      </c>
      <c r="L68" s="49">
        <v>9.5</v>
      </c>
      <c r="M68" s="191">
        <f t="shared" si="16"/>
        <v>34.910399999999996</v>
      </c>
      <c r="N68" s="191">
        <f t="shared" si="16"/>
        <v>30.130999999999997</v>
      </c>
      <c r="O68" s="191">
        <f t="shared" si="16"/>
        <v>5.2988999999999988</v>
      </c>
      <c r="P68" s="191">
        <f t="shared" si="16"/>
        <v>11.428999999999998</v>
      </c>
      <c r="Q68" s="191">
        <f t="shared" si="16"/>
        <v>9.8704999999999998</v>
      </c>
    </row>
    <row r="69" spans="2:17" x14ac:dyDescent="0.25">
      <c r="B69" s="237" t="s">
        <v>258</v>
      </c>
      <c r="C69" s="49">
        <v>461</v>
      </c>
      <c r="D69" s="49">
        <v>261</v>
      </c>
      <c r="E69" s="49">
        <v>67</v>
      </c>
      <c r="F69" s="49">
        <v>109</v>
      </c>
      <c r="G69" s="49">
        <v>24</v>
      </c>
      <c r="H69" s="49">
        <v>26.1</v>
      </c>
      <c r="I69" s="49">
        <v>17.5</v>
      </c>
      <c r="J69" s="49">
        <v>5.6</v>
      </c>
      <c r="K69" s="49">
        <v>16.600000000000001</v>
      </c>
      <c r="L69" s="49">
        <v>9.3000000000000007</v>
      </c>
      <c r="M69" s="191">
        <f t="shared" si="16"/>
        <v>27.117899999999999</v>
      </c>
      <c r="N69" s="191">
        <f t="shared" si="16"/>
        <v>18.182499999999997</v>
      </c>
      <c r="O69" s="191">
        <f t="shared" si="16"/>
        <v>5.8183999999999996</v>
      </c>
      <c r="P69" s="191">
        <f t="shared" si="16"/>
        <v>17.247399999999999</v>
      </c>
      <c r="Q69" s="191">
        <f t="shared" si="16"/>
        <v>9.6626999999999992</v>
      </c>
    </row>
    <row r="70" spans="2:17" x14ac:dyDescent="0.25">
      <c r="B70" s="237" t="s">
        <v>259</v>
      </c>
      <c r="C70" s="49">
        <v>133</v>
      </c>
      <c r="D70" s="49">
        <v>41</v>
      </c>
      <c r="E70" s="49">
        <v>25</v>
      </c>
      <c r="F70" s="49">
        <v>56</v>
      </c>
      <c r="G70" s="49">
        <v>11</v>
      </c>
      <c r="H70" s="49">
        <v>22.9</v>
      </c>
      <c r="I70" s="49">
        <v>10</v>
      </c>
      <c r="J70" s="49">
        <v>5.7</v>
      </c>
      <c r="K70" s="49">
        <v>17.899999999999999</v>
      </c>
      <c r="L70" s="49">
        <v>14.9</v>
      </c>
      <c r="M70" s="191">
        <f t="shared" si="16"/>
        <v>23.793099999999995</v>
      </c>
      <c r="N70" s="191">
        <f t="shared" si="16"/>
        <v>10.389999999999999</v>
      </c>
      <c r="O70" s="191">
        <f t="shared" si="16"/>
        <v>5.9222999999999999</v>
      </c>
      <c r="P70" s="191">
        <f t="shared" si="16"/>
        <v>18.598099999999999</v>
      </c>
      <c r="Q70" s="191">
        <f t="shared" si="16"/>
        <v>15.4811</v>
      </c>
    </row>
    <row r="71" spans="2:17" x14ac:dyDescent="0.25">
      <c r="B71" s="236" t="s">
        <v>260</v>
      </c>
      <c r="C71" s="62"/>
      <c r="D71" s="62"/>
      <c r="E71" s="62"/>
      <c r="F71" s="62"/>
      <c r="G71" s="62"/>
      <c r="H71" s="62"/>
      <c r="I71" s="62"/>
      <c r="J71" s="62"/>
      <c r="K71" s="62"/>
      <c r="L71" s="62"/>
      <c r="M71" s="62"/>
      <c r="N71" s="62"/>
      <c r="O71" s="62"/>
      <c r="P71" s="62"/>
      <c r="Q71" s="62"/>
    </row>
    <row r="72" spans="2:17" x14ac:dyDescent="0.25">
      <c r="B72" s="237">
        <v>1</v>
      </c>
      <c r="C72" s="49">
        <v>975</v>
      </c>
      <c r="D72" s="49">
        <v>676</v>
      </c>
      <c r="E72" s="49">
        <v>77</v>
      </c>
      <c r="F72" s="49">
        <v>193</v>
      </c>
      <c r="G72" s="49">
        <v>29</v>
      </c>
      <c r="H72" s="49">
        <v>35.6</v>
      </c>
      <c r="I72" s="49">
        <v>26.9</v>
      </c>
      <c r="J72" s="49">
        <v>4.3</v>
      </c>
      <c r="K72" s="49">
        <v>20.7</v>
      </c>
      <c r="L72" s="49">
        <v>7.7</v>
      </c>
      <c r="M72" s="191">
        <f t="shared" ref="M72:Q76" si="17">H72*Lookups_Conversion_CF_to_kBTU</f>
        <v>36.988399999999999</v>
      </c>
      <c r="N72" s="191">
        <f t="shared" si="17"/>
        <v>27.949099999999998</v>
      </c>
      <c r="O72" s="191">
        <f t="shared" si="17"/>
        <v>4.4676999999999998</v>
      </c>
      <c r="P72" s="191">
        <f t="shared" si="17"/>
        <v>21.507299999999997</v>
      </c>
      <c r="Q72" s="191">
        <f t="shared" si="17"/>
        <v>8.0002999999999993</v>
      </c>
    </row>
    <row r="73" spans="2:17" x14ac:dyDescent="0.25">
      <c r="B73" s="237">
        <v>2</v>
      </c>
      <c r="C73" s="49">
        <v>510</v>
      </c>
      <c r="D73" s="49">
        <v>373</v>
      </c>
      <c r="E73" s="49">
        <v>50</v>
      </c>
      <c r="F73" s="49">
        <v>64</v>
      </c>
      <c r="G73" s="49">
        <v>23</v>
      </c>
      <c r="H73" s="49">
        <v>29.6</v>
      </c>
      <c r="I73" s="49">
        <v>24.7</v>
      </c>
      <c r="J73" s="49">
        <v>4</v>
      </c>
      <c r="K73" s="49">
        <v>10.4</v>
      </c>
      <c r="L73" s="49">
        <v>8.6999999999999993</v>
      </c>
      <c r="M73" s="191">
        <f t="shared" si="17"/>
        <v>30.7544</v>
      </c>
      <c r="N73" s="191">
        <f t="shared" si="17"/>
        <v>25.663299999999996</v>
      </c>
      <c r="O73" s="191">
        <f t="shared" si="17"/>
        <v>4.1559999999999997</v>
      </c>
      <c r="P73" s="191">
        <f t="shared" si="17"/>
        <v>10.8056</v>
      </c>
      <c r="Q73" s="191">
        <f t="shared" si="17"/>
        <v>9.039299999999999</v>
      </c>
    </row>
    <row r="74" spans="2:17" x14ac:dyDescent="0.25">
      <c r="B74" s="237">
        <v>3</v>
      </c>
      <c r="C74" s="49">
        <v>260</v>
      </c>
      <c r="D74" s="49">
        <v>195</v>
      </c>
      <c r="E74" s="49">
        <v>25</v>
      </c>
      <c r="F74" s="49">
        <v>30</v>
      </c>
      <c r="G74" s="49">
        <v>11</v>
      </c>
      <c r="H74" s="49">
        <v>31.9</v>
      </c>
      <c r="I74" s="49">
        <v>27.6</v>
      </c>
      <c r="J74" s="49">
        <v>4.3</v>
      </c>
      <c r="K74" s="49">
        <v>8</v>
      </c>
      <c r="L74" s="49">
        <v>7.4</v>
      </c>
      <c r="M74" s="191">
        <f t="shared" si="17"/>
        <v>33.144099999999995</v>
      </c>
      <c r="N74" s="191">
        <f t="shared" si="17"/>
        <v>28.676400000000001</v>
      </c>
      <c r="O74" s="191">
        <f t="shared" si="17"/>
        <v>4.4676999999999998</v>
      </c>
      <c r="P74" s="191">
        <f t="shared" si="17"/>
        <v>8.3119999999999994</v>
      </c>
      <c r="Q74" s="191">
        <f t="shared" si="17"/>
        <v>7.6886000000000001</v>
      </c>
    </row>
    <row r="75" spans="2:17" x14ac:dyDescent="0.25">
      <c r="B75" s="237" t="s">
        <v>264</v>
      </c>
      <c r="C75" s="49">
        <v>340</v>
      </c>
      <c r="D75" s="49">
        <v>216</v>
      </c>
      <c r="E75" s="49">
        <v>49</v>
      </c>
      <c r="F75" s="49">
        <v>51</v>
      </c>
      <c r="G75" s="49">
        <v>25</v>
      </c>
      <c r="H75" s="49">
        <v>32.6</v>
      </c>
      <c r="I75" s="49">
        <v>28.4</v>
      </c>
      <c r="J75" s="49">
        <v>6.2</v>
      </c>
      <c r="K75" s="49">
        <v>9.3000000000000007</v>
      </c>
      <c r="L75" s="49">
        <v>11.6</v>
      </c>
      <c r="M75" s="191">
        <f t="shared" si="17"/>
        <v>33.871400000000001</v>
      </c>
      <c r="N75" s="191">
        <f t="shared" si="17"/>
        <v>29.507599999999996</v>
      </c>
      <c r="O75" s="191">
        <f t="shared" si="17"/>
        <v>6.4417999999999997</v>
      </c>
      <c r="P75" s="191">
        <f t="shared" si="17"/>
        <v>9.6626999999999992</v>
      </c>
      <c r="Q75" s="191">
        <f t="shared" si="17"/>
        <v>12.052399999999999</v>
      </c>
    </row>
    <row r="76" spans="2:17" x14ac:dyDescent="0.25">
      <c r="B76" s="237" t="s">
        <v>265</v>
      </c>
      <c r="C76" s="49">
        <v>131</v>
      </c>
      <c r="D76" s="49">
        <v>61</v>
      </c>
      <c r="E76" s="49">
        <v>21</v>
      </c>
      <c r="F76" s="49">
        <v>43</v>
      </c>
      <c r="G76" s="49">
        <v>7</v>
      </c>
      <c r="H76" s="49">
        <v>28.8</v>
      </c>
      <c r="I76" s="49">
        <v>19.5</v>
      </c>
      <c r="J76" s="49">
        <v>7.7</v>
      </c>
      <c r="K76" s="49">
        <v>13.8</v>
      </c>
      <c r="L76" s="49">
        <v>9.1</v>
      </c>
      <c r="M76" s="191">
        <f t="shared" si="17"/>
        <v>29.923199999999998</v>
      </c>
      <c r="N76" s="191">
        <f t="shared" si="17"/>
        <v>20.260499999999997</v>
      </c>
      <c r="O76" s="191">
        <f t="shared" si="17"/>
        <v>8.0002999999999993</v>
      </c>
      <c r="P76" s="191">
        <f t="shared" si="17"/>
        <v>14.338200000000001</v>
      </c>
      <c r="Q76" s="191">
        <f t="shared" si="17"/>
        <v>9.4548999999999985</v>
      </c>
    </row>
    <row r="77" spans="2:17" x14ac:dyDescent="0.25">
      <c r="B77" s="236" t="s">
        <v>272</v>
      </c>
      <c r="C77" s="62"/>
      <c r="D77" s="62"/>
      <c r="E77" s="62"/>
      <c r="F77" s="62"/>
      <c r="G77" s="62"/>
      <c r="H77" s="62"/>
      <c r="I77" s="62"/>
      <c r="J77" s="62"/>
      <c r="K77" s="62"/>
      <c r="L77" s="62"/>
      <c r="M77" s="62"/>
      <c r="N77" s="62"/>
      <c r="O77" s="62"/>
      <c r="P77" s="62"/>
      <c r="Q77" s="62"/>
    </row>
    <row r="78" spans="2:17" x14ac:dyDescent="0.25">
      <c r="B78" s="237" t="s">
        <v>273</v>
      </c>
      <c r="C78" s="49">
        <v>285</v>
      </c>
      <c r="D78" s="49">
        <v>229</v>
      </c>
      <c r="E78" s="49">
        <v>22</v>
      </c>
      <c r="F78" s="49">
        <v>26</v>
      </c>
      <c r="G78" s="49">
        <v>8</v>
      </c>
      <c r="H78" s="49">
        <v>29</v>
      </c>
      <c r="I78" s="49">
        <v>26.8</v>
      </c>
      <c r="J78" s="49">
        <v>3.8</v>
      </c>
      <c r="K78" s="49">
        <v>11.2</v>
      </c>
      <c r="L78" s="49">
        <v>14.5</v>
      </c>
      <c r="M78" s="191">
        <f t="shared" ref="M78:Q84" si="18">H78*Lookups_Conversion_CF_to_kBTU</f>
        <v>30.130999999999997</v>
      </c>
      <c r="N78" s="191">
        <f t="shared" si="18"/>
        <v>27.845199999999998</v>
      </c>
      <c r="O78" s="191">
        <f t="shared" si="18"/>
        <v>3.9481999999999995</v>
      </c>
      <c r="P78" s="191">
        <f t="shared" si="18"/>
        <v>11.636799999999999</v>
      </c>
      <c r="Q78" s="191">
        <f t="shared" si="18"/>
        <v>15.065499999999998</v>
      </c>
    </row>
    <row r="79" spans="2:17" x14ac:dyDescent="0.25">
      <c r="B79" s="237" t="s">
        <v>274</v>
      </c>
      <c r="C79" s="49">
        <v>215</v>
      </c>
      <c r="D79" s="49">
        <v>151</v>
      </c>
      <c r="E79" s="49">
        <v>23</v>
      </c>
      <c r="F79" s="49">
        <v>30</v>
      </c>
      <c r="G79" s="49">
        <v>11</v>
      </c>
      <c r="H79" s="49">
        <v>31.2</v>
      </c>
      <c r="I79" s="49">
        <v>26.3</v>
      </c>
      <c r="J79" s="49">
        <v>5.3</v>
      </c>
      <c r="K79" s="49">
        <v>22.8</v>
      </c>
      <c r="L79" s="49">
        <v>13.1</v>
      </c>
      <c r="M79" s="191">
        <f t="shared" si="18"/>
        <v>32.416799999999995</v>
      </c>
      <c r="N79" s="191">
        <f t="shared" si="18"/>
        <v>27.325699999999998</v>
      </c>
      <c r="O79" s="191">
        <f t="shared" si="18"/>
        <v>5.5066999999999995</v>
      </c>
      <c r="P79" s="191">
        <f t="shared" si="18"/>
        <v>23.6892</v>
      </c>
      <c r="Q79" s="191">
        <f t="shared" si="18"/>
        <v>13.610899999999999</v>
      </c>
    </row>
    <row r="80" spans="2:17" x14ac:dyDescent="0.25">
      <c r="B80" s="237" t="s">
        <v>275</v>
      </c>
      <c r="C80" s="49">
        <v>301</v>
      </c>
      <c r="D80" s="49">
        <v>200</v>
      </c>
      <c r="E80" s="49">
        <v>37</v>
      </c>
      <c r="F80" s="49">
        <v>56</v>
      </c>
      <c r="G80" s="49">
        <v>7</v>
      </c>
      <c r="H80" s="49">
        <v>37.700000000000003</v>
      </c>
      <c r="I80" s="49">
        <v>28.3</v>
      </c>
      <c r="J80" s="49">
        <v>6.6</v>
      </c>
      <c r="K80" s="49">
        <v>28.1</v>
      </c>
      <c r="L80" s="49">
        <v>7.6</v>
      </c>
      <c r="M80" s="191">
        <f t="shared" si="18"/>
        <v>39.170299999999997</v>
      </c>
      <c r="N80" s="191">
        <f t="shared" si="18"/>
        <v>29.403699999999997</v>
      </c>
      <c r="O80" s="191">
        <f t="shared" si="18"/>
        <v>6.8573999999999993</v>
      </c>
      <c r="P80" s="191">
        <f t="shared" si="18"/>
        <v>29.195899999999998</v>
      </c>
      <c r="Q80" s="191">
        <f t="shared" si="18"/>
        <v>7.896399999999999</v>
      </c>
    </row>
    <row r="81" spans="2:17" x14ac:dyDescent="0.25">
      <c r="B81" s="237" t="s">
        <v>276</v>
      </c>
      <c r="C81" s="49">
        <v>422</v>
      </c>
      <c r="D81" s="49">
        <v>279</v>
      </c>
      <c r="E81" s="49">
        <v>40</v>
      </c>
      <c r="F81" s="49">
        <v>85</v>
      </c>
      <c r="G81" s="49">
        <v>17</v>
      </c>
      <c r="H81" s="49">
        <v>33.5</v>
      </c>
      <c r="I81" s="49">
        <v>25.1</v>
      </c>
      <c r="J81" s="49">
        <v>4.7</v>
      </c>
      <c r="K81" s="49">
        <v>18.5</v>
      </c>
      <c r="L81" s="49">
        <v>7.6</v>
      </c>
      <c r="M81" s="191">
        <f t="shared" si="18"/>
        <v>34.8065</v>
      </c>
      <c r="N81" s="191">
        <f t="shared" si="18"/>
        <v>26.078900000000001</v>
      </c>
      <c r="O81" s="191">
        <f t="shared" si="18"/>
        <v>4.8833000000000002</v>
      </c>
      <c r="P81" s="191">
        <f t="shared" si="18"/>
        <v>19.221499999999999</v>
      </c>
      <c r="Q81" s="191">
        <f t="shared" si="18"/>
        <v>7.896399999999999</v>
      </c>
    </row>
    <row r="82" spans="2:17" x14ac:dyDescent="0.25">
      <c r="B82" s="237" t="s">
        <v>277</v>
      </c>
      <c r="C82" s="49">
        <v>336</v>
      </c>
      <c r="D82" s="49">
        <v>235</v>
      </c>
      <c r="E82" s="49">
        <v>33</v>
      </c>
      <c r="F82" s="49">
        <v>50</v>
      </c>
      <c r="G82" s="49">
        <v>18</v>
      </c>
      <c r="H82" s="49">
        <v>33.5</v>
      </c>
      <c r="I82" s="49">
        <v>26.7</v>
      </c>
      <c r="J82" s="49">
        <v>4.4000000000000004</v>
      </c>
      <c r="K82" s="49">
        <v>10.3</v>
      </c>
      <c r="L82" s="49">
        <v>9.1</v>
      </c>
      <c r="M82" s="191">
        <f t="shared" si="18"/>
        <v>34.8065</v>
      </c>
      <c r="N82" s="191">
        <f t="shared" si="18"/>
        <v>27.741299999999999</v>
      </c>
      <c r="O82" s="191">
        <f t="shared" si="18"/>
        <v>4.5716000000000001</v>
      </c>
      <c r="P82" s="191">
        <f t="shared" si="18"/>
        <v>10.701700000000001</v>
      </c>
      <c r="Q82" s="191">
        <f t="shared" si="18"/>
        <v>9.4548999999999985</v>
      </c>
    </row>
    <row r="83" spans="2:17" x14ac:dyDescent="0.25">
      <c r="B83" s="237" t="s">
        <v>278</v>
      </c>
      <c r="C83" s="49">
        <v>354</v>
      </c>
      <c r="D83" s="49">
        <v>241</v>
      </c>
      <c r="E83" s="49">
        <v>31</v>
      </c>
      <c r="F83" s="49">
        <v>66</v>
      </c>
      <c r="G83" s="49">
        <v>16</v>
      </c>
      <c r="H83" s="49">
        <v>32.5</v>
      </c>
      <c r="I83" s="49">
        <v>25</v>
      </c>
      <c r="J83" s="49">
        <v>3.7</v>
      </c>
      <c r="K83" s="49">
        <v>10.4</v>
      </c>
      <c r="L83" s="49">
        <v>7</v>
      </c>
      <c r="M83" s="191">
        <f t="shared" si="18"/>
        <v>33.767499999999998</v>
      </c>
      <c r="N83" s="191">
        <f t="shared" si="18"/>
        <v>25.974999999999998</v>
      </c>
      <c r="O83" s="191">
        <f t="shared" si="18"/>
        <v>3.8443000000000001</v>
      </c>
      <c r="P83" s="191">
        <f t="shared" si="18"/>
        <v>10.8056</v>
      </c>
      <c r="Q83" s="191">
        <f t="shared" si="18"/>
        <v>7.2729999999999997</v>
      </c>
    </row>
    <row r="84" spans="2:17" x14ac:dyDescent="0.25">
      <c r="B84" s="237" t="s">
        <v>279</v>
      </c>
      <c r="C84" s="49">
        <v>304</v>
      </c>
      <c r="D84" s="49">
        <v>185</v>
      </c>
      <c r="E84" s="49">
        <v>35</v>
      </c>
      <c r="F84" s="49">
        <v>66</v>
      </c>
      <c r="G84" s="49">
        <v>18</v>
      </c>
      <c r="H84" s="49">
        <v>31.9</v>
      </c>
      <c r="I84" s="49">
        <v>25.9</v>
      </c>
      <c r="J84" s="49">
        <v>5.5</v>
      </c>
      <c r="K84" s="49">
        <v>10.6</v>
      </c>
      <c r="L84" s="49">
        <v>9.1</v>
      </c>
      <c r="M84" s="191">
        <f t="shared" si="18"/>
        <v>33.144099999999995</v>
      </c>
      <c r="N84" s="191">
        <f t="shared" si="18"/>
        <v>26.910099999999996</v>
      </c>
      <c r="O84" s="191">
        <f t="shared" si="18"/>
        <v>5.7144999999999992</v>
      </c>
      <c r="P84" s="191">
        <f t="shared" si="18"/>
        <v>11.013399999999999</v>
      </c>
      <c r="Q84" s="191">
        <f t="shared" si="18"/>
        <v>9.4548999999999985</v>
      </c>
    </row>
    <row r="85" spans="2:17" x14ac:dyDescent="0.25">
      <c r="B85" s="236" t="s">
        <v>280</v>
      </c>
      <c r="C85" s="62"/>
      <c r="D85" s="62"/>
      <c r="E85" s="62"/>
      <c r="F85" s="62"/>
      <c r="G85" s="62"/>
      <c r="H85" s="62"/>
      <c r="I85" s="62"/>
      <c r="J85" s="62"/>
      <c r="K85" s="62"/>
      <c r="L85" s="62"/>
      <c r="M85" s="62"/>
      <c r="N85" s="62"/>
      <c r="O85" s="62"/>
      <c r="P85" s="62"/>
      <c r="Q85" s="62"/>
    </row>
    <row r="86" spans="2:17" x14ac:dyDescent="0.25">
      <c r="B86" s="237" t="s">
        <v>281</v>
      </c>
      <c r="C86" s="49">
        <v>156</v>
      </c>
      <c r="D86" s="49">
        <v>128</v>
      </c>
      <c r="E86" s="49">
        <v>7</v>
      </c>
      <c r="F86" s="49">
        <v>17</v>
      </c>
      <c r="G86" s="49">
        <v>4</v>
      </c>
      <c r="H86" s="49">
        <v>25.9</v>
      </c>
      <c r="I86" s="49">
        <v>24.2</v>
      </c>
      <c r="J86" s="49">
        <v>1.8</v>
      </c>
      <c r="K86" s="49">
        <v>9.4</v>
      </c>
      <c r="L86" s="49">
        <v>9.9</v>
      </c>
      <c r="M86" s="191">
        <f t="shared" ref="M86:Q91" si="19">H86*Lookups_Conversion_CF_to_kBTU</f>
        <v>26.910099999999996</v>
      </c>
      <c r="N86" s="191">
        <f t="shared" si="19"/>
        <v>25.143799999999999</v>
      </c>
      <c r="O86" s="191">
        <f t="shared" si="19"/>
        <v>1.8701999999999999</v>
      </c>
      <c r="P86" s="191">
        <f t="shared" si="19"/>
        <v>9.7666000000000004</v>
      </c>
      <c r="Q86" s="191">
        <f t="shared" si="19"/>
        <v>10.286099999999999</v>
      </c>
    </row>
    <row r="87" spans="2:17" x14ac:dyDescent="0.25">
      <c r="B87" s="237" t="s">
        <v>282</v>
      </c>
      <c r="C87" s="49">
        <v>315</v>
      </c>
      <c r="D87" s="49">
        <v>257</v>
      </c>
      <c r="E87" s="49">
        <v>20</v>
      </c>
      <c r="F87" s="49">
        <v>26</v>
      </c>
      <c r="G87" s="49">
        <v>12</v>
      </c>
      <c r="H87" s="49">
        <v>25.5</v>
      </c>
      <c r="I87" s="49">
        <v>23.4</v>
      </c>
      <c r="J87" s="49">
        <v>2.5</v>
      </c>
      <c r="K87" s="49">
        <v>6.9</v>
      </c>
      <c r="L87" s="49">
        <v>6.7</v>
      </c>
      <c r="M87" s="191">
        <f t="shared" si="19"/>
        <v>26.494499999999999</v>
      </c>
      <c r="N87" s="191">
        <f t="shared" si="19"/>
        <v>24.312599999999996</v>
      </c>
      <c r="O87" s="191">
        <f t="shared" si="19"/>
        <v>2.5974999999999997</v>
      </c>
      <c r="P87" s="191">
        <f t="shared" si="19"/>
        <v>7.1691000000000003</v>
      </c>
      <c r="Q87" s="191">
        <f t="shared" si="19"/>
        <v>6.9612999999999996</v>
      </c>
    </row>
    <row r="88" spans="2:17" x14ac:dyDescent="0.25">
      <c r="B88" s="237" t="s">
        <v>283</v>
      </c>
      <c r="C88" s="49">
        <v>424</v>
      </c>
      <c r="D88" s="49">
        <v>346</v>
      </c>
      <c r="E88" s="49">
        <v>26</v>
      </c>
      <c r="F88" s="49">
        <v>41</v>
      </c>
      <c r="G88" s="49">
        <v>13</v>
      </c>
      <c r="H88" s="49">
        <v>26.4</v>
      </c>
      <c r="I88" s="49">
        <v>23.7</v>
      </c>
      <c r="J88" s="49">
        <v>2.4</v>
      </c>
      <c r="K88" s="49">
        <v>8.1</v>
      </c>
      <c r="L88" s="49">
        <v>5</v>
      </c>
      <c r="M88" s="191">
        <f t="shared" si="19"/>
        <v>27.429599999999997</v>
      </c>
      <c r="N88" s="191">
        <f t="shared" si="19"/>
        <v>24.624299999999998</v>
      </c>
      <c r="O88" s="191">
        <f t="shared" si="19"/>
        <v>2.4935999999999998</v>
      </c>
      <c r="P88" s="191">
        <f t="shared" si="19"/>
        <v>8.4158999999999988</v>
      </c>
      <c r="Q88" s="191">
        <f t="shared" si="19"/>
        <v>5.1949999999999994</v>
      </c>
    </row>
    <row r="89" spans="2:17" x14ac:dyDescent="0.25">
      <c r="B89" s="237" t="s">
        <v>284</v>
      </c>
      <c r="C89" s="49">
        <v>396</v>
      </c>
      <c r="D89" s="49">
        <v>264</v>
      </c>
      <c r="E89" s="49">
        <v>28</v>
      </c>
      <c r="F89" s="49">
        <v>88</v>
      </c>
      <c r="G89" s="49">
        <v>16</v>
      </c>
      <c r="H89" s="49">
        <v>35.299999999999997</v>
      </c>
      <c r="I89" s="49">
        <v>26.7</v>
      </c>
      <c r="J89" s="49">
        <v>3.5</v>
      </c>
      <c r="K89" s="49">
        <v>17.7</v>
      </c>
      <c r="L89" s="49">
        <v>8.9</v>
      </c>
      <c r="M89" s="191">
        <f t="shared" si="19"/>
        <v>36.676699999999997</v>
      </c>
      <c r="N89" s="191">
        <f t="shared" si="19"/>
        <v>27.741299999999999</v>
      </c>
      <c r="O89" s="191">
        <f t="shared" si="19"/>
        <v>3.6364999999999998</v>
      </c>
      <c r="P89" s="191">
        <f t="shared" si="19"/>
        <v>18.390299999999996</v>
      </c>
      <c r="Q89" s="191">
        <f t="shared" si="19"/>
        <v>9.2470999999999997</v>
      </c>
    </row>
    <row r="90" spans="2:17" x14ac:dyDescent="0.25">
      <c r="B90" s="237" t="s">
        <v>285</v>
      </c>
      <c r="C90" s="49">
        <v>326</v>
      </c>
      <c r="D90" s="49">
        <v>206</v>
      </c>
      <c r="E90" s="49">
        <v>22</v>
      </c>
      <c r="F90" s="49">
        <v>82</v>
      </c>
      <c r="G90" s="49">
        <v>17</v>
      </c>
      <c r="H90" s="49">
        <v>44.2</v>
      </c>
      <c r="I90" s="49">
        <v>32.4</v>
      </c>
      <c r="J90" s="49">
        <v>4.4000000000000004</v>
      </c>
      <c r="K90" s="49">
        <v>23.8</v>
      </c>
      <c r="L90" s="49">
        <v>11.4</v>
      </c>
      <c r="M90" s="191">
        <f t="shared" si="19"/>
        <v>45.9238</v>
      </c>
      <c r="N90" s="191">
        <f t="shared" si="19"/>
        <v>33.663599999999995</v>
      </c>
      <c r="O90" s="191">
        <f t="shared" si="19"/>
        <v>4.5716000000000001</v>
      </c>
      <c r="P90" s="191">
        <f t="shared" si="19"/>
        <v>24.728199999999998</v>
      </c>
      <c r="Q90" s="191">
        <f t="shared" si="19"/>
        <v>11.8446</v>
      </c>
    </row>
    <row r="91" spans="2:17" x14ac:dyDescent="0.25">
      <c r="B91" s="237" t="s">
        <v>286</v>
      </c>
      <c r="C91" s="49">
        <v>598</v>
      </c>
      <c r="D91" s="49">
        <v>320</v>
      </c>
      <c r="E91" s="49">
        <v>119</v>
      </c>
      <c r="F91" s="49">
        <v>126</v>
      </c>
      <c r="G91" s="49">
        <v>34</v>
      </c>
      <c r="H91" s="49">
        <v>40.700000000000003</v>
      </c>
      <c r="I91" s="49">
        <v>29.1</v>
      </c>
      <c r="J91" s="49">
        <v>10.8</v>
      </c>
      <c r="K91" s="49">
        <v>14.4</v>
      </c>
      <c r="L91" s="49">
        <v>11.8</v>
      </c>
      <c r="M91" s="191">
        <f t="shared" si="19"/>
        <v>42.287300000000002</v>
      </c>
      <c r="N91" s="191">
        <f t="shared" si="19"/>
        <v>30.2349</v>
      </c>
      <c r="O91" s="191">
        <f t="shared" si="19"/>
        <v>11.2212</v>
      </c>
      <c r="P91" s="191">
        <f t="shared" si="19"/>
        <v>14.961599999999999</v>
      </c>
      <c r="Q91" s="191">
        <f t="shared" si="19"/>
        <v>12.260199999999999</v>
      </c>
    </row>
    <row r="92" spans="2:17" x14ac:dyDescent="0.25">
      <c r="B92" s="236" t="s">
        <v>287</v>
      </c>
      <c r="C92" s="62"/>
      <c r="D92" s="62"/>
      <c r="E92" s="62"/>
      <c r="F92" s="62"/>
      <c r="G92" s="62"/>
      <c r="H92" s="62"/>
      <c r="I92" s="62"/>
      <c r="J92" s="62"/>
      <c r="K92" s="62"/>
      <c r="L92" s="62"/>
      <c r="M92" s="62"/>
      <c r="N92" s="62"/>
      <c r="O92" s="62"/>
      <c r="P92" s="62"/>
      <c r="Q92" s="62"/>
    </row>
    <row r="93" spans="2:17" x14ac:dyDescent="0.25">
      <c r="B93" s="237" t="s">
        <v>288</v>
      </c>
      <c r="C93" s="49">
        <v>1719</v>
      </c>
      <c r="D93" s="49">
        <v>1138</v>
      </c>
      <c r="E93" s="49">
        <v>181</v>
      </c>
      <c r="F93" s="49">
        <v>334</v>
      </c>
      <c r="G93" s="49">
        <v>65</v>
      </c>
      <c r="H93" s="49">
        <v>33.200000000000003</v>
      </c>
      <c r="I93" s="49">
        <v>25.5</v>
      </c>
      <c r="J93" s="49">
        <v>5.3</v>
      </c>
      <c r="K93" s="49">
        <v>17.8</v>
      </c>
      <c r="L93" s="49">
        <v>8.6999999999999993</v>
      </c>
      <c r="M93" s="191">
        <f t="shared" ref="M93:Q100" si="20">H93*Lookups_Conversion_CF_to_kBTU</f>
        <v>34.494799999999998</v>
      </c>
      <c r="N93" s="191">
        <f t="shared" si="20"/>
        <v>26.494499999999999</v>
      </c>
      <c r="O93" s="191">
        <f t="shared" si="20"/>
        <v>5.5066999999999995</v>
      </c>
      <c r="P93" s="191">
        <f t="shared" si="20"/>
        <v>18.494199999999999</v>
      </c>
      <c r="Q93" s="191">
        <f t="shared" si="20"/>
        <v>9.039299999999999</v>
      </c>
    </row>
    <row r="94" spans="2:17" x14ac:dyDescent="0.25">
      <c r="B94" s="237" t="s">
        <v>289</v>
      </c>
      <c r="C94" s="49">
        <v>1049</v>
      </c>
      <c r="D94" s="49">
        <v>710</v>
      </c>
      <c r="E94" s="49">
        <v>115</v>
      </c>
      <c r="F94" s="49">
        <v>182</v>
      </c>
      <c r="G94" s="49">
        <v>41</v>
      </c>
      <c r="H94" s="49">
        <v>33.200000000000003</v>
      </c>
      <c r="I94" s="49">
        <v>26.4</v>
      </c>
      <c r="J94" s="49">
        <v>5.4</v>
      </c>
      <c r="K94" s="49">
        <v>14.8</v>
      </c>
      <c r="L94" s="49">
        <v>8.6999999999999993</v>
      </c>
      <c r="M94" s="191">
        <f t="shared" si="20"/>
        <v>34.494799999999998</v>
      </c>
      <c r="N94" s="191">
        <f t="shared" si="20"/>
        <v>27.429599999999997</v>
      </c>
      <c r="O94" s="191">
        <f t="shared" si="20"/>
        <v>5.6105999999999998</v>
      </c>
      <c r="P94" s="191">
        <f t="shared" si="20"/>
        <v>15.3772</v>
      </c>
      <c r="Q94" s="191">
        <f t="shared" si="20"/>
        <v>9.039299999999999</v>
      </c>
    </row>
    <row r="95" spans="2:17" x14ac:dyDescent="0.25">
      <c r="B95" s="237" t="s">
        <v>290</v>
      </c>
      <c r="C95" s="49">
        <v>666</v>
      </c>
      <c r="D95" s="49">
        <v>423</v>
      </c>
      <c r="E95" s="49">
        <v>66</v>
      </c>
      <c r="F95" s="49">
        <v>152</v>
      </c>
      <c r="G95" s="49">
        <v>24</v>
      </c>
      <c r="H95" s="49">
        <v>33.4</v>
      </c>
      <c r="I95" s="49">
        <v>24.2</v>
      </c>
      <c r="J95" s="49">
        <v>5.3</v>
      </c>
      <c r="K95" s="49">
        <v>23.3</v>
      </c>
      <c r="L95" s="49">
        <v>8.6</v>
      </c>
      <c r="M95" s="191">
        <f t="shared" si="20"/>
        <v>34.702599999999997</v>
      </c>
      <c r="N95" s="191">
        <f t="shared" si="20"/>
        <v>25.143799999999999</v>
      </c>
      <c r="O95" s="191">
        <f t="shared" si="20"/>
        <v>5.5066999999999995</v>
      </c>
      <c r="P95" s="191">
        <f t="shared" si="20"/>
        <v>24.2087</v>
      </c>
      <c r="Q95" s="191">
        <f t="shared" si="20"/>
        <v>8.9353999999999996</v>
      </c>
    </row>
    <row r="96" spans="2:17" x14ac:dyDescent="0.25">
      <c r="B96" s="237" t="s">
        <v>291</v>
      </c>
      <c r="C96" s="49" t="s">
        <v>229</v>
      </c>
      <c r="D96" s="49" t="s">
        <v>229</v>
      </c>
      <c r="E96" s="49" t="s">
        <v>229</v>
      </c>
      <c r="F96" s="49" t="s">
        <v>229</v>
      </c>
      <c r="G96" s="49" t="s">
        <v>361</v>
      </c>
      <c r="H96" s="49" t="s">
        <v>229</v>
      </c>
      <c r="I96" s="49" t="s">
        <v>229</v>
      </c>
      <c r="J96" s="49" t="s">
        <v>229</v>
      </c>
      <c r="K96" s="49" t="s">
        <v>229</v>
      </c>
      <c r="L96" s="49" t="s">
        <v>361</v>
      </c>
      <c r="M96" s="191" t="e">
        <f t="shared" si="20"/>
        <v>#VALUE!</v>
      </c>
      <c r="N96" s="191" t="e">
        <f t="shared" si="20"/>
        <v>#VALUE!</v>
      </c>
      <c r="O96" s="191" t="e">
        <f t="shared" si="20"/>
        <v>#VALUE!</v>
      </c>
      <c r="P96" s="191" t="e">
        <f t="shared" si="20"/>
        <v>#VALUE!</v>
      </c>
      <c r="Q96" s="191" t="e">
        <f t="shared" si="20"/>
        <v>#VALUE!</v>
      </c>
    </row>
    <row r="97" spans="2:17" x14ac:dyDescent="0.25">
      <c r="B97" s="237" t="s">
        <v>292</v>
      </c>
      <c r="C97" s="49">
        <v>497</v>
      </c>
      <c r="D97" s="49">
        <v>382</v>
      </c>
      <c r="E97" s="49">
        <v>40</v>
      </c>
      <c r="F97" s="49">
        <v>45</v>
      </c>
      <c r="G97" s="49">
        <v>30</v>
      </c>
      <c r="H97" s="49">
        <v>31.1</v>
      </c>
      <c r="I97" s="49">
        <v>28.4</v>
      </c>
      <c r="J97" s="49">
        <v>3.1</v>
      </c>
      <c r="K97" s="49">
        <v>5.0999999999999996</v>
      </c>
      <c r="L97" s="49">
        <v>9.1</v>
      </c>
      <c r="M97" s="191">
        <f t="shared" si="20"/>
        <v>32.312899999999999</v>
      </c>
      <c r="N97" s="191">
        <f t="shared" si="20"/>
        <v>29.507599999999996</v>
      </c>
      <c r="O97" s="191">
        <f t="shared" si="20"/>
        <v>3.2208999999999999</v>
      </c>
      <c r="P97" s="191">
        <f t="shared" si="20"/>
        <v>5.2988999999999988</v>
      </c>
      <c r="Q97" s="191">
        <f t="shared" si="20"/>
        <v>9.4548999999999985</v>
      </c>
    </row>
    <row r="98" spans="2:17" x14ac:dyDescent="0.25">
      <c r="B98" s="237" t="s">
        <v>293</v>
      </c>
      <c r="C98" s="49">
        <v>37</v>
      </c>
      <c r="D98" s="49">
        <v>27</v>
      </c>
      <c r="E98" s="49">
        <v>2</v>
      </c>
      <c r="F98" s="49">
        <v>5</v>
      </c>
      <c r="G98" s="49">
        <v>3</v>
      </c>
      <c r="H98" s="49">
        <v>28.2</v>
      </c>
      <c r="I98" s="49">
        <v>25.1</v>
      </c>
      <c r="J98" s="49">
        <v>1.5</v>
      </c>
      <c r="K98" s="49">
        <v>8.8000000000000007</v>
      </c>
      <c r="L98" s="49">
        <v>20.6</v>
      </c>
      <c r="M98" s="191">
        <f t="shared" si="20"/>
        <v>29.299799999999998</v>
      </c>
      <c r="N98" s="191">
        <f t="shared" si="20"/>
        <v>26.078900000000001</v>
      </c>
      <c r="O98" s="191">
        <f t="shared" si="20"/>
        <v>1.5585</v>
      </c>
      <c r="P98" s="191">
        <f t="shared" si="20"/>
        <v>9.1432000000000002</v>
      </c>
      <c r="Q98" s="191">
        <f t="shared" si="20"/>
        <v>21.403400000000001</v>
      </c>
    </row>
    <row r="99" spans="2:17" x14ac:dyDescent="0.25">
      <c r="B99" s="237" t="s">
        <v>294</v>
      </c>
      <c r="C99" s="49">
        <v>155</v>
      </c>
      <c r="D99" s="49">
        <v>110</v>
      </c>
      <c r="E99" s="49">
        <v>15</v>
      </c>
      <c r="F99" s="49">
        <v>17</v>
      </c>
      <c r="G99" s="49">
        <v>13</v>
      </c>
      <c r="H99" s="49">
        <v>31.4</v>
      </c>
      <c r="I99" s="49">
        <v>28.9</v>
      </c>
      <c r="J99" s="49">
        <v>3.9</v>
      </c>
      <c r="K99" s="49">
        <v>6.6</v>
      </c>
      <c r="L99" s="49">
        <v>12</v>
      </c>
      <c r="M99" s="191">
        <f t="shared" si="20"/>
        <v>32.624599999999994</v>
      </c>
      <c r="N99" s="191">
        <f t="shared" si="20"/>
        <v>30.027099999999997</v>
      </c>
      <c r="O99" s="191">
        <f t="shared" si="20"/>
        <v>4.0520999999999994</v>
      </c>
      <c r="P99" s="191">
        <f t="shared" si="20"/>
        <v>6.8573999999999993</v>
      </c>
      <c r="Q99" s="191">
        <f t="shared" si="20"/>
        <v>12.468</v>
      </c>
    </row>
    <row r="100" spans="2:17" x14ac:dyDescent="0.25">
      <c r="B100" s="237" t="s">
        <v>295</v>
      </c>
      <c r="C100" s="49">
        <v>305</v>
      </c>
      <c r="D100" s="49">
        <v>245</v>
      </c>
      <c r="E100" s="49">
        <v>24</v>
      </c>
      <c r="F100" s="49">
        <v>23</v>
      </c>
      <c r="G100" s="49">
        <v>13</v>
      </c>
      <c r="H100" s="49">
        <v>31.4</v>
      </c>
      <c r="I100" s="49">
        <v>28.6</v>
      </c>
      <c r="J100" s="49">
        <v>3</v>
      </c>
      <c r="K100" s="49">
        <v>4</v>
      </c>
      <c r="L100" s="49">
        <v>6.6</v>
      </c>
      <c r="M100" s="191">
        <f t="shared" si="20"/>
        <v>32.624599999999994</v>
      </c>
      <c r="N100" s="191">
        <f t="shared" si="20"/>
        <v>29.715399999999999</v>
      </c>
      <c r="O100" s="191">
        <f t="shared" si="20"/>
        <v>3.117</v>
      </c>
      <c r="P100" s="191">
        <f t="shared" si="20"/>
        <v>4.1559999999999997</v>
      </c>
      <c r="Q100" s="191">
        <f t="shared" si="20"/>
        <v>6.8573999999999993</v>
      </c>
    </row>
    <row r="101" spans="2:17" x14ac:dyDescent="0.25">
      <c r="B101" s="236" t="s">
        <v>494</v>
      </c>
      <c r="C101" s="62"/>
      <c r="D101" s="62"/>
      <c r="E101" s="62"/>
      <c r="F101" s="62"/>
      <c r="G101" s="62"/>
      <c r="H101" s="62"/>
      <c r="I101" s="62"/>
      <c r="J101" s="62"/>
      <c r="K101" s="62"/>
      <c r="L101" s="62"/>
      <c r="M101" s="62"/>
      <c r="N101" s="62"/>
      <c r="O101" s="62"/>
      <c r="P101" s="62"/>
      <c r="Q101" s="62"/>
    </row>
    <row r="102" spans="2:17" x14ac:dyDescent="0.25">
      <c r="B102" s="236" t="s">
        <v>495</v>
      </c>
      <c r="C102" s="62"/>
      <c r="D102" s="62"/>
      <c r="E102" s="62"/>
      <c r="F102" s="62"/>
      <c r="G102" s="62"/>
      <c r="H102" s="62"/>
      <c r="I102" s="62"/>
      <c r="J102" s="62"/>
      <c r="K102" s="62"/>
      <c r="L102" s="62"/>
      <c r="M102" s="62"/>
      <c r="N102" s="62"/>
      <c r="O102" s="62"/>
      <c r="P102" s="62"/>
      <c r="Q102" s="62"/>
    </row>
    <row r="103" spans="2:17" x14ac:dyDescent="0.25">
      <c r="B103" s="237" t="s">
        <v>297</v>
      </c>
      <c r="C103" s="49">
        <v>1788</v>
      </c>
      <c r="D103" s="49">
        <v>1256</v>
      </c>
      <c r="E103" s="49">
        <v>177</v>
      </c>
      <c r="F103" s="49">
        <v>273</v>
      </c>
      <c r="G103" s="49">
        <v>83</v>
      </c>
      <c r="H103" s="49">
        <v>32.299999999999997</v>
      </c>
      <c r="I103" s="49">
        <v>26.6</v>
      </c>
      <c r="J103" s="49">
        <v>4.5999999999999996</v>
      </c>
      <c r="K103" s="49">
        <v>11.7</v>
      </c>
      <c r="L103" s="49">
        <v>9.1999999999999993</v>
      </c>
      <c r="M103" s="191">
        <f t="shared" ref="M103:Q106" si="21">H103*Lookups_Conversion_CF_to_kBTU</f>
        <v>33.559699999999992</v>
      </c>
      <c r="N103" s="191">
        <f t="shared" si="21"/>
        <v>27.6374</v>
      </c>
      <c r="O103" s="191">
        <f t="shared" si="21"/>
        <v>4.779399999999999</v>
      </c>
      <c r="P103" s="191">
        <f t="shared" si="21"/>
        <v>12.156299999999998</v>
      </c>
      <c r="Q103" s="191">
        <f t="shared" si="21"/>
        <v>9.558799999999998</v>
      </c>
    </row>
    <row r="104" spans="2:17" x14ac:dyDescent="0.25">
      <c r="B104" s="237" t="s">
        <v>298</v>
      </c>
      <c r="C104" s="49">
        <v>340</v>
      </c>
      <c r="D104" s="49">
        <v>218</v>
      </c>
      <c r="E104" s="49">
        <v>29</v>
      </c>
      <c r="F104" s="49">
        <v>86</v>
      </c>
      <c r="G104" s="49">
        <v>7</v>
      </c>
      <c r="H104" s="49">
        <v>36.799999999999997</v>
      </c>
      <c r="I104" s="49">
        <v>25.8</v>
      </c>
      <c r="J104" s="49">
        <v>4.8</v>
      </c>
      <c r="K104" s="49">
        <v>31.1</v>
      </c>
      <c r="L104" s="49">
        <v>5.5</v>
      </c>
      <c r="M104" s="191">
        <f t="shared" si="21"/>
        <v>38.235199999999992</v>
      </c>
      <c r="N104" s="191">
        <f t="shared" si="21"/>
        <v>26.8062</v>
      </c>
      <c r="O104" s="191">
        <f t="shared" si="21"/>
        <v>4.9871999999999996</v>
      </c>
      <c r="P104" s="191">
        <f t="shared" si="21"/>
        <v>32.312899999999999</v>
      </c>
      <c r="Q104" s="191">
        <f t="shared" si="21"/>
        <v>5.7144999999999992</v>
      </c>
    </row>
    <row r="105" spans="2:17" x14ac:dyDescent="0.25">
      <c r="B105" s="237" t="s">
        <v>299</v>
      </c>
      <c r="C105" s="49">
        <v>38</v>
      </c>
      <c r="D105" s="49">
        <v>17</v>
      </c>
      <c r="E105" s="49">
        <v>8</v>
      </c>
      <c r="F105" s="49">
        <v>11</v>
      </c>
      <c r="G105" s="49">
        <v>2</v>
      </c>
      <c r="H105" s="49">
        <v>26.5</v>
      </c>
      <c r="I105" s="49">
        <v>17</v>
      </c>
      <c r="J105" s="49">
        <v>8.4</v>
      </c>
      <c r="K105" s="49">
        <v>16.100000000000001</v>
      </c>
      <c r="L105" s="49">
        <v>6.7</v>
      </c>
      <c r="M105" s="191">
        <f t="shared" si="21"/>
        <v>27.533499999999997</v>
      </c>
      <c r="N105" s="191">
        <f t="shared" si="21"/>
        <v>17.663</v>
      </c>
      <c r="O105" s="191">
        <f t="shared" si="21"/>
        <v>8.7275999999999989</v>
      </c>
      <c r="P105" s="191">
        <f t="shared" si="21"/>
        <v>16.727900000000002</v>
      </c>
      <c r="Q105" s="191">
        <f t="shared" si="21"/>
        <v>6.9612999999999996</v>
      </c>
    </row>
    <row r="106" spans="2:17" x14ac:dyDescent="0.25">
      <c r="B106" s="237" t="s">
        <v>89</v>
      </c>
      <c r="C106" s="49">
        <v>50</v>
      </c>
      <c r="D106" s="49">
        <v>30</v>
      </c>
      <c r="E106" s="49">
        <v>7</v>
      </c>
      <c r="F106" s="49">
        <v>9</v>
      </c>
      <c r="G106" s="49">
        <v>3</v>
      </c>
      <c r="H106" s="49">
        <v>30.6</v>
      </c>
      <c r="I106" s="49">
        <v>21.7</v>
      </c>
      <c r="J106" s="49">
        <v>7.1</v>
      </c>
      <c r="K106" s="49">
        <v>10.6</v>
      </c>
      <c r="L106" s="49">
        <v>11.4</v>
      </c>
      <c r="M106" s="191">
        <f t="shared" si="21"/>
        <v>31.793399999999998</v>
      </c>
      <c r="N106" s="191">
        <f t="shared" si="21"/>
        <v>22.546299999999999</v>
      </c>
      <c r="O106" s="191">
        <f t="shared" si="21"/>
        <v>7.3768999999999991</v>
      </c>
      <c r="P106" s="191">
        <f t="shared" si="21"/>
        <v>11.013399999999999</v>
      </c>
      <c r="Q106" s="191">
        <f t="shared" si="21"/>
        <v>11.8446</v>
      </c>
    </row>
    <row r="107" spans="2:17" x14ac:dyDescent="0.25">
      <c r="B107" s="236" t="s">
        <v>496</v>
      </c>
      <c r="C107" s="62"/>
      <c r="D107" s="62"/>
      <c r="E107" s="62"/>
      <c r="F107" s="62"/>
      <c r="G107" s="62"/>
      <c r="H107" s="62"/>
      <c r="I107" s="62"/>
      <c r="J107" s="62"/>
      <c r="K107" s="62"/>
      <c r="L107" s="62"/>
      <c r="M107" s="62"/>
      <c r="N107" s="62"/>
      <c r="O107" s="62"/>
      <c r="P107" s="62"/>
      <c r="Q107" s="62"/>
    </row>
    <row r="108" spans="2:17" x14ac:dyDescent="0.25">
      <c r="B108" s="236" t="s">
        <v>497</v>
      </c>
      <c r="C108" s="62"/>
      <c r="D108" s="62"/>
      <c r="E108" s="62"/>
      <c r="F108" s="62"/>
      <c r="G108" s="62"/>
      <c r="H108" s="62"/>
      <c r="I108" s="62"/>
      <c r="J108" s="62"/>
      <c r="K108" s="62"/>
      <c r="L108" s="62"/>
      <c r="M108" s="62"/>
      <c r="N108" s="62"/>
      <c r="O108" s="62"/>
      <c r="P108" s="62"/>
      <c r="Q108" s="62"/>
    </row>
    <row r="109" spans="2:17" x14ac:dyDescent="0.25">
      <c r="B109" s="237" t="s">
        <v>297</v>
      </c>
      <c r="C109" s="49">
        <v>1877</v>
      </c>
      <c r="D109" s="49">
        <v>1316</v>
      </c>
      <c r="E109" s="49">
        <v>184</v>
      </c>
      <c r="F109" s="49">
        <v>291</v>
      </c>
      <c r="G109" s="49">
        <v>86</v>
      </c>
      <c r="H109" s="49">
        <v>32.4</v>
      </c>
      <c r="I109" s="49">
        <v>26.5</v>
      </c>
      <c r="J109" s="49">
        <v>4.5999999999999996</v>
      </c>
      <c r="K109" s="49">
        <v>12.1</v>
      </c>
      <c r="L109" s="49">
        <v>9.1999999999999993</v>
      </c>
      <c r="M109" s="191">
        <f t="shared" ref="M109:Q112" si="22">H109*Lookups_Conversion_CF_to_kBTU</f>
        <v>33.663599999999995</v>
      </c>
      <c r="N109" s="191">
        <f t="shared" si="22"/>
        <v>27.533499999999997</v>
      </c>
      <c r="O109" s="191">
        <f t="shared" si="22"/>
        <v>4.779399999999999</v>
      </c>
      <c r="P109" s="191">
        <f t="shared" si="22"/>
        <v>12.571899999999999</v>
      </c>
      <c r="Q109" s="191">
        <f t="shared" si="22"/>
        <v>9.558799999999998</v>
      </c>
    </row>
    <row r="110" spans="2:17" x14ac:dyDescent="0.25">
      <c r="B110" s="237" t="s">
        <v>298</v>
      </c>
      <c r="C110" s="49">
        <v>216</v>
      </c>
      <c r="D110" s="49">
        <v>130</v>
      </c>
      <c r="E110" s="49">
        <v>20</v>
      </c>
      <c r="F110" s="49">
        <v>61</v>
      </c>
      <c r="G110" s="49">
        <v>5</v>
      </c>
      <c r="H110" s="49">
        <v>38.9</v>
      </c>
      <c r="I110" s="49">
        <v>25.1</v>
      </c>
      <c r="J110" s="49">
        <v>5.4</v>
      </c>
      <c r="K110" s="49">
        <v>33.200000000000003</v>
      </c>
      <c r="L110" s="49">
        <v>6</v>
      </c>
      <c r="M110" s="191">
        <f t="shared" si="22"/>
        <v>40.417099999999998</v>
      </c>
      <c r="N110" s="191">
        <f t="shared" si="22"/>
        <v>26.078900000000001</v>
      </c>
      <c r="O110" s="191">
        <f t="shared" si="22"/>
        <v>5.6105999999999998</v>
      </c>
      <c r="P110" s="191">
        <f t="shared" si="22"/>
        <v>34.494799999999998</v>
      </c>
      <c r="Q110" s="191">
        <f t="shared" si="22"/>
        <v>6.234</v>
      </c>
    </row>
    <row r="111" spans="2:17" x14ac:dyDescent="0.25">
      <c r="B111" s="237" t="s">
        <v>299</v>
      </c>
      <c r="C111" s="49">
        <v>23</v>
      </c>
      <c r="D111" s="49">
        <v>10</v>
      </c>
      <c r="E111" s="49">
        <v>5</v>
      </c>
      <c r="F111" s="49">
        <v>6</v>
      </c>
      <c r="G111" s="49" t="s">
        <v>229</v>
      </c>
      <c r="H111" s="49">
        <v>28.4</v>
      </c>
      <c r="I111" s="49">
        <v>17.600000000000001</v>
      </c>
      <c r="J111" s="49">
        <v>8.8000000000000007</v>
      </c>
      <c r="K111" s="49">
        <v>16.100000000000001</v>
      </c>
      <c r="L111" s="49" t="s">
        <v>229</v>
      </c>
      <c r="M111" s="191">
        <f t="shared" si="22"/>
        <v>29.507599999999996</v>
      </c>
      <c r="N111" s="191">
        <f t="shared" si="22"/>
        <v>18.2864</v>
      </c>
      <c r="O111" s="191">
        <f t="shared" si="22"/>
        <v>9.1432000000000002</v>
      </c>
      <c r="P111" s="191">
        <f t="shared" si="22"/>
        <v>16.727900000000002</v>
      </c>
      <c r="Q111" s="191" t="e">
        <f t="shared" si="22"/>
        <v>#VALUE!</v>
      </c>
    </row>
    <row r="112" spans="2:17" x14ac:dyDescent="0.25">
      <c r="B112" s="237" t="s">
        <v>89</v>
      </c>
      <c r="C112" s="49">
        <v>100</v>
      </c>
      <c r="D112" s="49">
        <v>64</v>
      </c>
      <c r="E112" s="49">
        <v>13</v>
      </c>
      <c r="F112" s="49">
        <v>21</v>
      </c>
      <c r="G112" s="49">
        <v>3</v>
      </c>
      <c r="H112" s="49">
        <v>29.9</v>
      </c>
      <c r="I112" s="49">
        <v>23.8</v>
      </c>
      <c r="J112" s="49">
        <v>5.0999999999999996</v>
      </c>
      <c r="K112" s="49">
        <v>14.8</v>
      </c>
      <c r="L112" s="49">
        <v>5.6</v>
      </c>
      <c r="M112" s="191">
        <f t="shared" si="22"/>
        <v>31.066099999999995</v>
      </c>
      <c r="N112" s="191">
        <f t="shared" si="22"/>
        <v>24.728199999999998</v>
      </c>
      <c r="O112" s="191">
        <f t="shared" si="22"/>
        <v>5.2988999999999988</v>
      </c>
      <c r="P112" s="191">
        <f t="shared" si="22"/>
        <v>15.3772</v>
      </c>
      <c r="Q112" s="191">
        <f t="shared" si="22"/>
        <v>5.8183999999999996</v>
      </c>
    </row>
    <row r="113" spans="2:17" x14ac:dyDescent="0.25">
      <c r="B113" s="236" t="s">
        <v>301</v>
      </c>
      <c r="C113" s="62"/>
      <c r="D113" s="62"/>
      <c r="E113" s="62"/>
      <c r="F113" s="62"/>
      <c r="G113" s="62"/>
      <c r="H113" s="62"/>
      <c r="I113" s="62"/>
      <c r="J113" s="62"/>
      <c r="K113" s="62"/>
      <c r="L113" s="62"/>
      <c r="M113" s="62"/>
      <c r="N113" s="62"/>
      <c r="O113" s="62"/>
      <c r="P113" s="62"/>
      <c r="Q113" s="62"/>
    </row>
    <row r="114" spans="2:17" x14ac:dyDescent="0.25">
      <c r="B114" s="237">
        <v>1</v>
      </c>
      <c r="C114" s="49">
        <v>1468</v>
      </c>
      <c r="D114" s="49">
        <v>1026</v>
      </c>
      <c r="E114" s="49">
        <v>153</v>
      </c>
      <c r="F114" s="49">
        <v>228</v>
      </c>
      <c r="G114" s="49">
        <v>61</v>
      </c>
      <c r="H114" s="49">
        <v>33</v>
      </c>
      <c r="I114" s="49">
        <v>27.2</v>
      </c>
      <c r="J114" s="49">
        <v>4.9000000000000004</v>
      </c>
      <c r="K114" s="49">
        <v>13.2</v>
      </c>
      <c r="L114" s="49">
        <v>8.4</v>
      </c>
      <c r="M114" s="191">
        <f t="shared" ref="M114:Q119" si="23">H114*Lookups_Conversion_CF_to_kBTU</f>
        <v>34.286999999999999</v>
      </c>
      <c r="N114" s="191">
        <f t="shared" si="23"/>
        <v>28.260799999999996</v>
      </c>
      <c r="O114" s="191">
        <f t="shared" si="23"/>
        <v>5.0911</v>
      </c>
      <c r="P114" s="191">
        <f t="shared" si="23"/>
        <v>13.714799999999999</v>
      </c>
      <c r="Q114" s="191">
        <f t="shared" si="23"/>
        <v>8.7275999999999989</v>
      </c>
    </row>
    <row r="115" spans="2:17" x14ac:dyDescent="0.25">
      <c r="B115" s="237" t="s">
        <v>302</v>
      </c>
      <c r="C115" s="49">
        <v>404</v>
      </c>
      <c r="D115" s="49">
        <v>279</v>
      </c>
      <c r="E115" s="49">
        <v>36</v>
      </c>
      <c r="F115" s="49">
        <v>68</v>
      </c>
      <c r="G115" s="49">
        <v>21</v>
      </c>
      <c r="H115" s="49">
        <v>33</v>
      </c>
      <c r="I115" s="49">
        <v>25.6</v>
      </c>
      <c r="J115" s="49">
        <v>4.5</v>
      </c>
      <c r="K115" s="49">
        <v>14.6</v>
      </c>
      <c r="L115" s="49">
        <v>11.7</v>
      </c>
      <c r="M115" s="191">
        <f t="shared" si="23"/>
        <v>34.286999999999999</v>
      </c>
      <c r="N115" s="191">
        <f t="shared" si="23"/>
        <v>26.598399999999998</v>
      </c>
      <c r="O115" s="191">
        <f t="shared" si="23"/>
        <v>4.6754999999999995</v>
      </c>
      <c r="P115" s="191">
        <f t="shared" si="23"/>
        <v>15.169399999999998</v>
      </c>
      <c r="Q115" s="191">
        <f t="shared" si="23"/>
        <v>12.156299999999998</v>
      </c>
    </row>
    <row r="116" spans="2:17" x14ac:dyDescent="0.25">
      <c r="B116" s="237" t="s">
        <v>303</v>
      </c>
      <c r="C116" s="49">
        <v>149</v>
      </c>
      <c r="D116" s="49">
        <v>100</v>
      </c>
      <c r="E116" s="49">
        <v>14</v>
      </c>
      <c r="F116" s="49">
        <v>31</v>
      </c>
      <c r="G116" s="49">
        <v>4</v>
      </c>
      <c r="H116" s="49">
        <v>33.4</v>
      </c>
      <c r="I116" s="49">
        <v>24.6</v>
      </c>
      <c r="J116" s="49">
        <v>4.4000000000000004</v>
      </c>
      <c r="K116" s="49">
        <v>16.2</v>
      </c>
      <c r="L116" s="49">
        <v>8</v>
      </c>
      <c r="M116" s="191">
        <f t="shared" si="23"/>
        <v>34.702599999999997</v>
      </c>
      <c r="N116" s="191">
        <f t="shared" si="23"/>
        <v>25.5594</v>
      </c>
      <c r="O116" s="191">
        <f t="shared" si="23"/>
        <v>4.5716000000000001</v>
      </c>
      <c r="P116" s="191">
        <f t="shared" si="23"/>
        <v>16.831799999999998</v>
      </c>
      <c r="Q116" s="191">
        <f t="shared" si="23"/>
        <v>8.3119999999999994</v>
      </c>
    </row>
    <row r="117" spans="2:17" x14ac:dyDescent="0.25">
      <c r="B117" s="237" t="s">
        <v>304</v>
      </c>
      <c r="C117" s="49">
        <v>112</v>
      </c>
      <c r="D117" s="49">
        <v>67</v>
      </c>
      <c r="E117" s="49">
        <v>11</v>
      </c>
      <c r="F117" s="49">
        <v>28</v>
      </c>
      <c r="G117" s="49">
        <v>6</v>
      </c>
      <c r="H117" s="49">
        <v>36</v>
      </c>
      <c r="I117" s="49">
        <v>24.3</v>
      </c>
      <c r="J117" s="49">
        <v>5.3</v>
      </c>
      <c r="K117" s="49">
        <v>19.5</v>
      </c>
      <c r="L117" s="49">
        <v>10.5</v>
      </c>
      <c r="M117" s="191">
        <f t="shared" si="23"/>
        <v>37.403999999999996</v>
      </c>
      <c r="N117" s="191">
        <f t="shared" si="23"/>
        <v>25.247699999999998</v>
      </c>
      <c r="O117" s="191">
        <f t="shared" si="23"/>
        <v>5.5066999999999995</v>
      </c>
      <c r="P117" s="191">
        <f t="shared" si="23"/>
        <v>20.260499999999997</v>
      </c>
      <c r="Q117" s="191">
        <f t="shared" si="23"/>
        <v>10.9095</v>
      </c>
    </row>
    <row r="118" spans="2:17" x14ac:dyDescent="0.25">
      <c r="B118" s="237" t="s">
        <v>305</v>
      </c>
      <c r="C118" s="49">
        <v>76</v>
      </c>
      <c r="D118" s="49">
        <v>41</v>
      </c>
      <c r="E118" s="49">
        <v>7</v>
      </c>
      <c r="F118" s="49">
        <v>24</v>
      </c>
      <c r="G118" s="49">
        <v>3</v>
      </c>
      <c r="H118" s="49">
        <v>24.8</v>
      </c>
      <c r="I118" s="49">
        <v>18.2</v>
      </c>
      <c r="J118" s="49">
        <v>3.5</v>
      </c>
      <c r="K118" s="49">
        <v>10.199999999999999</v>
      </c>
      <c r="L118" s="49">
        <v>4.7</v>
      </c>
      <c r="M118" s="191">
        <f t="shared" si="23"/>
        <v>25.767199999999999</v>
      </c>
      <c r="N118" s="191">
        <f t="shared" si="23"/>
        <v>18.909799999999997</v>
      </c>
      <c r="O118" s="191">
        <f t="shared" si="23"/>
        <v>3.6364999999999998</v>
      </c>
      <c r="P118" s="191">
        <f t="shared" si="23"/>
        <v>10.597799999999998</v>
      </c>
      <c r="Q118" s="191">
        <f t="shared" si="23"/>
        <v>4.8833000000000002</v>
      </c>
    </row>
    <row r="119" spans="2:17" x14ac:dyDescent="0.25">
      <c r="B119" s="237" t="s">
        <v>306</v>
      </c>
      <c r="C119" s="49">
        <v>6</v>
      </c>
      <c r="D119" s="49">
        <v>6</v>
      </c>
      <c r="E119" s="49" t="s">
        <v>229</v>
      </c>
      <c r="F119" s="49" t="s">
        <v>229</v>
      </c>
      <c r="G119" s="49" t="s">
        <v>229</v>
      </c>
      <c r="H119" s="49">
        <v>21</v>
      </c>
      <c r="I119" s="49">
        <v>23.7</v>
      </c>
      <c r="J119" s="49" t="s">
        <v>229</v>
      </c>
      <c r="K119" s="49" t="s">
        <v>229</v>
      </c>
      <c r="L119" s="49" t="s">
        <v>229</v>
      </c>
      <c r="M119" s="191">
        <f t="shared" si="23"/>
        <v>21.818999999999999</v>
      </c>
      <c r="N119" s="191">
        <f t="shared" si="23"/>
        <v>24.624299999999998</v>
      </c>
      <c r="O119" s="191" t="e">
        <f t="shared" si="23"/>
        <v>#VALUE!</v>
      </c>
      <c r="P119" s="191" t="e">
        <f t="shared" si="23"/>
        <v>#VALUE!</v>
      </c>
      <c r="Q119" s="191" t="e">
        <f t="shared" si="23"/>
        <v>#VALUE!</v>
      </c>
    </row>
    <row r="120" spans="2:17" x14ac:dyDescent="0.25">
      <c r="B120" s="236" t="s">
        <v>307</v>
      </c>
      <c r="C120" s="62"/>
      <c r="D120" s="62"/>
      <c r="E120" s="62"/>
      <c r="F120" s="62"/>
      <c r="G120" s="62"/>
      <c r="H120" s="62"/>
      <c r="I120" s="62"/>
      <c r="J120" s="62"/>
      <c r="K120" s="62"/>
      <c r="L120" s="62"/>
      <c r="M120" s="62"/>
      <c r="N120" s="62"/>
      <c r="O120" s="62"/>
      <c r="P120" s="62"/>
      <c r="Q120" s="62"/>
    </row>
    <row r="121" spans="2:17" x14ac:dyDescent="0.25">
      <c r="B121" s="237" t="s">
        <v>308</v>
      </c>
      <c r="C121" s="49">
        <v>1244</v>
      </c>
      <c r="D121" s="49">
        <v>820</v>
      </c>
      <c r="E121" s="49">
        <v>136</v>
      </c>
      <c r="F121" s="49">
        <v>239</v>
      </c>
      <c r="G121" s="49">
        <v>50</v>
      </c>
      <c r="H121" s="49">
        <v>35.6</v>
      </c>
      <c r="I121" s="49">
        <v>27.3</v>
      </c>
      <c r="J121" s="49">
        <v>5.2</v>
      </c>
      <c r="K121" s="49">
        <v>14.4</v>
      </c>
      <c r="L121" s="49">
        <v>9.1999999999999993</v>
      </c>
      <c r="M121" s="191">
        <f t="shared" ref="M121:Q127" si="24">H121*Lookups_Conversion_CF_to_kBTU</f>
        <v>36.988399999999999</v>
      </c>
      <c r="N121" s="191">
        <f t="shared" si="24"/>
        <v>28.364699999999999</v>
      </c>
      <c r="O121" s="191">
        <f t="shared" si="24"/>
        <v>5.4028</v>
      </c>
      <c r="P121" s="191">
        <f t="shared" si="24"/>
        <v>14.961599999999999</v>
      </c>
      <c r="Q121" s="191">
        <f t="shared" si="24"/>
        <v>9.558799999999998</v>
      </c>
    </row>
    <row r="122" spans="2:17" x14ac:dyDescent="0.25">
      <c r="B122" s="237" t="s">
        <v>309</v>
      </c>
      <c r="C122" s="49">
        <v>462</v>
      </c>
      <c r="D122" s="49">
        <v>318</v>
      </c>
      <c r="E122" s="49">
        <v>43</v>
      </c>
      <c r="F122" s="49">
        <v>81</v>
      </c>
      <c r="G122" s="49">
        <v>21</v>
      </c>
      <c r="H122" s="49">
        <v>32.5</v>
      </c>
      <c r="I122" s="49">
        <v>25.9</v>
      </c>
      <c r="J122" s="49">
        <v>4.5</v>
      </c>
      <c r="K122" s="49">
        <v>13.2</v>
      </c>
      <c r="L122" s="49">
        <v>8.1999999999999993</v>
      </c>
      <c r="M122" s="191">
        <f t="shared" si="24"/>
        <v>33.767499999999998</v>
      </c>
      <c r="N122" s="191">
        <f t="shared" si="24"/>
        <v>26.910099999999996</v>
      </c>
      <c r="O122" s="191">
        <f t="shared" si="24"/>
        <v>4.6754999999999995</v>
      </c>
      <c r="P122" s="191">
        <f t="shared" si="24"/>
        <v>13.714799999999999</v>
      </c>
      <c r="Q122" s="191">
        <f t="shared" si="24"/>
        <v>8.5197999999999983</v>
      </c>
    </row>
    <row r="123" spans="2:17" x14ac:dyDescent="0.25">
      <c r="B123" s="237" t="s">
        <v>310</v>
      </c>
      <c r="C123" s="49">
        <v>167</v>
      </c>
      <c r="D123" s="49">
        <v>130</v>
      </c>
      <c r="E123" s="49">
        <v>13</v>
      </c>
      <c r="F123" s="49">
        <v>17</v>
      </c>
      <c r="G123" s="49">
        <v>7</v>
      </c>
      <c r="H123" s="49">
        <v>25.7</v>
      </c>
      <c r="I123" s="49">
        <v>23.3</v>
      </c>
      <c r="J123" s="49">
        <v>3</v>
      </c>
      <c r="K123" s="49">
        <v>9.9</v>
      </c>
      <c r="L123" s="49">
        <v>6.1</v>
      </c>
      <c r="M123" s="191">
        <f t="shared" si="24"/>
        <v>26.702299999999997</v>
      </c>
      <c r="N123" s="191">
        <f t="shared" si="24"/>
        <v>24.2087</v>
      </c>
      <c r="O123" s="191">
        <f t="shared" si="24"/>
        <v>3.117</v>
      </c>
      <c r="P123" s="191">
        <f t="shared" si="24"/>
        <v>10.286099999999999</v>
      </c>
      <c r="Q123" s="191">
        <f t="shared" si="24"/>
        <v>6.3378999999999994</v>
      </c>
    </row>
    <row r="124" spans="2:17" x14ac:dyDescent="0.25">
      <c r="B124" s="237" t="s">
        <v>311</v>
      </c>
      <c r="C124" s="49">
        <v>101</v>
      </c>
      <c r="D124" s="49">
        <v>61</v>
      </c>
      <c r="E124" s="49">
        <v>17</v>
      </c>
      <c r="F124" s="49">
        <v>15</v>
      </c>
      <c r="G124" s="49">
        <v>8</v>
      </c>
      <c r="H124" s="49">
        <v>37.200000000000003</v>
      </c>
      <c r="I124" s="49">
        <v>26.6</v>
      </c>
      <c r="J124" s="49">
        <v>9.1999999999999993</v>
      </c>
      <c r="K124" s="49">
        <v>18.2</v>
      </c>
      <c r="L124" s="49">
        <v>14.5</v>
      </c>
      <c r="M124" s="191">
        <f t="shared" si="24"/>
        <v>38.650799999999997</v>
      </c>
      <c r="N124" s="191">
        <f t="shared" si="24"/>
        <v>27.6374</v>
      </c>
      <c r="O124" s="191">
        <f t="shared" si="24"/>
        <v>9.558799999999998</v>
      </c>
      <c r="P124" s="191">
        <f t="shared" si="24"/>
        <v>18.909799999999997</v>
      </c>
      <c r="Q124" s="191">
        <f t="shared" si="24"/>
        <v>15.065499999999998</v>
      </c>
    </row>
    <row r="125" spans="2:17" x14ac:dyDescent="0.25">
      <c r="B125" s="237" t="s">
        <v>312</v>
      </c>
      <c r="C125" s="49">
        <v>164</v>
      </c>
      <c r="D125" s="49">
        <v>145</v>
      </c>
      <c r="E125" s="49">
        <v>6</v>
      </c>
      <c r="F125" s="49">
        <v>9</v>
      </c>
      <c r="G125" s="49">
        <v>4</v>
      </c>
      <c r="H125" s="49">
        <v>26.7</v>
      </c>
      <c r="I125" s="49">
        <v>26.1</v>
      </c>
      <c r="J125" s="49">
        <v>2</v>
      </c>
      <c r="K125" s="49">
        <v>9.1</v>
      </c>
      <c r="L125" s="49">
        <v>6.3</v>
      </c>
      <c r="M125" s="191">
        <f t="shared" si="24"/>
        <v>27.741299999999999</v>
      </c>
      <c r="N125" s="191">
        <f t="shared" si="24"/>
        <v>27.117899999999999</v>
      </c>
      <c r="O125" s="191">
        <f t="shared" si="24"/>
        <v>2.0779999999999998</v>
      </c>
      <c r="P125" s="191">
        <f t="shared" si="24"/>
        <v>9.4548999999999985</v>
      </c>
      <c r="Q125" s="191">
        <f t="shared" si="24"/>
        <v>6.5456999999999992</v>
      </c>
    </row>
    <row r="126" spans="2:17" x14ac:dyDescent="0.25">
      <c r="B126" s="237" t="s">
        <v>313</v>
      </c>
      <c r="C126" s="49">
        <v>40</v>
      </c>
      <c r="D126" s="49">
        <v>23</v>
      </c>
      <c r="E126" s="49">
        <v>3</v>
      </c>
      <c r="F126" s="49">
        <v>10</v>
      </c>
      <c r="G126" s="49">
        <v>4</v>
      </c>
      <c r="H126" s="49">
        <v>23.8</v>
      </c>
      <c r="I126" s="49">
        <v>20.9</v>
      </c>
      <c r="J126" s="49">
        <v>3</v>
      </c>
      <c r="K126" s="49">
        <v>10.3</v>
      </c>
      <c r="L126" s="49">
        <v>17.100000000000001</v>
      </c>
      <c r="M126" s="191">
        <f t="shared" si="24"/>
        <v>24.728199999999998</v>
      </c>
      <c r="N126" s="191">
        <f t="shared" si="24"/>
        <v>21.715099999999996</v>
      </c>
      <c r="O126" s="191">
        <f t="shared" si="24"/>
        <v>3.117</v>
      </c>
      <c r="P126" s="191">
        <f t="shared" si="24"/>
        <v>10.701700000000001</v>
      </c>
      <c r="Q126" s="191">
        <f t="shared" si="24"/>
        <v>17.7669</v>
      </c>
    </row>
    <row r="127" spans="2:17" x14ac:dyDescent="0.25">
      <c r="B127" s="237" t="s">
        <v>89</v>
      </c>
      <c r="C127" s="49">
        <v>38</v>
      </c>
      <c r="D127" s="49">
        <v>24</v>
      </c>
      <c r="E127" s="49">
        <v>3</v>
      </c>
      <c r="F127" s="49">
        <v>10</v>
      </c>
      <c r="G127" s="49" t="s">
        <v>229</v>
      </c>
      <c r="H127" s="49">
        <v>25.1</v>
      </c>
      <c r="I127" s="49">
        <v>19.7</v>
      </c>
      <c r="J127" s="49">
        <v>3.6</v>
      </c>
      <c r="K127" s="49">
        <v>18.3</v>
      </c>
      <c r="L127" s="49">
        <v>5.2</v>
      </c>
      <c r="M127" s="191">
        <f t="shared" si="24"/>
        <v>26.078900000000001</v>
      </c>
      <c r="N127" s="191">
        <f t="shared" si="24"/>
        <v>20.468299999999999</v>
      </c>
      <c r="O127" s="191">
        <f t="shared" si="24"/>
        <v>3.7403999999999997</v>
      </c>
      <c r="P127" s="191">
        <f t="shared" si="24"/>
        <v>19.0137</v>
      </c>
      <c r="Q127" s="191">
        <f t="shared" si="24"/>
        <v>5.4028</v>
      </c>
    </row>
    <row r="128" spans="2:17" x14ac:dyDescent="0.25">
      <c r="B128" s="236" t="s">
        <v>314</v>
      </c>
      <c r="C128" s="62"/>
      <c r="D128" s="62"/>
      <c r="E128" s="62"/>
      <c r="F128" s="62"/>
      <c r="G128" s="62"/>
      <c r="H128" s="62"/>
      <c r="I128" s="62"/>
      <c r="J128" s="62"/>
      <c r="K128" s="62"/>
      <c r="L128" s="62"/>
      <c r="M128" s="62"/>
      <c r="N128" s="62"/>
      <c r="O128" s="62"/>
      <c r="P128" s="62"/>
      <c r="Q128" s="62"/>
    </row>
    <row r="129" spans="2:17" x14ac:dyDescent="0.25">
      <c r="B129" s="237" t="s">
        <v>315</v>
      </c>
      <c r="C129" s="49">
        <v>303</v>
      </c>
      <c r="D129" s="49">
        <v>240</v>
      </c>
      <c r="E129" s="49">
        <v>17</v>
      </c>
      <c r="F129" s="49">
        <v>37</v>
      </c>
      <c r="G129" s="49">
        <v>9</v>
      </c>
      <c r="H129" s="49">
        <v>29</v>
      </c>
      <c r="I129" s="49">
        <v>26.4</v>
      </c>
      <c r="J129" s="49">
        <v>2.8</v>
      </c>
      <c r="K129" s="49">
        <v>16</v>
      </c>
      <c r="L129" s="49">
        <v>8.4</v>
      </c>
      <c r="M129" s="191">
        <f t="shared" ref="M129:Q133" si="25">H129*Lookups_Conversion_CF_to_kBTU</f>
        <v>30.130999999999997</v>
      </c>
      <c r="N129" s="191">
        <f t="shared" si="25"/>
        <v>27.429599999999997</v>
      </c>
      <c r="O129" s="191">
        <f t="shared" si="25"/>
        <v>2.9091999999999998</v>
      </c>
      <c r="P129" s="191">
        <f t="shared" si="25"/>
        <v>16.623999999999999</v>
      </c>
      <c r="Q129" s="191">
        <f t="shared" si="25"/>
        <v>8.7275999999999989</v>
      </c>
    </row>
    <row r="130" spans="2:17" x14ac:dyDescent="0.25">
      <c r="B130" s="237" t="s">
        <v>316</v>
      </c>
      <c r="C130" s="49">
        <v>882</v>
      </c>
      <c r="D130" s="49">
        <v>617</v>
      </c>
      <c r="E130" s="49">
        <v>75</v>
      </c>
      <c r="F130" s="49">
        <v>156</v>
      </c>
      <c r="G130" s="49">
        <v>35</v>
      </c>
      <c r="H130" s="49">
        <v>34.700000000000003</v>
      </c>
      <c r="I130" s="49">
        <v>27.5</v>
      </c>
      <c r="J130" s="49">
        <v>4.3</v>
      </c>
      <c r="K130" s="49">
        <v>13.1</v>
      </c>
      <c r="L130" s="49">
        <v>8</v>
      </c>
      <c r="M130" s="191">
        <f t="shared" si="25"/>
        <v>36.0533</v>
      </c>
      <c r="N130" s="191">
        <f t="shared" si="25"/>
        <v>28.572499999999998</v>
      </c>
      <c r="O130" s="191">
        <f t="shared" si="25"/>
        <v>4.4676999999999998</v>
      </c>
      <c r="P130" s="191">
        <f t="shared" si="25"/>
        <v>13.610899999999999</v>
      </c>
      <c r="Q130" s="191">
        <f t="shared" si="25"/>
        <v>8.3119999999999994</v>
      </c>
    </row>
    <row r="131" spans="2:17" x14ac:dyDescent="0.25">
      <c r="B131" s="237" t="s">
        <v>317</v>
      </c>
      <c r="C131" s="49">
        <v>493</v>
      </c>
      <c r="D131" s="49">
        <v>328</v>
      </c>
      <c r="E131" s="49">
        <v>56</v>
      </c>
      <c r="F131" s="49">
        <v>89</v>
      </c>
      <c r="G131" s="49">
        <v>20</v>
      </c>
      <c r="H131" s="49">
        <v>32</v>
      </c>
      <c r="I131" s="49">
        <v>25.4</v>
      </c>
      <c r="J131" s="49">
        <v>4.9000000000000004</v>
      </c>
      <c r="K131" s="49">
        <v>12.8</v>
      </c>
      <c r="L131" s="49">
        <v>7.1</v>
      </c>
      <c r="M131" s="191">
        <f t="shared" si="25"/>
        <v>33.247999999999998</v>
      </c>
      <c r="N131" s="191">
        <f t="shared" si="25"/>
        <v>26.390599999999996</v>
      </c>
      <c r="O131" s="191">
        <f t="shared" si="25"/>
        <v>5.0911</v>
      </c>
      <c r="P131" s="191">
        <f t="shared" si="25"/>
        <v>13.299199999999999</v>
      </c>
      <c r="Q131" s="191">
        <f t="shared" si="25"/>
        <v>7.3768999999999991</v>
      </c>
    </row>
    <row r="132" spans="2:17" x14ac:dyDescent="0.25">
      <c r="B132" s="237" t="s">
        <v>318</v>
      </c>
      <c r="C132" s="49">
        <v>94</v>
      </c>
      <c r="D132" s="49">
        <v>47</v>
      </c>
      <c r="E132" s="49">
        <v>13</v>
      </c>
      <c r="F132" s="49">
        <v>26</v>
      </c>
      <c r="G132" s="49" t="s">
        <v>229</v>
      </c>
      <c r="H132" s="49">
        <v>35.799999999999997</v>
      </c>
      <c r="I132" s="49">
        <v>23.7</v>
      </c>
      <c r="J132" s="49">
        <v>6.8</v>
      </c>
      <c r="K132" s="49">
        <v>21.3</v>
      </c>
      <c r="L132" s="49">
        <v>16.8</v>
      </c>
      <c r="M132" s="191">
        <f t="shared" si="25"/>
        <v>37.196199999999997</v>
      </c>
      <c r="N132" s="191">
        <f t="shared" si="25"/>
        <v>24.624299999999998</v>
      </c>
      <c r="O132" s="191">
        <f t="shared" si="25"/>
        <v>7.065199999999999</v>
      </c>
      <c r="P132" s="191">
        <f t="shared" si="25"/>
        <v>22.130699999999997</v>
      </c>
      <c r="Q132" s="191">
        <f t="shared" si="25"/>
        <v>17.455199999999998</v>
      </c>
    </row>
    <row r="133" spans="2:17" x14ac:dyDescent="0.25">
      <c r="B133" s="237" t="s">
        <v>498</v>
      </c>
      <c r="C133" s="49">
        <v>34</v>
      </c>
      <c r="D133" s="49">
        <v>18</v>
      </c>
      <c r="E133" s="49">
        <v>6</v>
      </c>
      <c r="F133" s="49">
        <v>9</v>
      </c>
      <c r="G133" s="49" t="s">
        <v>229</v>
      </c>
      <c r="H133" s="49">
        <v>40.200000000000003</v>
      </c>
      <c r="I133" s="49">
        <v>25.6</v>
      </c>
      <c r="J133" s="49">
        <v>7.8</v>
      </c>
      <c r="K133" s="49">
        <v>33.200000000000003</v>
      </c>
      <c r="L133" s="49" t="s">
        <v>229</v>
      </c>
      <c r="M133" s="191">
        <f t="shared" si="25"/>
        <v>41.767800000000001</v>
      </c>
      <c r="N133" s="191">
        <f t="shared" si="25"/>
        <v>26.598399999999998</v>
      </c>
      <c r="O133" s="191">
        <f t="shared" si="25"/>
        <v>8.1041999999999987</v>
      </c>
      <c r="P133" s="191">
        <f t="shared" si="25"/>
        <v>34.494799999999998</v>
      </c>
      <c r="Q133" s="191" t="e">
        <f t="shared" si="25"/>
        <v>#VALUE!</v>
      </c>
    </row>
    <row r="134" spans="2:17" x14ac:dyDescent="0.25">
      <c r="B134" s="236" t="s">
        <v>499</v>
      </c>
      <c r="C134" s="62"/>
      <c r="D134" s="62"/>
      <c r="E134" s="62"/>
      <c r="F134" s="62"/>
      <c r="G134" s="62"/>
      <c r="H134" s="62"/>
      <c r="I134" s="62"/>
      <c r="J134" s="62"/>
      <c r="K134" s="62"/>
      <c r="L134" s="62"/>
      <c r="M134" s="62"/>
      <c r="N134" s="62"/>
      <c r="O134" s="62"/>
      <c r="P134" s="62"/>
      <c r="Q134" s="62"/>
    </row>
    <row r="135" spans="2:17" x14ac:dyDescent="0.25">
      <c r="B135" s="237" t="s">
        <v>500</v>
      </c>
      <c r="C135" s="49">
        <v>318</v>
      </c>
      <c r="D135" s="49">
        <v>216</v>
      </c>
      <c r="E135" s="49">
        <v>44</v>
      </c>
      <c r="F135" s="49">
        <v>45</v>
      </c>
      <c r="G135" s="49">
        <v>13</v>
      </c>
      <c r="H135" s="49">
        <v>33.4</v>
      </c>
      <c r="I135" s="49">
        <v>25.7</v>
      </c>
      <c r="J135" s="49">
        <v>6.3</v>
      </c>
      <c r="K135" s="49">
        <v>12.9</v>
      </c>
      <c r="L135" s="49">
        <v>9.6</v>
      </c>
      <c r="M135" s="191">
        <f>H135*Lookups_Conversion_CF_to_kBTU</f>
        <v>34.702599999999997</v>
      </c>
      <c r="N135" s="191">
        <f>I135*Lookups_Conversion_CF_to_kBTU</f>
        <v>26.702299999999997</v>
      </c>
      <c r="O135" s="191">
        <f>J135*Lookups_Conversion_CF_to_kBTU</f>
        <v>6.5456999999999992</v>
      </c>
      <c r="P135" s="191">
        <f>K135*Lookups_Conversion_CF_to_kBTU</f>
        <v>13.4031</v>
      </c>
      <c r="Q135" s="191">
        <f>L135*Lookups_Conversion_CF_to_kBTU</f>
        <v>9.9743999999999993</v>
      </c>
    </row>
    <row r="136" spans="2:17" x14ac:dyDescent="0.25">
      <c r="B136" s="236" t="s">
        <v>501</v>
      </c>
      <c r="C136" s="62"/>
      <c r="D136" s="62"/>
      <c r="E136" s="62"/>
      <c r="F136" s="62"/>
      <c r="G136" s="62"/>
      <c r="H136" s="62"/>
      <c r="I136" s="62"/>
      <c r="J136" s="62"/>
      <c r="K136" s="62"/>
      <c r="L136" s="62"/>
      <c r="M136" s="62"/>
      <c r="N136" s="62"/>
      <c r="O136" s="62"/>
      <c r="P136" s="62"/>
      <c r="Q136" s="62"/>
    </row>
    <row r="137" spans="2:17" x14ac:dyDescent="0.25">
      <c r="B137" s="237" t="s">
        <v>321</v>
      </c>
      <c r="C137" s="49">
        <v>34</v>
      </c>
      <c r="D137" s="49">
        <v>16</v>
      </c>
      <c r="E137" s="49">
        <v>5</v>
      </c>
      <c r="F137" s="49">
        <v>7</v>
      </c>
      <c r="G137" s="49">
        <v>7</v>
      </c>
      <c r="H137" s="49">
        <v>27.8</v>
      </c>
      <c r="I137" s="49">
        <v>22.7</v>
      </c>
      <c r="J137" s="49">
        <v>6</v>
      </c>
      <c r="K137" s="49">
        <v>11.2</v>
      </c>
      <c r="L137" s="49">
        <v>13.9</v>
      </c>
      <c r="M137" s="191">
        <f t="shared" ref="M137:Q138" si="26">H137*Lookups_Conversion_CF_to_kBTU</f>
        <v>28.8842</v>
      </c>
      <c r="N137" s="191">
        <f t="shared" si="26"/>
        <v>23.585299999999997</v>
      </c>
      <c r="O137" s="191">
        <f t="shared" si="26"/>
        <v>6.234</v>
      </c>
      <c r="P137" s="191">
        <f t="shared" si="26"/>
        <v>11.636799999999999</v>
      </c>
      <c r="Q137" s="191">
        <f t="shared" si="26"/>
        <v>14.4421</v>
      </c>
    </row>
    <row r="138" spans="2:17" x14ac:dyDescent="0.25">
      <c r="B138" s="237" t="s">
        <v>89</v>
      </c>
      <c r="C138" s="49">
        <v>57</v>
      </c>
      <c r="D138" s="49">
        <v>37</v>
      </c>
      <c r="E138" s="49">
        <v>5</v>
      </c>
      <c r="F138" s="49">
        <v>10</v>
      </c>
      <c r="G138" s="49">
        <v>4</v>
      </c>
      <c r="H138" s="49">
        <v>26.3</v>
      </c>
      <c r="I138" s="49">
        <v>21.2</v>
      </c>
      <c r="J138" s="49">
        <v>3.6</v>
      </c>
      <c r="K138" s="49">
        <v>11.6</v>
      </c>
      <c r="L138" s="49">
        <v>14.3</v>
      </c>
      <c r="M138" s="191">
        <f t="shared" si="26"/>
        <v>27.325699999999998</v>
      </c>
      <c r="N138" s="191">
        <f t="shared" si="26"/>
        <v>22.026799999999998</v>
      </c>
      <c r="O138" s="191">
        <f t="shared" si="26"/>
        <v>3.7403999999999997</v>
      </c>
      <c r="P138" s="191">
        <f t="shared" si="26"/>
        <v>12.052399999999999</v>
      </c>
      <c r="Q138" s="191">
        <f t="shared" si="26"/>
        <v>14.857699999999999</v>
      </c>
    </row>
    <row r="139" spans="2:17" x14ac:dyDescent="0.25">
      <c r="B139" s="236" t="s">
        <v>322</v>
      </c>
      <c r="C139" s="62"/>
      <c r="D139" s="62"/>
      <c r="E139" s="62"/>
      <c r="F139" s="62"/>
      <c r="G139" s="62"/>
      <c r="H139" s="62"/>
      <c r="I139" s="62"/>
      <c r="J139" s="62"/>
      <c r="K139" s="62"/>
      <c r="L139" s="62"/>
      <c r="M139" s="62"/>
      <c r="N139" s="62"/>
      <c r="O139" s="62"/>
      <c r="P139" s="62"/>
      <c r="Q139" s="62"/>
    </row>
    <row r="140" spans="2:17" x14ac:dyDescent="0.25">
      <c r="B140" s="237" t="s">
        <v>323</v>
      </c>
      <c r="C140" s="49">
        <v>1414</v>
      </c>
      <c r="D140" s="49">
        <v>940</v>
      </c>
      <c r="E140" s="49">
        <v>144</v>
      </c>
      <c r="F140" s="49">
        <v>264</v>
      </c>
      <c r="G140" s="49">
        <v>66</v>
      </c>
      <c r="H140" s="49">
        <v>34.299999999999997</v>
      </c>
      <c r="I140" s="49">
        <v>26.9</v>
      </c>
      <c r="J140" s="49">
        <v>4.9000000000000004</v>
      </c>
      <c r="K140" s="49">
        <v>13.7</v>
      </c>
      <c r="L140" s="49">
        <v>8.5</v>
      </c>
      <c r="M140" s="191">
        <f t="shared" ref="M140:Q142" si="27">H140*Lookups_Conversion_CF_to_kBTU</f>
        <v>35.637699999999995</v>
      </c>
      <c r="N140" s="191">
        <f t="shared" si="27"/>
        <v>27.949099999999998</v>
      </c>
      <c r="O140" s="191">
        <f t="shared" si="27"/>
        <v>5.0911</v>
      </c>
      <c r="P140" s="191">
        <f t="shared" si="27"/>
        <v>14.234299999999998</v>
      </c>
      <c r="Q140" s="191">
        <f t="shared" si="27"/>
        <v>8.8315000000000001</v>
      </c>
    </row>
    <row r="141" spans="2:17" x14ac:dyDescent="0.25">
      <c r="B141" s="237" t="s">
        <v>324</v>
      </c>
      <c r="C141" s="49">
        <v>527</v>
      </c>
      <c r="D141" s="49">
        <v>386</v>
      </c>
      <c r="E141" s="49">
        <v>49</v>
      </c>
      <c r="F141" s="49">
        <v>71</v>
      </c>
      <c r="G141" s="49">
        <v>21</v>
      </c>
      <c r="H141" s="49">
        <v>29.6</v>
      </c>
      <c r="I141" s="49">
        <v>24.6</v>
      </c>
      <c r="J141" s="49">
        <v>4.2</v>
      </c>
      <c r="K141" s="49">
        <v>14.8</v>
      </c>
      <c r="L141" s="49">
        <v>9.4</v>
      </c>
      <c r="M141" s="191">
        <f t="shared" si="27"/>
        <v>30.7544</v>
      </c>
      <c r="N141" s="191">
        <f t="shared" si="27"/>
        <v>25.5594</v>
      </c>
      <c r="O141" s="191">
        <f t="shared" si="27"/>
        <v>4.3637999999999995</v>
      </c>
      <c r="P141" s="191">
        <f t="shared" si="27"/>
        <v>15.3772</v>
      </c>
      <c r="Q141" s="191">
        <f t="shared" si="27"/>
        <v>9.7666000000000004</v>
      </c>
    </row>
    <row r="142" spans="2:17" x14ac:dyDescent="0.25">
      <c r="B142" s="237" t="s">
        <v>325</v>
      </c>
      <c r="C142" s="49">
        <v>275</v>
      </c>
      <c r="D142" s="49">
        <v>193</v>
      </c>
      <c r="E142" s="49">
        <v>29</v>
      </c>
      <c r="F142" s="49">
        <v>44</v>
      </c>
      <c r="G142" s="49">
        <v>9</v>
      </c>
      <c r="H142" s="49">
        <v>31.7</v>
      </c>
      <c r="I142" s="49">
        <v>26.2</v>
      </c>
      <c r="J142" s="49">
        <v>4.9000000000000004</v>
      </c>
      <c r="K142" s="49">
        <v>12.4</v>
      </c>
      <c r="L142" s="49">
        <v>9.6</v>
      </c>
      <c r="M142" s="191">
        <f t="shared" si="27"/>
        <v>32.936299999999996</v>
      </c>
      <c r="N142" s="191">
        <f t="shared" si="27"/>
        <v>27.221799999999998</v>
      </c>
      <c r="O142" s="191">
        <f t="shared" si="27"/>
        <v>5.0911</v>
      </c>
      <c r="P142" s="191">
        <f t="shared" si="27"/>
        <v>12.883599999999999</v>
      </c>
      <c r="Q142" s="191">
        <f t="shared" si="27"/>
        <v>9.9743999999999993</v>
      </c>
    </row>
    <row r="143" spans="2:17" x14ac:dyDescent="0.25">
      <c r="B143" s="236" t="s">
        <v>326</v>
      </c>
      <c r="C143" s="62"/>
      <c r="D143" s="62"/>
      <c r="E143" s="62"/>
      <c r="F143" s="62"/>
      <c r="G143" s="62"/>
      <c r="H143" s="62"/>
      <c r="I143" s="62"/>
      <c r="J143" s="62"/>
      <c r="K143" s="62"/>
      <c r="L143" s="62"/>
      <c r="M143" s="62"/>
      <c r="N143" s="62"/>
      <c r="O143" s="62"/>
      <c r="P143" s="62"/>
      <c r="Q143" s="62"/>
    </row>
    <row r="144" spans="2:17" x14ac:dyDescent="0.25">
      <c r="B144" s="237" t="s">
        <v>327</v>
      </c>
      <c r="C144" s="49">
        <v>798</v>
      </c>
      <c r="D144" s="49">
        <v>536</v>
      </c>
      <c r="E144" s="49">
        <v>76</v>
      </c>
      <c r="F144" s="49">
        <v>156</v>
      </c>
      <c r="G144" s="49">
        <v>30</v>
      </c>
      <c r="H144" s="49">
        <v>32.700000000000003</v>
      </c>
      <c r="I144" s="49">
        <v>25.4</v>
      </c>
      <c r="J144" s="49">
        <v>4.4000000000000004</v>
      </c>
      <c r="K144" s="49">
        <v>15.3</v>
      </c>
      <c r="L144" s="49">
        <v>7.6</v>
      </c>
      <c r="M144" s="191">
        <f t="shared" ref="M144:Q148" si="28">H144*Lookups_Conversion_CF_to_kBTU</f>
        <v>33.975299999999997</v>
      </c>
      <c r="N144" s="191">
        <f t="shared" si="28"/>
        <v>26.390599999999996</v>
      </c>
      <c r="O144" s="191">
        <f t="shared" si="28"/>
        <v>4.5716000000000001</v>
      </c>
      <c r="P144" s="191">
        <f t="shared" si="28"/>
        <v>15.896699999999999</v>
      </c>
      <c r="Q144" s="191">
        <f t="shared" si="28"/>
        <v>7.896399999999999</v>
      </c>
    </row>
    <row r="145" spans="2:17" x14ac:dyDescent="0.25">
      <c r="B145" s="237" t="s">
        <v>328</v>
      </c>
      <c r="C145" s="49">
        <v>60</v>
      </c>
      <c r="D145" s="49">
        <v>39</v>
      </c>
      <c r="E145" s="49">
        <v>6</v>
      </c>
      <c r="F145" s="49">
        <v>11</v>
      </c>
      <c r="G145" s="49">
        <v>4</v>
      </c>
      <c r="H145" s="49">
        <v>30.2</v>
      </c>
      <c r="I145" s="49">
        <v>24.2</v>
      </c>
      <c r="J145" s="49">
        <v>4.4000000000000004</v>
      </c>
      <c r="K145" s="49">
        <v>9.8000000000000007</v>
      </c>
      <c r="L145" s="49">
        <v>11.4</v>
      </c>
      <c r="M145" s="191">
        <f t="shared" si="28"/>
        <v>31.377799999999997</v>
      </c>
      <c r="N145" s="191">
        <f t="shared" si="28"/>
        <v>25.143799999999999</v>
      </c>
      <c r="O145" s="191">
        <f t="shared" si="28"/>
        <v>4.5716000000000001</v>
      </c>
      <c r="P145" s="191">
        <f t="shared" si="28"/>
        <v>10.1822</v>
      </c>
      <c r="Q145" s="191">
        <f t="shared" si="28"/>
        <v>11.8446</v>
      </c>
    </row>
    <row r="146" spans="2:17" x14ac:dyDescent="0.25">
      <c r="B146" s="237" t="s">
        <v>329</v>
      </c>
      <c r="C146" s="49">
        <v>103</v>
      </c>
      <c r="D146" s="49">
        <v>63</v>
      </c>
      <c r="E146" s="49">
        <v>9</v>
      </c>
      <c r="F146" s="49">
        <v>26</v>
      </c>
      <c r="G146" s="49">
        <v>5</v>
      </c>
      <c r="H146" s="49">
        <v>31.2</v>
      </c>
      <c r="I146" s="49">
        <v>23.9</v>
      </c>
      <c r="J146" s="49">
        <v>4.2</v>
      </c>
      <c r="K146" s="49">
        <v>19.7</v>
      </c>
      <c r="L146" s="49">
        <v>9.6</v>
      </c>
      <c r="M146" s="191">
        <f t="shared" si="28"/>
        <v>32.416799999999995</v>
      </c>
      <c r="N146" s="191">
        <f t="shared" si="28"/>
        <v>24.832099999999997</v>
      </c>
      <c r="O146" s="191">
        <f t="shared" si="28"/>
        <v>4.3637999999999995</v>
      </c>
      <c r="P146" s="191">
        <f t="shared" si="28"/>
        <v>20.468299999999999</v>
      </c>
      <c r="Q146" s="191">
        <f t="shared" si="28"/>
        <v>9.9743999999999993</v>
      </c>
    </row>
    <row r="147" spans="2:17" x14ac:dyDescent="0.25">
      <c r="B147" s="237" t="s">
        <v>330</v>
      </c>
      <c r="C147" s="49">
        <v>195</v>
      </c>
      <c r="D147" s="49">
        <v>127</v>
      </c>
      <c r="E147" s="49">
        <v>20</v>
      </c>
      <c r="F147" s="49">
        <v>39</v>
      </c>
      <c r="G147" s="49">
        <v>10</v>
      </c>
      <c r="H147" s="49">
        <v>36.799999999999997</v>
      </c>
      <c r="I147" s="49">
        <v>28.1</v>
      </c>
      <c r="J147" s="49">
        <v>5.4</v>
      </c>
      <c r="K147" s="49">
        <v>13.7</v>
      </c>
      <c r="L147" s="49">
        <v>9.9</v>
      </c>
      <c r="M147" s="191">
        <f t="shared" si="28"/>
        <v>38.235199999999992</v>
      </c>
      <c r="N147" s="191">
        <f t="shared" si="28"/>
        <v>29.195899999999998</v>
      </c>
      <c r="O147" s="191">
        <f t="shared" si="28"/>
        <v>5.6105999999999998</v>
      </c>
      <c r="P147" s="191">
        <f t="shared" si="28"/>
        <v>14.234299999999998</v>
      </c>
      <c r="Q147" s="191">
        <f t="shared" si="28"/>
        <v>10.286099999999999</v>
      </c>
    </row>
    <row r="148" spans="2:17" x14ac:dyDescent="0.25">
      <c r="B148" s="237" t="s">
        <v>331</v>
      </c>
      <c r="C148" s="49">
        <v>31</v>
      </c>
      <c r="D148" s="49">
        <v>17</v>
      </c>
      <c r="E148" s="49">
        <v>4</v>
      </c>
      <c r="F148" s="49">
        <v>7</v>
      </c>
      <c r="G148" s="49" t="s">
        <v>229</v>
      </c>
      <c r="H148" s="49">
        <v>22.4</v>
      </c>
      <c r="I148" s="49">
        <v>16.399999999999999</v>
      </c>
      <c r="J148" s="49">
        <v>4.5999999999999996</v>
      </c>
      <c r="K148" s="49">
        <v>8.8000000000000007</v>
      </c>
      <c r="L148" s="49" t="s">
        <v>229</v>
      </c>
      <c r="M148" s="191">
        <f t="shared" si="28"/>
        <v>23.273599999999998</v>
      </c>
      <c r="N148" s="191">
        <f t="shared" si="28"/>
        <v>17.039599999999997</v>
      </c>
      <c r="O148" s="191">
        <f t="shared" si="28"/>
        <v>4.779399999999999</v>
      </c>
      <c r="P148" s="191">
        <f t="shared" si="28"/>
        <v>9.1432000000000002</v>
      </c>
      <c r="Q148" s="191" t="e">
        <f t="shared" si="28"/>
        <v>#VALUE!</v>
      </c>
    </row>
    <row r="149" spans="2:17" x14ac:dyDescent="0.25">
      <c r="B149" s="236" t="s">
        <v>502</v>
      </c>
      <c r="C149" s="62"/>
      <c r="D149" s="62"/>
      <c r="E149" s="62"/>
      <c r="F149" s="62"/>
      <c r="G149" s="62"/>
      <c r="H149" s="62"/>
      <c r="I149" s="62"/>
      <c r="J149" s="62"/>
      <c r="K149" s="62"/>
      <c r="L149" s="62"/>
      <c r="M149" s="62"/>
      <c r="N149" s="62"/>
      <c r="O149" s="62"/>
      <c r="P149" s="62"/>
      <c r="Q149" s="62"/>
    </row>
    <row r="150" spans="2:17" x14ac:dyDescent="0.25">
      <c r="B150" s="236" t="s">
        <v>503</v>
      </c>
      <c r="C150" s="62"/>
      <c r="D150" s="62"/>
      <c r="E150" s="62"/>
      <c r="F150" s="62"/>
      <c r="G150" s="62"/>
      <c r="H150" s="62"/>
      <c r="I150" s="62"/>
      <c r="J150" s="62"/>
      <c r="K150" s="62"/>
      <c r="L150" s="62"/>
      <c r="M150" s="62"/>
      <c r="N150" s="62"/>
      <c r="O150" s="62"/>
      <c r="P150" s="62"/>
      <c r="Q150" s="62"/>
    </row>
    <row r="151" spans="2:17" x14ac:dyDescent="0.25">
      <c r="B151" s="237" t="s">
        <v>333</v>
      </c>
      <c r="C151" s="49">
        <v>1160</v>
      </c>
      <c r="D151" s="49">
        <v>799</v>
      </c>
      <c r="E151" s="49">
        <v>113</v>
      </c>
      <c r="F151" s="49">
        <v>201</v>
      </c>
      <c r="G151" s="49">
        <v>47</v>
      </c>
      <c r="H151" s="49">
        <v>34.4</v>
      </c>
      <c r="I151" s="49">
        <v>27.8</v>
      </c>
      <c r="J151" s="49">
        <v>4.8</v>
      </c>
      <c r="K151" s="49">
        <v>12.5</v>
      </c>
      <c r="L151" s="49">
        <v>8.4</v>
      </c>
      <c r="M151" s="191">
        <f t="shared" ref="M151:M166" si="29">H151*Lookups_Conversion_CF_to_kBTU</f>
        <v>35.741599999999998</v>
      </c>
      <c r="N151" s="191">
        <f t="shared" ref="N151:N166" si="30">I151*Lookups_Conversion_CF_to_kBTU</f>
        <v>28.8842</v>
      </c>
      <c r="O151" s="191">
        <f t="shared" ref="O151:O166" si="31">J151*Lookups_Conversion_CF_to_kBTU</f>
        <v>4.9871999999999996</v>
      </c>
      <c r="P151" s="191">
        <f t="shared" ref="P151:P166" si="32">K151*Lookups_Conversion_CF_to_kBTU</f>
        <v>12.987499999999999</v>
      </c>
      <c r="Q151" s="191">
        <f t="shared" ref="Q151:Q166" si="33">L151*Lookups_Conversion_CF_to_kBTU</f>
        <v>8.7275999999999989</v>
      </c>
    </row>
    <row r="152" spans="2:17" x14ac:dyDescent="0.25">
      <c r="B152" s="237" t="s">
        <v>334</v>
      </c>
      <c r="C152" s="49">
        <v>351</v>
      </c>
      <c r="D152" s="49">
        <v>244</v>
      </c>
      <c r="E152" s="49">
        <v>34</v>
      </c>
      <c r="F152" s="49">
        <v>61</v>
      </c>
      <c r="G152" s="49">
        <v>13</v>
      </c>
      <c r="H152" s="49">
        <v>40.799999999999997</v>
      </c>
      <c r="I152" s="49">
        <v>33</v>
      </c>
      <c r="J152" s="49">
        <v>5.4</v>
      </c>
      <c r="K152" s="49">
        <v>10.8</v>
      </c>
      <c r="L152" s="49">
        <v>8.4</v>
      </c>
      <c r="M152" s="191">
        <f t="shared" si="29"/>
        <v>42.391199999999991</v>
      </c>
      <c r="N152" s="191">
        <f t="shared" si="30"/>
        <v>34.286999999999999</v>
      </c>
      <c r="O152" s="191">
        <f t="shared" si="31"/>
        <v>5.6105999999999998</v>
      </c>
      <c r="P152" s="191">
        <f t="shared" si="32"/>
        <v>11.2212</v>
      </c>
      <c r="Q152" s="191">
        <f t="shared" si="33"/>
        <v>8.7275999999999989</v>
      </c>
    </row>
    <row r="153" spans="2:17" x14ac:dyDescent="0.25">
      <c r="B153" s="237" t="s">
        <v>335</v>
      </c>
      <c r="C153" s="49">
        <v>44</v>
      </c>
      <c r="D153" s="49">
        <v>31</v>
      </c>
      <c r="E153" s="49">
        <v>3</v>
      </c>
      <c r="F153" s="49">
        <v>8</v>
      </c>
      <c r="G153" s="49">
        <v>2</v>
      </c>
      <c r="H153" s="49">
        <v>33.5</v>
      </c>
      <c r="I153" s="49">
        <v>29.1</v>
      </c>
      <c r="J153" s="49">
        <v>3.6</v>
      </c>
      <c r="K153" s="49">
        <v>10.7</v>
      </c>
      <c r="L153" s="49">
        <v>4.4000000000000004</v>
      </c>
      <c r="M153" s="191">
        <f t="shared" si="29"/>
        <v>34.8065</v>
      </c>
      <c r="N153" s="191">
        <f t="shared" si="30"/>
        <v>30.2349</v>
      </c>
      <c r="O153" s="191">
        <f t="shared" si="31"/>
        <v>3.7403999999999997</v>
      </c>
      <c r="P153" s="191">
        <f t="shared" si="32"/>
        <v>11.117299999999998</v>
      </c>
      <c r="Q153" s="191">
        <f t="shared" si="33"/>
        <v>4.5716000000000001</v>
      </c>
    </row>
    <row r="154" spans="2:17" x14ac:dyDescent="0.25">
      <c r="B154" s="237" t="s">
        <v>336</v>
      </c>
      <c r="C154" s="49">
        <v>552</v>
      </c>
      <c r="D154" s="49">
        <v>368</v>
      </c>
      <c r="E154" s="49">
        <v>56</v>
      </c>
      <c r="F154" s="49">
        <v>105</v>
      </c>
      <c r="G154" s="49">
        <v>23</v>
      </c>
      <c r="H154" s="49">
        <v>35.9</v>
      </c>
      <c r="I154" s="49">
        <v>28.3</v>
      </c>
      <c r="J154" s="49">
        <v>5.2</v>
      </c>
      <c r="K154" s="49">
        <v>13.5</v>
      </c>
      <c r="L154" s="49">
        <v>8.3000000000000007</v>
      </c>
      <c r="M154" s="191">
        <f t="shared" si="29"/>
        <v>37.300099999999993</v>
      </c>
      <c r="N154" s="191">
        <f t="shared" si="30"/>
        <v>29.403699999999997</v>
      </c>
      <c r="O154" s="191">
        <f t="shared" si="31"/>
        <v>5.4028</v>
      </c>
      <c r="P154" s="191">
        <f t="shared" si="32"/>
        <v>14.026499999999999</v>
      </c>
      <c r="Q154" s="191">
        <f t="shared" si="33"/>
        <v>8.6236999999999995</v>
      </c>
    </row>
    <row r="155" spans="2:17" x14ac:dyDescent="0.25">
      <c r="B155" s="237" t="s">
        <v>337</v>
      </c>
      <c r="C155" s="49">
        <v>529</v>
      </c>
      <c r="D155" s="49">
        <v>375</v>
      </c>
      <c r="E155" s="49">
        <v>42</v>
      </c>
      <c r="F155" s="49">
        <v>89</v>
      </c>
      <c r="G155" s="49">
        <v>22</v>
      </c>
      <c r="H155" s="49">
        <v>33.1</v>
      </c>
      <c r="I155" s="49">
        <v>27.5</v>
      </c>
      <c r="J155" s="49">
        <v>4</v>
      </c>
      <c r="K155" s="49">
        <v>12.2</v>
      </c>
      <c r="L155" s="49">
        <v>8.6</v>
      </c>
      <c r="M155" s="191">
        <f t="shared" si="29"/>
        <v>34.390900000000002</v>
      </c>
      <c r="N155" s="191">
        <f t="shared" si="30"/>
        <v>28.572499999999998</v>
      </c>
      <c r="O155" s="191">
        <f t="shared" si="31"/>
        <v>4.1559999999999997</v>
      </c>
      <c r="P155" s="191">
        <f t="shared" si="32"/>
        <v>12.675799999999999</v>
      </c>
      <c r="Q155" s="191">
        <f t="shared" si="33"/>
        <v>8.9353999999999996</v>
      </c>
    </row>
    <row r="156" spans="2:17" x14ac:dyDescent="0.25">
      <c r="B156" s="237" t="s">
        <v>338</v>
      </c>
      <c r="C156" s="49">
        <v>305</v>
      </c>
      <c r="D156" s="49">
        <v>206</v>
      </c>
      <c r="E156" s="49">
        <v>29</v>
      </c>
      <c r="F156" s="49">
        <v>58</v>
      </c>
      <c r="G156" s="49">
        <v>12</v>
      </c>
      <c r="H156" s="49">
        <v>35.700000000000003</v>
      </c>
      <c r="I156" s="49">
        <v>28.2</v>
      </c>
      <c r="J156" s="49">
        <v>4.7</v>
      </c>
      <c r="K156" s="49">
        <v>13</v>
      </c>
      <c r="L156" s="49">
        <v>6.3</v>
      </c>
      <c r="M156" s="191">
        <f t="shared" si="29"/>
        <v>37.092300000000002</v>
      </c>
      <c r="N156" s="191">
        <f t="shared" si="30"/>
        <v>29.299799999999998</v>
      </c>
      <c r="O156" s="191">
        <f t="shared" si="31"/>
        <v>4.8833000000000002</v>
      </c>
      <c r="P156" s="191">
        <f t="shared" si="32"/>
        <v>13.507</v>
      </c>
      <c r="Q156" s="191">
        <f t="shared" si="33"/>
        <v>6.5456999999999992</v>
      </c>
    </row>
    <row r="157" spans="2:17" x14ac:dyDescent="0.25">
      <c r="B157" s="237" t="s">
        <v>339</v>
      </c>
      <c r="C157" s="49">
        <v>726</v>
      </c>
      <c r="D157" s="49">
        <v>493</v>
      </c>
      <c r="E157" s="49">
        <v>75</v>
      </c>
      <c r="F157" s="49">
        <v>124</v>
      </c>
      <c r="G157" s="49">
        <v>34</v>
      </c>
      <c r="H157" s="49">
        <v>34.1</v>
      </c>
      <c r="I157" s="49">
        <v>27.6</v>
      </c>
      <c r="J157" s="49">
        <v>5</v>
      </c>
      <c r="K157" s="49">
        <v>11.9</v>
      </c>
      <c r="L157" s="49">
        <v>8.5</v>
      </c>
      <c r="M157" s="191">
        <f t="shared" si="29"/>
        <v>35.429899999999996</v>
      </c>
      <c r="N157" s="191">
        <f t="shared" si="30"/>
        <v>28.676400000000001</v>
      </c>
      <c r="O157" s="191">
        <f t="shared" si="31"/>
        <v>5.1949999999999994</v>
      </c>
      <c r="P157" s="191">
        <f t="shared" si="32"/>
        <v>12.364099999999999</v>
      </c>
      <c r="Q157" s="191">
        <f t="shared" si="33"/>
        <v>8.8315000000000001</v>
      </c>
    </row>
    <row r="158" spans="2:17" x14ac:dyDescent="0.25">
      <c r="B158" s="237" t="s">
        <v>340</v>
      </c>
      <c r="C158" s="49">
        <v>771</v>
      </c>
      <c r="D158" s="49">
        <v>522</v>
      </c>
      <c r="E158" s="49">
        <v>76</v>
      </c>
      <c r="F158" s="49">
        <v>138</v>
      </c>
      <c r="G158" s="49">
        <v>35</v>
      </c>
      <c r="H158" s="49">
        <v>33.799999999999997</v>
      </c>
      <c r="I158" s="49">
        <v>27.2</v>
      </c>
      <c r="J158" s="49">
        <v>4.8</v>
      </c>
      <c r="K158" s="49">
        <v>12.2</v>
      </c>
      <c r="L158" s="49">
        <v>8.4</v>
      </c>
      <c r="M158" s="191">
        <f t="shared" si="29"/>
        <v>35.118199999999995</v>
      </c>
      <c r="N158" s="191">
        <f t="shared" si="30"/>
        <v>28.260799999999996</v>
      </c>
      <c r="O158" s="191">
        <f t="shared" si="31"/>
        <v>4.9871999999999996</v>
      </c>
      <c r="P158" s="191">
        <f t="shared" si="32"/>
        <v>12.675799999999999</v>
      </c>
      <c r="Q158" s="191">
        <f t="shared" si="33"/>
        <v>8.7275999999999989</v>
      </c>
    </row>
    <row r="159" spans="2:17" x14ac:dyDescent="0.25">
      <c r="B159" s="237" t="s">
        <v>341</v>
      </c>
      <c r="C159" s="49">
        <v>455</v>
      </c>
      <c r="D159" s="49">
        <v>294</v>
      </c>
      <c r="E159" s="49">
        <v>42</v>
      </c>
      <c r="F159" s="49">
        <v>96</v>
      </c>
      <c r="G159" s="49">
        <v>23</v>
      </c>
      <c r="H159" s="49">
        <v>36.6</v>
      </c>
      <c r="I159" s="49">
        <v>28.2</v>
      </c>
      <c r="J159" s="49">
        <v>4.9000000000000004</v>
      </c>
      <c r="K159" s="49">
        <v>14.5</v>
      </c>
      <c r="L159" s="49">
        <v>8.6999999999999993</v>
      </c>
      <c r="M159" s="191">
        <f t="shared" si="29"/>
        <v>38.0274</v>
      </c>
      <c r="N159" s="191">
        <f t="shared" si="30"/>
        <v>29.299799999999998</v>
      </c>
      <c r="O159" s="191">
        <f t="shared" si="31"/>
        <v>5.0911</v>
      </c>
      <c r="P159" s="191">
        <f t="shared" si="32"/>
        <v>15.065499999999998</v>
      </c>
      <c r="Q159" s="191">
        <f t="shared" si="33"/>
        <v>9.039299999999999</v>
      </c>
    </row>
    <row r="160" spans="2:17" x14ac:dyDescent="0.25">
      <c r="B160" s="237" t="s">
        <v>342</v>
      </c>
      <c r="C160" s="49">
        <v>427</v>
      </c>
      <c r="D160" s="49">
        <v>283</v>
      </c>
      <c r="E160" s="49">
        <v>44</v>
      </c>
      <c r="F160" s="49">
        <v>82</v>
      </c>
      <c r="G160" s="49">
        <v>17</v>
      </c>
      <c r="H160" s="49">
        <v>36</v>
      </c>
      <c r="I160" s="49">
        <v>28.7</v>
      </c>
      <c r="J160" s="49">
        <v>5.2</v>
      </c>
      <c r="K160" s="49">
        <v>12.5</v>
      </c>
      <c r="L160" s="49">
        <v>7.7</v>
      </c>
      <c r="M160" s="191">
        <f t="shared" si="29"/>
        <v>37.403999999999996</v>
      </c>
      <c r="N160" s="191">
        <f t="shared" si="30"/>
        <v>29.819299999999998</v>
      </c>
      <c r="O160" s="191">
        <f t="shared" si="31"/>
        <v>5.4028</v>
      </c>
      <c r="P160" s="191">
        <f t="shared" si="32"/>
        <v>12.987499999999999</v>
      </c>
      <c r="Q160" s="191">
        <f t="shared" si="33"/>
        <v>8.0002999999999993</v>
      </c>
    </row>
    <row r="161" spans="2:17" x14ac:dyDescent="0.25">
      <c r="B161" s="237" t="s">
        <v>343</v>
      </c>
      <c r="C161" s="49">
        <v>230</v>
      </c>
      <c r="D161" s="49">
        <v>152</v>
      </c>
      <c r="E161" s="49">
        <v>23</v>
      </c>
      <c r="F161" s="49">
        <v>44</v>
      </c>
      <c r="G161" s="49">
        <v>11</v>
      </c>
      <c r="H161" s="49">
        <v>37.4</v>
      </c>
      <c r="I161" s="49">
        <v>28.5</v>
      </c>
      <c r="J161" s="49">
        <v>5.4</v>
      </c>
      <c r="K161" s="49">
        <v>13.4</v>
      </c>
      <c r="L161" s="49">
        <v>8.6</v>
      </c>
      <c r="M161" s="191">
        <f t="shared" si="29"/>
        <v>38.858599999999996</v>
      </c>
      <c r="N161" s="191">
        <f t="shared" si="30"/>
        <v>29.611499999999999</v>
      </c>
      <c r="O161" s="191">
        <f t="shared" si="31"/>
        <v>5.6105999999999998</v>
      </c>
      <c r="P161" s="191">
        <f t="shared" si="32"/>
        <v>13.922599999999999</v>
      </c>
      <c r="Q161" s="191">
        <f t="shared" si="33"/>
        <v>8.9353999999999996</v>
      </c>
    </row>
    <row r="162" spans="2:17" x14ac:dyDescent="0.25">
      <c r="B162" s="237" t="s">
        <v>344</v>
      </c>
      <c r="C162" s="49">
        <v>562</v>
      </c>
      <c r="D162" s="49">
        <v>372</v>
      </c>
      <c r="E162" s="49">
        <v>59</v>
      </c>
      <c r="F162" s="49">
        <v>104</v>
      </c>
      <c r="G162" s="49">
        <v>28</v>
      </c>
      <c r="H162" s="49">
        <v>36</v>
      </c>
      <c r="I162" s="49">
        <v>28.4</v>
      </c>
      <c r="J162" s="49">
        <v>5.2</v>
      </c>
      <c r="K162" s="49">
        <v>12.2</v>
      </c>
      <c r="L162" s="49">
        <v>8.8000000000000007</v>
      </c>
      <c r="M162" s="191">
        <f t="shared" si="29"/>
        <v>37.403999999999996</v>
      </c>
      <c r="N162" s="191">
        <f t="shared" si="30"/>
        <v>29.507599999999996</v>
      </c>
      <c r="O162" s="191">
        <f t="shared" si="31"/>
        <v>5.4028</v>
      </c>
      <c r="P162" s="191">
        <f t="shared" si="32"/>
        <v>12.675799999999999</v>
      </c>
      <c r="Q162" s="191">
        <f t="shared" si="33"/>
        <v>9.1432000000000002</v>
      </c>
    </row>
    <row r="163" spans="2:17" x14ac:dyDescent="0.25">
      <c r="B163" s="237" t="s">
        <v>345</v>
      </c>
      <c r="C163" s="49">
        <v>139</v>
      </c>
      <c r="D163" s="49">
        <v>87</v>
      </c>
      <c r="E163" s="49">
        <v>17</v>
      </c>
      <c r="F163" s="49">
        <v>29</v>
      </c>
      <c r="G163" s="49">
        <v>6</v>
      </c>
      <c r="H163" s="49">
        <v>41.1</v>
      </c>
      <c r="I163" s="49">
        <v>29.4</v>
      </c>
      <c r="J163" s="49">
        <v>7.3</v>
      </c>
      <c r="K163" s="49">
        <v>15</v>
      </c>
      <c r="L163" s="49">
        <v>7.3</v>
      </c>
      <c r="M163" s="191">
        <f t="shared" si="29"/>
        <v>42.7029</v>
      </c>
      <c r="N163" s="191">
        <f t="shared" si="30"/>
        <v>30.546599999999998</v>
      </c>
      <c r="O163" s="191">
        <f t="shared" si="31"/>
        <v>7.5846999999999989</v>
      </c>
      <c r="P163" s="191">
        <f t="shared" si="32"/>
        <v>15.584999999999999</v>
      </c>
      <c r="Q163" s="191">
        <f t="shared" si="33"/>
        <v>7.5846999999999989</v>
      </c>
    </row>
    <row r="164" spans="2:17" x14ac:dyDescent="0.25">
      <c r="B164" s="237" t="s">
        <v>89</v>
      </c>
      <c r="C164" s="49">
        <v>31</v>
      </c>
      <c r="D164" s="49">
        <v>22</v>
      </c>
      <c r="E164" s="49">
        <v>1</v>
      </c>
      <c r="F164" s="49">
        <v>8</v>
      </c>
      <c r="G164" s="49" t="s">
        <v>229</v>
      </c>
      <c r="H164" s="49">
        <v>31.7</v>
      </c>
      <c r="I164" s="49">
        <v>23.1</v>
      </c>
      <c r="J164" s="49">
        <v>1.7</v>
      </c>
      <c r="K164" s="49">
        <v>11.8</v>
      </c>
      <c r="L164" s="49" t="s">
        <v>229</v>
      </c>
      <c r="M164" s="191">
        <f t="shared" si="29"/>
        <v>32.936299999999996</v>
      </c>
      <c r="N164" s="191">
        <f t="shared" si="30"/>
        <v>24.000900000000001</v>
      </c>
      <c r="O164" s="191">
        <f t="shared" si="31"/>
        <v>1.7662999999999998</v>
      </c>
      <c r="P164" s="191">
        <f t="shared" si="32"/>
        <v>12.260199999999999</v>
      </c>
      <c r="Q164" s="191" t="e">
        <f t="shared" si="33"/>
        <v>#VALUE!</v>
      </c>
    </row>
    <row r="165" spans="2:17" x14ac:dyDescent="0.25">
      <c r="B165" s="237" t="s">
        <v>346</v>
      </c>
      <c r="C165" s="49">
        <v>898</v>
      </c>
      <c r="D165" s="49">
        <v>613</v>
      </c>
      <c r="E165" s="49">
        <v>93</v>
      </c>
      <c r="F165" s="49">
        <v>152</v>
      </c>
      <c r="G165" s="49">
        <v>39</v>
      </c>
      <c r="H165" s="49">
        <v>31.3</v>
      </c>
      <c r="I165" s="49">
        <v>24.6</v>
      </c>
      <c r="J165" s="49">
        <v>4.7</v>
      </c>
      <c r="K165" s="49">
        <v>15.2</v>
      </c>
      <c r="L165" s="49">
        <v>9.5</v>
      </c>
      <c r="M165" s="191">
        <f t="shared" si="29"/>
        <v>32.520699999999998</v>
      </c>
      <c r="N165" s="191">
        <f t="shared" si="30"/>
        <v>25.5594</v>
      </c>
      <c r="O165" s="191">
        <f t="shared" si="31"/>
        <v>4.8833000000000002</v>
      </c>
      <c r="P165" s="191">
        <f t="shared" si="32"/>
        <v>15.792799999999998</v>
      </c>
      <c r="Q165" s="191">
        <f t="shared" si="33"/>
        <v>9.8704999999999998</v>
      </c>
    </row>
    <row r="166" spans="2:17" x14ac:dyDescent="0.25">
      <c r="B166" s="237" t="s">
        <v>347</v>
      </c>
      <c r="C166" s="49">
        <v>158</v>
      </c>
      <c r="D166" s="49">
        <v>107</v>
      </c>
      <c r="E166" s="49">
        <v>15</v>
      </c>
      <c r="F166" s="49">
        <v>27</v>
      </c>
      <c r="G166" s="49">
        <v>9</v>
      </c>
      <c r="H166" s="49">
        <v>29.7</v>
      </c>
      <c r="I166" s="49">
        <v>24.9</v>
      </c>
      <c r="J166" s="49">
        <v>4.0999999999999996</v>
      </c>
      <c r="K166" s="49">
        <v>15.7</v>
      </c>
      <c r="L166" s="49">
        <v>8.1999999999999993</v>
      </c>
      <c r="M166" s="191">
        <f t="shared" si="29"/>
        <v>30.858299999999996</v>
      </c>
      <c r="N166" s="191">
        <f t="shared" si="30"/>
        <v>25.871099999999995</v>
      </c>
      <c r="O166" s="191">
        <f t="shared" si="31"/>
        <v>4.2598999999999991</v>
      </c>
      <c r="P166" s="191">
        <f t="shared" si="32"/>
        <v>16.312299999999997</v>
      </c>
      <c r="Q166" s="191">
        <f t="shared" si="33"/>
        <v>8.5197999999999983</v>
      </c>
    </row>
    <row r="167" spans="2:17" x14ac:dyDescent="0.25">
      <c r="B167" s="236" t="s">
        <v>504</v>
      </c>
      <c r="C167" s="62"/>
      <c r="D167" s="62"/>
      <c r="E167" s="62"/>
      <c r="F167" s="62"/>
      <c r="G167" s="62"/>
      <c r="H167" s="62"/>
      <c r="I167" s="62"/>
      <c r="J167" s="62"/>
      <c r="K167" s="62"/>
      <c r="L167" s="62"/>
      <c r="M167" s="62"/>
      <c r="N167" s="62"/>
      <c r="O167" s="62"/>
      <c r="P167" s="62"/>
      <c r="Q167" s="62"/>
    </row>
    <row r="168" spans="2:17" x14ac:dyDescent="0.25">
      <c r="B168" s="236" t="s">
        <v>503</v>
      </c>
      <c r="C168" s="62"/>
      <c r="D168" s="62"/>
      <c r="E168" s="62"/>
      <c r="F168" s="62"/>
      <c r="G168" s="62"/>
      <c r="H168" s="62"/>
      <c r="I168" s="62"/>
      <c r="J168" s="62"/>
      <c r="K168" s="62"/>
      <c r="L168" s="62"/>
      <c r="M168" s="62"/>
      <c r="N168" s="62"/>
      <c r="O168" s="62"/>
      <c r="P168" s="62"/>
      <c r="Q168" s="62"/>
    </row>
    <row r="169" spans="2:17" x14ac:dyDescent="0.25">
      <c r="B169" s="237" t="s">
        <v>349</v>
      </c>
      <c r="C169" s="49">
        <v>2216</v>
      </c>
      <c r="D169" s="49">
        <v>1520</v>
      </c>
      <c r="E169" s="49">
        <v>221</v>
      </c>
      <c r="F169" s="49">
        <v>380</v>
      </c>
      <c r="G169" s="49">
        <v>95</v>
      </c>
      <c r="H169" s="49">
        <v>32.700000000000003</v>
      </c>
      <c r="I169" s="49">
        <v>26.2</v>
      </c>
      <c r="J169" s="49">
        <v>4.7</v>
      </c>
      <c r="K169" s="49">
        <v>13.7</v>
      </c>
      <c r="L169" s="49">
        <v>8.8000000000000007</v>
      </c>
      <c r="M169" s="191">
        <f t="shared" ref="M169:Q176" si="34">H169*Lookups_Conversion_CF_to_kBTU</f>
        <v>33.975299999999997</v>
      </c>
      <c r="N169" s="191">
        <f t="shared" si="34"/>
        <v>27.221799999999998</v>
      </c>
      <c r="O169" s="191">
        <f t="shared" si="34"/>
        <v>4.8833000000000002</v>
      </c>
      <c r="P169" s="191">
        <f t="shared" si="34"/>
        <v>14.234299999999998</v>
      </c>
      <c r="Q169" s="191">
        <f t="shared" si="34"/>
        <v>9.1432000000000002</v>
      </c>
    </row>
    <row r="170" spans="2:17" x14ac:dyDescent="0.25">
      <c r="B170" s="237" t="s">
        <v>350</v>
      </c>
      <c r="C170" s="49">
        <v>2216</v>
      </c>
      <c r="D170" s="49">
        <v>1520</v>
      </c>
      <c r="E170" s="49">
        <v>221</v>
      </c>
      <c r="F170" s="49">
        <v>380</v>
      </c>
      <c r="G170" s="49">
        <v>95</v>
      </c>
      <c r="H170" s="49">
        <v>32.700000000000003</v>
      </c>
      <c r="I170" s="49">
        <v>26.2</v>
      </c>
      <c r="J170" s="49">
        <v>4.7</v>
      </c>
      <c r="K170" s="49">
        <v>13.7</v>
      </c>
      <c r="L170" s="49">
        <v>8.8000000000000007</v>
      </c>
      <c r="M170" s="191">
        <f t="shared" si="34"/>
        <v>33.975299999999997</v>
      </c>
      <c r="N170" s="191">
        <f t="shared" si="34"/>
        <v>27.221799999999998</v>
      </c>
      <c r="O170" s="191">
        <f t="shared" si="34"/>
        <v>4.8833000000000002</v>
      </c>
      <c r="P170" s="191">
        <f t="shared" si="34"/>
        <v>14.234299999999998</v>
      </c>
      <c r="Q170" s="191">
        <f t="shared" si="34"/>
        <v>9.1432000000000002</v>
      </c>
    </row>
    <row r="171" spans="2:17" x14ac:dyDescent="0.25">
      <c r="B171" s="237" t="s">
        <v>351</v>
      </c>
      <c r="C171" s="49">
        <v>522</v>
      </c>
      <c r="D171" s="49">
        <v>342</v>
      </c>
      <c r="E171" s="49">
        <v>64</v>
      </c>
      <c r="F171" s="49">
        <v>97</v>
      </c>
      <c r="G171" s="49">
        <v>19</v>
      </c>
      <c r="H171" s="49">
        <v>34.9</v>
      </c>
      <c r="I171" s="49">
        <v>29.1</v>
      </c>
      <c r="J171" s="49">
        <v>6</v>
      </c>
      <c r="K171" s="49">
        <v>11.1</v>
      </c>
      <c r="L171" s="49">
        <v>10.8</v>
      </c>
      <c r="M171" s="191">
        <f t="shared" si="34"/>
        <v>36.261099999999999</v>
      </c>
      <c r="N171" s="191">
        <f t="shared" si="34"/>
        <v>30.2349</v>
      </c>
      <c r="O171" s="191">
        <f t="shared" si="34"/>
        <v>6.234</v>
      </c>
      <c r="P171" s="191">
        <f t="shared" si="34"/>
        <v>11.532899999999998</v>
      </c>
      <c r="Q171" s="191">
        <f t="shared" si="34"/>
        <v>11.2212</v>
      </c>
    </row>
    <row r="172" spans="2:17" x14ac:dyDescent="0.25">
      <c r="B172" s="237" t="s">
        <v>352</v>
      </c>
      <c r="C172" s="49">
        <v>88</v>
      </c>
      <c r="D172" s="49">
        <v>16</v>
      </c>
      <c r="E172" s="49">
        <v>16</v>
      </c>
      <c r="F172" s="49">
        <v>30</v>
      </c>
      <c r="G172" s="49">
        <v>27</v>
      </c>
      <c r="H172" s="49">
        <v>20.3</v>
      </c>
      <c r="I172" s="49">
        <v>10.6</v>
      </c>
      <c r="J172" s="49">
        <v>8.1</v>
      </c>
      <c r="K172" s="49">
        <v>13.2</v>
      </c>
      <c r="L172" s="49">
        <v>15.5</v>
      </c>
      <c r="M172" s="191">
        <f t="shared" si="34"/>
        <v>21.091699999999999</v>
      </c>
      <c r="N172" s="191">
        <f t="shared" si="34"/>
        <v>11.013399999999999</v>
      </c>
      <c r="O172" s="191">
        <f t="shared" si="34"/>
        <v>8.4158999999999988</v>
      </c>
      <c r="P172" s="191">
        <f t="shared" si="34"/>
        <v>13.714799999999999</v>
      </c>
      <c r="Q172" s="191">
        <f t="shared" si="34"/>
        <v>16.104499999999998</v>
      </c>
    </row>
    <row r="173" spans="2:17" x14ac:dyDescent="0.25">
      <c r="B173" s="237" t="s">
        <v>353</v>
      </c>
      <c r="C173" s="49">
        <v>62</v>
      </c>
      <c r="D173" s="49">
        <v>21</v>
      </c>
      <c r="E173" s="49">
        <v>10</v>
      </c>
      <c r="F173" s="49">
        <v>19</v>
      </c>
      <c r="G173" s="49">
        <v>11</v>
      </c>
      <c r="H173" s="49">
        <v>21.1</v>
      </c>
      <c r="I173" s="49">
        <v>17.7</v>
      </c>
      <c r="J173" s="49">
        <v>6.1</v>
      </c>
      <c r="K173" s="49">
        <v>14.2</v>
      </c>
      <c r="L173" s="49">
        <v>14</v>
      </c>
      <c r="M173" s="191">
        <f t="shared" si="34"/>
        <v>21.922899999999998</v>
      </c>
      <c r="N173" s="191">
        <f t="shared" si="34"/>
        <v>18.390299999999996</v>
      </c>
      <c r="O173" s="191">
        <f t="shared" si="34"/>
        <v>6.3378999999999994</v>
      </c>
      <c r="P173" s="191">
        <f t="shared" si="34"/>
        <v>14.753799999999998</v>
      </c>
      <c r="Q173" s="191">
        <f t="shared" si="34"/>
        <v>14.545999999999999</v>
      </c>
    </row>
    <row r="174" spans="2:17" x14ac:dyDescent="0.25">
      <c r="B174" s="237" t="s">
        <v>354</v>
      </c>
      <c r="C174" s="49">
        <v>149</v>
      </c>
      <c r="D174" s="49">
        <v>88</v>
      </c>
      <c r="E174" s="49">
        <v>19</v>
      </c>
      <c r="F174" s="49">
        <v>37</v>
      </c>
      <c r="G174" s="49">
        <v>5</v>
      </c>
      <c r="H174" s="49">
        <v>32.700000000000003</v>
      </c>
      <c r="I174" s="49">
        <v>22.5</v>
      </c>
      <c r="J174" s="49">
        <v>6.3</v>
      </c>
      <c r="K174" s="49">
        <v>20.399999999999999</v>
      </c>
      <c r="L174" s="49">
        <v>9.1999999999999993</v>
      </c>
      <c r="M174" s="191">
        <f t="shared" si="34"/>
        <v>33.975299999999997</v>
      </c>
      <c r="N174" s="191">
        <f t="shared" si="34"/>
        <v>23.377499999999998</v>
      </c>
      <c r="O174" s="191">
        <f t="shared" si="34"/>
        <v>6.5456999999999992</v>
      </c>
      <c r="P174" s="191">
        <f t="shared" si="34"/>
        <v>21.195599999999995</v>
      </c>
      <c r="Q174" s="191">
        <f t="shared" si="34"/>
        <v>9.558799999999998</v>
      </c>
    </row>
    <row r="175" spans="2:17" x14ac:dyDescent="0.25">
      <c r="B175" s="237" t="s">
        <v>355</v>
      </c>
      <c r="C175" s="49">
        <v>93</v>
      </c>
      <c r="D175" s="49">
        <v>55</v>
      </c>
      <c r="E175" s="49">
        <v>9</v>
      </c>
      <c r="F175" s="49">
        <v>25</v>
      </c>
      <c r="G175" s="49">
        <v>4</v>
      </c>
      <c r="H175" s="49">
        <v>28</v>
      </c>
      <c r="I175" s="49">
        <v>19.600000000000001</v>
      </c>
      <c r="J175" s="49">
        <v>3.7</v>
      </c>
      <c r="K175" s="49">
        <v>11.5</v>
      </c>
      <c r="L175" s="49">
        <v>8.8000000000000007</v>
      </c>
      <c r="M175" s="191">
        <f t="shared" si="34"/>
        <v>29.091999999999999</v>
      </c>
      <c r="N175" s="191">
        <f t="shared" si="34"/>
        <v>20.3644</v>
      </c>
      <c r="O175" s="191">
        <f t="shared" si="34"/>
        <v>3.8443000000000001</v>
      </c>
      <c r="P175" s="191">
        <f t="shared" si="34"/>
        <v>11.948499999999999</v>
      </c>
      <c r="Q175" s="191">
        <f t="shared" si="34"/>
        <v>9.1432000000000002</v>
      </c>
    </row>
    <row r="176" spans="2:17" x14ac:dyDescent="0.25">
      <c r="B176" s="237" t="s">
        <v>356</v>
      </c>
      <c r="C176" s="49">
        <v>54</v>
      </c>
      <c r="D176" s="49">
        <v>31</v>
      </c>
      <c r="E176" s="49">
        <v>3</v>
      </c>
      <c r="F176" s="49">
        <v>17</v>
      </c>
      <c r="G176" s="49" t="s">
        <v>229</v>
      </c>
      <c r="H176" s="49">
        <v>42.4</v>
      </c>
      <c r="I176" s="49">
        <v>27.4</v>
      </c>
      <c r="J176" s="49">
        <v>4.3</v>
      </c>
      <c r="K176" s="49">
        <v>24.3</v>
      </c>
      <c r="L176" s="49" t="s">
        <v>229</v>
      </c>
      <c r="M176" s="191">
        <f t="shared" si="34"/>
        <v>44.053599999999996</v>
      </c>
      <c r="N176" s="191">
        <f t="shared" si="34"/>
        <v>28.468599999999995</v>
      </c>
      <c r="O176" s="191">
        <f t="shared" si="34"/>
        <v>4.4676999999999998</v>
      </c>
      <c r="P176" s="191">
        <f t="shared" si="34"/>
        <v>25.247699999999998</v>
      </c>
      <c r="Q176" s="191" t="e">
        <f t="shared" si="34"/>
        <v>#VALUE!</v>
      </c>
    </row>
    <row r="177" spans="2:17" x14ac:dyDescent="0.25">
      <c r="B177" s="236" t="s">
        <v>357</v>
      </c>
      <c r="C177" s="62"/>
      <c r="D177" s="62"/>
      <c r="E177" s="62"/>
      <c r="F177" s="62"/>
      <c r="G177" s="62"/>
      <c r="H177" s="62"/>
      <c r="I177" s="62"/>
      <c r="J177" s="62"/>
      <c r="K177" s="62"/>
      <c r="L177" s="62"/>
      <c r="M177" s="62"/>
      <c r="N177" s="62"/>
      <c r="O177" s="62"/>
      <c r="P177" s="62"/>
      <c r="Q177" s="62"/>
    </row>
    <row r="178" spans="2:17" x14ac:dyDescent="0.25">
      <c r="B178" s="237" t="s">
        <v>350</v>
      </c>
      <c r="C178" s="49">
        <v>2010</v>
      </c>
      <c r="D178" s="49">
        <v>1520</v>
      </c>
      <c r="E178" s="49">
        <v>160</v>
      </c>
      <c r="F178" s="49">
        <v>286</v>
      </c>
      <c r="G178" s="49">
        <v>44</v>
      </c>
      <c r="H178" s="49">
        <v>34.6</v>
      </c>
      <c r="I178" s="49">
        <v>26.2</v>
      </c>
      <c r="J178" s="49">
        <v>3.9</v>
      </c>
      <c r="K178" s="49">
        <v>12.3</v>
      </c>
      <c r="L178" s="49">
        <v>5.4</v>
      </c>
      <c r="M178" s="191">
        <f t="shared" ref="M178:Q182" si="35">H178*Lookups_Conversion_CF_to_kBTU</f>
        <v>35.949399999999997</v>
      </c>
      <c r="N178" s="191">
        <f t="shared" si="35"/>
        <v>27.221799999999998</v>
      </c>
      <c r="O178" s="191">
        <f t="shared" si="35"/>
        <v>4.0520999999999994</v>
      </c>
      <c r="P178" s="191">
        <f t="shared" si="35"/>
        <v>12.7797</v>
      </c>
      <c r="Q178" s="191">
        <f t="shared" si="35"/>
        <v>5.6105999999999998</v>
      </c>
    </row>
    <row r="179" spans="2:17" x14ac:dyDescent="0.25">
      <c r="B179" s="237" t="s">
        <v>505</v>
      </c>
      <c r="C179" s="49">
        <v>1833</v>
      </c>
      <c r="D179" s="49">
        <v>1471</v>
      </c>
      <c r="E179" s="49">
        <v>115</v>
      </c>
      <c r="F179" s="49">
        <v>223</v>
      </c>
      <c r="G179" s="49">
        <v>24</v>
      </c>
      <c r="H179" s="49">
        <v>36.6</v>
      </c>
      <c r="I179" s="49">
        <v>29.4</v>
      </c>
      <c r="J179" s="49">
        <v>3.2</v>
      </c>
      <c r="K179" s="49">
        <v>11.3</v>
      </c>
      <c r="L179" s="49">
        <v>3.6</v>
      </c>
      <c r="M179" s="191">
        <f t="shared" si="35"/>
        <v>38.0274</v>
      </c>
      <c r="N179" s="191">
        <f t="shared" si="35"/>
        <v>30.546599999999998</v>
      </c>
      <c r="O179" s="191">
        <f t="shared" si="35"/>
        <v>3.3247999999999998</v>
      </c>
      <c r="P179" s="191">
        <f t="shared" si="35"/>
        <v>11.7407</v>
      </c>
      <c r="Q179" s="191">
        <f t="shared" si="35"/>
        <v>3.7403999999999997</v>
      </c>
    </row>
    <row r="180" spans="2:17" x14ac:dyDescent="0.25">
      <c r="B180" s="237" t="s">
        <v>506</v>
      </c>
      <c r="C180" s="49">
        <v>177</v>
      </c>
      <c r="D180" s="49">
        <v>49</v>
      </c>
      <c r="E180" s="49">
        <v>45</v>
      </c>
      <c r="F180" s="49">
        <v>63</v>
      </c>
      <c r="G180" s="49">
        <v>20</v>
      </c>
      <c r="H180" s="49">
        <v>22.1</v>
      </c>
      <c r="I180" s="49">
        <v>6.2</v>
      </c>
      <c r="J180" s="49">
        <v>8.6999999999999993</v>
      </c>
      <c r="K180" s="49">
        <v>18.5</v>
      </c>
      <c r="L180" s="49">
        <v>14.6</v>
      </c>
      <c r="M180" s="191">
        <f t="shared" si="35"/>
        <v>22.9619</v>
      </c>
      <c r="N180" s="191">
        <f t="shared" si="35"/>
        <v>6.4417999999999997</v>
      </c>
      <c r="O180" s="191">
        <f t="shared" si="35"/>
        <v>9.039299999999999</v>
      </c>
      <c r="P180" s="191">
        <f t="shared" si="35"/>
        <v>19.221499999999999</v>
      </c>
      <c r="Q180" s="191">
        <f t="shared" si="35"/>
        <v>15.169399999999998</v>
      </c>
    </row>
    <row r="181" spans="2:17" x14ac:dyDescent="0.25">
      <c r="B181" s="237" t="s">
        <v>507</v>
      </c>
      <c r="C181" s="49">
        <v>193</v>
      </c>
      <c r="D181" s="49" t="s">
        <v>361</v>
      </c>
      <c r="E181" s="49">
        <v>57</v>
      </c>
      <c r="F181" s="49">
        <v>86</v>
      </c>
      <c r="G181" s="49">
        <v>50</v>
      </c>
      <c r="H181" s="49">
        <v>21.3</v>
      </c>
      <c r="I181" s="49" t="s">
        <v>361</v>
      </c>
      <c r="J181" s="49">
        <v>11.6</v>
      </c>
      <c r="K181" s="49">
        <v>19.7</v>
      </c>
      <c r="L181" s="49">
        <v>19.3</v>
      </c>
      <c r="M181" s="191">
        <f t="shared" si="35"/>
        <v>22.130699999999997</v>
      </c>
      <c r="N181" s="191" t="e">
        <f t="shared" si="35"/>
        <v>#VALUE!</v>
      </c>
      <c r="O181" s="191">
        <f t="shared" si="35"/>
        <v>12.052399999999999</v>
      </c>
      <c r="P181" s="191">
        <f t="shared" si="35"/>
        <v>20.468299999999999</v>
      </c>
      <c r="Q181" s="191">
        <f t="shared" si="35"/>
        <v>20.052699999999998</v>
      </c>
    </row>
    <row r="182" spans="2:17" x14ac:dyDescent="0.25">
      <c r="B182" s="237" t="s">
        <v>362</v>
      </c>
      <c r="C182" s="49">
        <v>13</v>
      </c>
      <c r="D182" s="49" t="s">
        <v>361</v>
      </c>
      <c r="E182" s="49">
        <v>4</v>
      </c>
      <c r="F182" s="49">
        <v>8</v>
      </c>
      <c r="G182" s="49" t="s">
        <v>229</v>
      </c>
      <c r="H182" s="49">
        <v>21.8</v>
      </c>
      <c r="I182" s="49" t="s">
        <v>361</v>
      </c>
      <c r="J182" s="49">
        <v>7.8</v>
      </c>
      <c r="K182" s="49">
        <v>46.8</v>
      </c>
      <c r="L182" s="49" t="s">
        <v>229</v>
      </c>
      <c r="M182" s="191">
        <f t="shared" si="35"/>
        <v>22.650199999999998</v>
      </c>
      <c r="N182" s="191" t="e">
        <f t="shared" si="35"/>
        <v>#VALUE!</v>
      </c>
      <c r="O182" s="191">
        <f t="shared" si="35"/>
        <v>8.1041999999999987</v>
      </c>
      <c r="P182" s="191">
        <f t="shared" si="35"/>
        <v>48.625199999999992</v>
      </c>
      <c r="Q182" s="191" t="e">
        <f t="shared" si="35"/>
        <v>#VALUE!</v>
      </c>
    </row>
    <row r="183" spans="2:17" x14ac:dyDescent="0.25">
      <c r="B183" s="236" t="s">
        <v>508</v>
      </c>
      <c r="C183" s="62"/>
      <c r="D183" s="62"/>
      <c r="E183" s="62"/>
      <c r="F183" s="62"/>
      <c r="G183" s="62"/>
      <c r="H183" s="62"/>
      <c r="I183" s="62"/>
      <c r="J183" s="62"/>
      <c r="K183" s="62"/>
      <c r="L183" s="62"/>
      <c r="M183" s="62"/>
      <c r="N183" s="62"/>
      <c r="O183" s="62"/>
      <c r="P183" s="62"/>
      <c r="Q183" s="62"/>
    </row>
    <row r="184" spans="2:17" x14ac:dyDescent="0.25">
      <c r="B184" s="236" t="s">
        <v>509</v>
      </c>
      <c r="C184" s="62"/>
      <c r="D184" s="62"/>
      <c r="E184" s="62"/>
      <c r="F184" s="62"/>
      <c r="G184" s="62"/>
      <c r="H184" s="62"/>
      <c r="I184" s="62"/>
      <c r="J184" s="62"/>
      <c r="K184" s="62"/>
      <c r="L184" s="62"/>
      <c r="M184" s="62"/>
      <c r="N184" s="62"/>
      <c r="O184" s="62"/>
      <c r="P184" s="62"/>
      <c r="Q184" s="62"/>
    </row>
    <row r="185" spans="2:17" x14ac:dyDescent="0.25">
      <c r="B185" s="237" t="s">
        <v>349</v>
      </c>
      <c r="C185" s="49">
        <v>295</v>
      </c>
      <c r="D185" s="49">
        <v>43</v>
      </c>
      <c r="E185" s="49">
        <v>87</v>
      </c>
      <c r="F185" s="49">
        <v>122</v>
      </c>
      <c r="G185" s="49">
        <v>44</v>
      </c>
      <c r="H185" s="49">
        <v>22.9</v>
      </c>
      <c r="I185" s="49">
        <v>6.3</v>
      </c>
      <c r="J185" s="49">
        <v>10.7</v>
      </c>
      <c r="K185" s="49">
        <v>21.8</v>
      </c>
      <c r="L185" s="49">
        <v>17.899999999999999</v>
      </c>
      <c r="M185" s="191">
        <f t="shared" ref="M185:Q190" si="36">H185*Lookups_Conversion_CF_to_kBTU</f>
        <v>23.793099999999995</v>
      </c>
      <c r="N185" s="191">
        <f t="shared" si="36"/>
        <v>6.5456999999999992</v>
      </c>
      <c r="O185" s="191">
        <f t="shared" si="36"/>
        <v>11.117299999999998</v>
      </c>
      <c r="P185" s="191">
        <f t="shared" si="36"/>
        <v>22.650199999999998</v>
      </c>
      <c r="Q185" s="191">
        <f t="shared" si="36"/>
        <v>18.598099999999999</v>
      </c>
    </row>
    <row r="186" spans="2:17" x14ac:dyDescent="0.25">
      <c r="B186" s="237" t="s">
        <v>350</v>
      </c>
      <c r="C186" s="49">
        <v>1833</v>
      </c>
      <c r="D186" s="49">
        <v>1471</v>
      </c>
      <c r="E186" s="49">
        <v>115</v>
      </c>
      <c r="F186" s="49">
        <v>223</v>
      </c>
      <c r="G186" s="49">
        <v>24</v>
      </c>
      <c r="H186" s="49">
        <v>36.6</v>
      </c>
      <c r="I186" s="49">
        <v>29.4</v>
      </c>
      <c r="J186" s="49">
        <v>3.2</v>
      </c>
      <c r="K186" s="49">
        <v>11.3</v>
      </c>
      <c r="L186" s="49">
        <v>3.6</v>
      </c>
      <c r="M186" s="191">
        <f t="shared" si="36"/>
        <v>38.0274</v>
      </c>
      <c r="N186" s="191">
        <f t="shared" si="36"/>
        <v>30.546599999999998</v>
      </c>
      <c r="O186" s="191">
        <f t="shared" si="36"/>
        <v>3.3247999999999998</v>
      </c>
      <c r="P186" s="191">
        <f t="shared" si="36"/>
        <v>11.7407</v>
      </c>
      <c r="Q186" s="191">
        <f t="shared" si="36"/>
        <v>3.7403999999999997</v>
      </c>
    </row>
    <row r="187" spans="2:17" x14ac:dyDescent="0.25">
      <c r="B187" s="237" t="s">
        <v>351</v>
      </c>
      <c r="C187" s="49" t="s">
        <v>229</v>
      </c>
      <c r="D187" s="49" t="s">
        <v>229</v>
      </c>
      <c r="E187" s="49" t="s">
        <v>229</v>
      </c>
      <c r="F187" s="49">
        <v>1</v>
      </c>
      <c r="G187" s="49" t="s">
        <v>229</v>
      </c>
      <c r="H187" s="49">
        <v>13.2</v>
      </c>
      <c r="I187" s="49" t="s">
        <v>229</v>
      </c>
      <c r="J187" s="49" t="s">
        <v>229</v>
      </c>
      <c r="K187" s="49">
        <v>5.8</v>
      </c>
      <c r="L187" s="49" t="s">
        <v>229</v>
      </c>
      <c r="M187" s="191">
        <f t="shared" si="36"/>
        <v>13.714799999999999</v>
      </c>
      <c r="N187" s="191" t="e">
        <f t="shared" si="36"/>
        <v>#VALUE!</v>
      </c>
      <c r="O187" s="191" t="e">
        <f t="shared" si="36"/>
        <v>#VALUE!</v>
      </c>
      <c r="P187" s="191">
        <f t="shared" si="36"/>
        <v>6.0261999999999993</v>
      </c>
      <c r="Q187" s="191" t="e">
        <f t="shared" si="36"/>
        <v>#VALUE!</v>
      </c>
    </row>
    <row r="188" spans="2:17" x14ac:dyDescent="0.25">
      <c r="B188" s="237" t="s">
        <v>352</v>
      </c>
      <c r="C188" s="49">
        <v>68</v>
      </c>
      <c r="D188" s="49">
        <v>4</v>
      </c>
      <c r="E188" s="49">
        <v>14</v>
      </c>
      <c r="F188" s="49">
        <v>25</v>
      </c>
      <c r="G188" s="49">
        <v>25</v>
      </c>
      <c r="H188" s="49">
        <v>18</v>
      </c>
      <c r="I188" s="49">
        <v>4</v>
      </c>
      <c r="J188" s="49">
        <v>8.1999999999999993</v>
      </c>
      <c r="K188" s="49">
        <v>12.6</v>
      </c>
      <c r="L188" s="49">
        <v>17.100000000000001</v>
      </c>
      <c r="M188" s="191">
        <f t="shared" si="36"/>
        <v>18.701999999999998</v>
      </c>
      <c r="N188" s="191">
        <f t="shared" si="36"/>
        <v>4.1559999999999997</v>
      </c>
      <c r="O188" s="191">
        <f t="shared" si="36"/>
        <v>8.5197999999999983</v>
      </c>
      <c r="P188" s="191">
        <f t="shared" si="36"/>
        <v>13.091399999999998</v>
      </c>
      <c r="Q188" s="191">
        <f t="shared" si="36"/>
        <v>17.7669</v>
      </c>
    </row>
    <row r="189" spans="2:17" x14ac:dyDescent="0.25">
      <c r="B189" s="237" t="s">
        <v>354</v>
      </c>
      <c r="C189" s="49" t="s">
        <v>229</v>
      </c>
      <c r="D189" s="49" t="s">
        <v>229</v>
      </c>
      <c r="E189" s="49" t="s">
        <v>229</v>
      </c>
      <c r="F189" s="49" t="s">
        <v>229</v>
      </c>
      <c r="G189" s="49" t="s">
        <v>361</v>
      </c>
      <c r="H189" s="49" t="s">
        <v>229</v>
      </c>
      <c r="I189" s="49" t="s">
        <v>229</v>
      </c>
      <c r="J189" s="49" t="s">
        <v>229</v>
      </c>
      <c r="K189" s="49" t="s">
        <v>229</v>
      </c>
      <c r="L189" s="49" t="s">
        <v>361</v>
      </c>
      <c r="M189" s="191" t="e">
        <f t="shared" si="36"/>
        <v>#VALUE!</v>
      </c>
      <c r="N189" s="191" t="e">
        <f t="shared" si="36"/>
        <v>#VALUE!</v>
      </c>
      <c r="O189" s="191" t="e">
        <f t="shared" si="36"/>
        <v>#VALUE!</v>
      </c>
      <c r="P189" s="191" t="e">
        <f t="shared" si="36"/>
        <v>#VALUE!</v>
      </c>
      <c r="Q189" s="191" t="e">
        <f t="shared" si="36"/>
        <v>#VALUE!</v>
      </c>
    </row>
    <row r="190" spans="2:17" ht="15.75" x14ac:dyDescent="0.25">
      <c r="B190" s="237" t="s">
        <v>510</v>
      </c>
      <c r="C190" s="49" t="s">
        <v>229</v>
      </c>
      <c r="D190" s="49" t="s">
        <v>229</v>
      </c>
      <c r="E190" s="49" t="s">
        <v>229</v>
      </c>
      <c r="F190" s="49" t="s">
        <v>361</v>
      </c>
      <c r="G190" s="49" t="s">
        <v>229</v>
      </c>
      <c r="H190" s="49" t="s">
        <v>229</v>
      </c>
      <c r="I190" s="49" t="s">
        <v>229</v>
      </c>
      <c r="J190" s="49" t="s">
        <v>229</v>
      </c>
      <c r="K190" s="49" t="s">
        <v>361</v>
      </c>
      <c r="L190" s="49" t="s">
        <v>229</v>
      </c>
      <c r="M190" s="191" t="e">
        <f t="shared" si="36"/>
        <v>#VALUE!</v>
      </c>
      <c r="N190" s="191" t="e">
        <f t="shared" si="36"/>
        <v>#VALUE!</v>
      </c>
      <c r="O190" s="191" t="e">
        <f t="shared" si="36"/>
        <v>#VALUE!</v>
      </c>
      <c r="P190" s="191" t="e">
        <f t="shared" si="36"/>
        <v>#VALUE!</v>
      </c>
      <c r="Q190" s="191" t="e">
        <f t="shared" si="36"/>
        <v>#VALUE!</v>
      </c>
    </row>
    <row r="191" spans="2:17" x14ac:dyDescent="0.25">
      <c r="B191" s="236" t="s">
        <v>365</v>
      </c>
      <c r="C191" s="62"/>
      <c r="D191" s="62"/>
      <c r="E191" s="62"/>
      <c r="F191" s="62"/>
      <c r="G191" s="62"/>
      <c r="H191" s="62"/>
      <c r="I191" s="62"/>
      <c r="J191" s="62"/>
      <c r="K191" s="62"/>
      <c r="L191" s="62"/>
      <c r="M191" s="62"/>
      <c r="N191" s="62"/>
      <c r="O191" s="62"/>
      <c r="P191" s="62"/>
      <c r="Q191" s="62"/>
    </row>
    <row r="192" spans="2:17" x14ac:dyDescent="0.25">
      <c r="B192" s="237" t="s">
        <v>350</v>
      </c>
      <c r="C192" s="49">
        <v>22</v>
      </c>
      <c r="D192" s="49">
        <v>12</v>
      </c>
      <c r="E192" s="49">
        <v>2</v>
      </c>
      <c r="F192" s="49">
        <v>3</v>
      </c>
      <c r="G192" s="49">
        <v>5</v>
      </c>
      <c r="H192" s="49">
        <v>54.2</v>
      </c>
      <c r="I192" s="49">
        <v>30.9</v>
      </c>
      <c r="J192" s="49">
        <v>6</v>
      </c>
      <c r="K192" s="49">
        <v>8.9</v>
      </c>
      <c r="L192" s="49">
        <v>11.8</v>
      </c>
      <c r="M192" s="191">
        <f t="shared" ref="M192:Q194" si="37">H192*Lookups_Conversion_CF_to_kBTU</f>
        <v>56.313800000000001</v>
      </c>
      <c r="N192" s="191">
        <f t="shared" si="37"/>
        <v>32.105099999999993</v>
      </c>
      <c r="O192" s="191">
        <f t="shared" si="37"/>
        <v>6.234</v>
      </c>
      <c r="P192" s="191">
        <f t="shared" si="37"/>
        <v>9.2470999999999997</v>
      </c>
      <c r="Q192" s="191">
        <f t="shared" si="37"/>
        <v>12.260199999999999</v>
      </c>
    </row>
    <row r="193" spans="2:17" x14ac:dyDescent="0.25">
      <c r="B193" s="237" t="s">
        <v>507</v>
      </c>
      <c r="C193" s="49">
        <v>2120</v>
      </c>
      <c r="D193" s="49">
        <v>1438</v>
      </c>
      <c r="E193" s="49">
        <v>218</v>
      </c>
      <c r="F193" s="49">
        <v>374</v>
      </c>
      <c r="G193" s="49">
        <v>90</v>
      </c>
      <c r="H193" s="49">
        <v>32.700000000000003</v>
      </c>
      <c r="I193" s="49">
        <v>26</v>
      </c>
      <c r="J193" s="49">
        <v>4.8</v>
      </c>
      <c r="K193" s="49">
        <v>13.8</v>
      </c>
      <c r="L193" s="49">
        <v>8.6999999999999993</v>
      </c>
      <c r="M193" s="191">
        <f t="shared" si="37"/>
        <v>33.975299999999997</v>
      </c>
      <c r="N193" s="191">
        <f t="shared" si="37"/>
        <v>27.013999999999999</v>
      </c>
      <c r="O193" s="191">
        <f t="shared" si="37"/>
        <v>4.9871999999999996</v>
      </c>
      <c r="P193" s="191">
        <f t="shared" si="37"/>
        <v>14.338200000000001</v>
      </c>
      <c r="Q193" s="191">
        <f t="shared" si="37"/>
        <v>9.039299999999999</v>
      </c>
    </row>
    <row r="194" spans="2:17" x14ac:dyDescent="0.25">
      <c r="B194" s="237" t="s">
        <v>366</v>
      </c>
      <c r="C194" s="49">
        <v>74</v>
      </c>
      <c r="D194" s="49">
        <v>70</v>
      </c>
      <c r="E194" s="49">
        <v>1</v>
      </c>
      <c r="F194" s="49" t="s">
        <v>229</v>
      </c>
      <c r="G194" s="49" t="s">
        <v>229</v>
      </c>
      <c r="H194" s="49">
        <v>29.5</v>
      </c>
      <c r="I194" s="49">
        <v>29.5</v>
      </c>
      <c r="J194" s="49">
        <v>1.1000000000000001</v>
      </c>
      <c r="K194" s="49" t="s">
        <v>229</v>
      </c>
      <c r="L194" s="49" t="s">
        <v>229</v>
      </c>
      <c r="M194" s="191">
        <f t="shared" si="37"/>
        <v>30.650499999999997</v>
      </c>
      <c r="N194" s="191">
        <f t="shared" si="37"/>
        <v>30.650499999999997</v>
      </c>
      <c r="O194" s="191">
        <f t="shared" si="37"/>
        <v>1.1429</v>
      </c>
      <c r="P194" s="191" t="e">
        <f t="shared" si="37"/>
        <v>#VALUE!</v>
      </c>
      <c r="Q194" s="191" t="e">
        <f t="shared" si="37"/>
        <v>#VALUE!</v>
      </c>
    </row>
    <row r="195" spans="2:17" x14ac:dyDescent="0.25">
      <c r="B195" s="236" t="s">
        <v>367</v>
      </c>
      <c r="C195" s="62"/>
      <c r="D195" s="62"/>
      <c r="E195" s="62"/>
      <c r="F195" s="62"/>
      <c r="G195" s="62"/>
      <c r="H195" s="62"/>
      <c r="I195" s="62"/>
      <c r="J195" s="62"/>
      <c r="K195" s="62"/>
      <c r="L195" s="62"/>
      <c r="M195" s="62"/>
      <c r="N195" s="62"/>
      <c r="O195" s="62"/>
      <c r="P195" s="62"/>
      <c r="Q195" s="62"/>
    </row>
    <row r="196" spans="2:17" x14ac:dyDescent="0.25">
      <c r="B196" s="237" t="s">
        <v>350</v>
      </c>
      <c r="C196" s="49">
        <v>1708</v>
      </c>
      <c r="D196" s="49">
        <v>1132</v>
      </c>
      <c r="E196" s="49">
        <v>221</v>
      </c>
      <c r="F196" s="49">
        <v>301</v>
      </c>
      <c r="G196" s="49">
        <v>54</v>
      </c>
      <c r="H196" s="49">
        <v>36.6</v>
      </c>
      <c r="I196" s="49">
        <v>27.5</v>
      </c>
      <c r="J196" s="49">
        <v>4.7</v>
      </c>
      <c r="K196" s="49">
        <v>13.4</v>
      </c>
      <c r="L196" s="49">
        <v>7.4</v>
      </c>
      <c r="M196" s="191">
        <f t="shared" ref="M196:Q198" si="38">H196*Lookups_Conversion_CF_to_kBTU</f>
        <v>38.0274</v>
      </c>
      <c r="N196" s="191">
        <f t="shared" si="38"/>
        <v>28.572499999999998</v>
      </c>
      <c r="O196" s="191">
        <f t="shared" si="38"/>
        <v>4.8833000000000002</v>
      </c>
      <c r="P196" s="191">
        <f t="shared" si="38"/>
        <v>13.922599999999999</v>
      </c>
      <c r="Q196" s="191">
        <f t="shared" si="38"/>
        <v>7.6886000000000001</v>
      </c>
    </row>
    <row r="197" spans="2:17" x14ac:dyDescent="0.25">
      <c r="B197" s="237" t="s">
        <v>507</v>
      </c>
      <c r="C197" s="49">
        <v>477</v>
      </c>
      <c r="D197" s="49">
        <v>362</v>
      </c>
      <c r="E197" s="49" t="s">
        <v>361</v>
      </c>
      <c r="F197" s="49">
        <v>78</v>
      </c>
      <c r="G197" s="49">
        <v>37</v>
      </c>
      <c r="H197" s="49">
        <v>24.4</v>
      </c>
      <c r="I197" s="49">
        <v>23.3</v>
      </c>
      <c r="J197" s="49" t="s">
        <v>361</v>
      </c>
      <c r="K197" s="49">
        <v>15</v>
      </c>
      <c r="L197" s="49">
        <v>11.5</v>
      </c>
      <c r="M197" s="191">
        <f t="shared" si="38"/>
        <v>25.351599999999998</v>
      </c>
      <c r="N197" s="191">
        <f t="shared" si="38"/>
        <v>24.2087</v>
      </c>
      <c r="O197" s="191" t="e">
        <f t="shared" si="38"/>
        <v>#VALUE!</v>
      </c>
      <c r="P197" s="191">
        <f t="shared" si="38"/>
        <v>15.584999999999999</v>
      </c>
      <c r="Q197" s="191">
        <f t="shared" si="38"/>
        <v>11.948499999999999</v>
      </c>
    </row>
    <row r="198" spans="2:17" x14ac:dyDescent="0.25">
      <c r="B198" s="237" t="s">
        <v>368</v>
      </c>
      <c r="C198" s="49">
        <v>31</v>
      </c>
      <c r="D198" s="49">
        <v>26</v>
      </c>
      <c r="E198" s="49" t="s">
        <v>361</v>
      </c>
      <c r="F198" s="49" t="s">
        <v>229</v>
      </c>
      <c r="G198" s="49" t="s">
        <v>229</v>
      </c>
      <c r="H198" s="49">
        <v>20.3</v>
      </c>
      <c r="I198" s="49">
        <v>20.2</v>
      </c>
      <c r="J198" s="49" t="s">
        <v>361</v>
      </c>
      <c r="K198" s="49" t="s">
        <v>229</v>
      </c>
      <c r="L198" s="49" t="s">
        <v>229</v>
      </c>
      <c r="M198" s="191">
        <f t="shared" si="38"/>
        <v>21.091699999999999</v>
      </c>
      <c r="N198" s="191">
        <f t="shared" si="38"/>
        <v>20.987799999999996</v>
      </c>
      <c r="O198" s="191" t="e">
        <f t="shared" si="38"/>
        <v>#VALUE!</v>
      </c>
      <c r="P198" s="191" t="e">
        <f t="shared" si="38"/>
        <v>#VALUE!</v>
      </c>
      <c r="Q198" s="191" t="e">
        <f t="shared" si="38"/>
        <v>#VALUE!</v>
      </c>
    </row>
    <row r="199" spans="2:17" x14ac:dyDescent="0.25">
      <c r="B199" s="236" t="s">
        <v>369</v>
      </c>
      <c r="C199" s="62"/>
      <c r="D199" s="62"/>
      <c r="E199" s="62"/>
      <c r="F199" s="62"/>
      <c r="G199" s="62"/>
      <c r="H199" s="62"/>
      <c r="I199" s="62"/>
      <c r="J199" s="62"/>
      <c r="K199" s="62"/>
      <c r="L199" s="62"/>
      <c r="M199" s="62"/>
      <c r="N199" s="62"/>
      <c r="O199" s="62"/>
      <c r="P199" s="62"/>
      <c r="Q199" s="62"/>
    </row>
    <row r="200" spans="2:17" x14ac:dyDescent="0.25">
      <c r="B200" s="237" t="s">
        <v>350</v>
      </c>
      <c r="C200" s="49">
        <v>1189</v>
      </c>
      <c r="D200" s="49">
        <v>643</v>
      </c>
      <c r="E200" s="49">
        <v>125</v>
      </c>
      <c r="F200" s="49">
        <v>380</v>
      </c>
      <c r="G200" s="49">
        <v>41</v>
      </c>
      <c r="H200" s="49">
        <v>42.9</v>
      </c>
      <c r="I200" s="49">
        <v>27.8</v>
      </c>
      <c r="J200" s="49">
        <v>5.6</v>
      </c>
      <c r="K200" s="49">
        <v>13.7</v>
      </c>
      <c r="L200" s="49">
        <v>8.9</v>
      </c>
      <c r="M200" s="191">
        <f t="shared" ref="M200:Q202" si="39">H200*Lookups_Conversion_CF_to_kBTU</f>
        <v>44.573099999999997</v>
      </c>
      <c r="N200" s="191">
        <f t="shared" si="39"/>
        <v>28.8842</v>
      </c>
      <c r="O200" s="191">
        <f t="shared" si="39"/>
        <v>5.8183999999999996</v>
      </c>
      <c r="P200" s="191">
        <f t="shared" si="39"/>
        <v>14.234299999999998</v>
      </c>
      <c r="Q200" s="191">
        <f t="shared" si="39"/>
        <v>9.2470999999999997</v>
      </c>
    </row>
    <row r="201" spans="2:17" x14ac:dyDescent="0.25">
      <c r="B201" s="237" t="s">
        <v>507</v>
      </c>
      <c r="C201" s="49">
        <v>241</v>
      </c>
      <c r="D201" s="49">
        <v>189</v>
      </c>
      <c r="E201" s="49">
        <v>39</v>
      </c>
      <c r="F201" s="49" t="s">
        <v>361</v>
      </c>
      <c r="G201" s="49">
        <v>12</v>
      </c>
      <c r="H201" s="49">
        <v>28.4</v>
      </c>
      <c r="I201" s="49">
        <v>25.8</v>
      </c>
      <c r="J201" s="49">
        <v>6.9</v>
      </c>
      <c r="K201" s="49" t="s">
        <v>361</v>
      </c>
      <c r="L201" s="49">
        <v>7.2</v>
      </c>
      <c r="M201" s="191">
        <f t="shared" si="39"/>
        <v>29.507599999999996</v>
      </c>
      <c r="N201" s="191">
        <f t="shared" si="39"/>
        <v>26.8062</v>
      </c>
      <c r="O201" s="191">
        <f t="shared" si="39"/>
        <v>7.1691000000000003</v>
      </c>
      <c r="P201" s="191" t="e">
        <f t="shared" si="39"/>
        <v>#VALUE!</v>
      </c>
      <c r="Q201" s="191">
        <f t="shared" si="39"/>
        <v>7.4807999999999995</v>
      </c>
    </row>
    <row r="202" spans="2:17" x14ac:dyDescent="0.25">
      <c r="B202" s="237" t="s">
        <v>370</v>
      </c>
      <c r="C202" s="49">
        <v>787</v>
      </c>
      <c r="D202" s="49">
        <v>688</v>
      </c>
      <c r="E202" s="49">
        <v>57</v>
      </c>
      <c r="F202" s="49" t="s">
        <v>361</v>
      </c>
      <c r="G202" s="49">
        <v>42</v>
      </c>
      <c r="H202" s="49">
        <v>24.9</v>
      </c>
      <c r="I202" s="49">
        <v>25</v>
      </c>
      <c r="J202" s="49">
        <v>3.1</v>
      </c>
      <c r="K202" s="49" t="s">
        <v>361</v>
      </c>
      <c r="L202" s="49">
        <v>9.3000000000000007</v>
      </c>
      <c r="M202" s="191">
        <f t="shared" si="39"/>
        <v>25.871099999999995</v>
      </c>
      <c r="N202" s="191">
        <f t="shared" si="39"/>
        <v>25.974999999999998</v>
      </c>
      <c r="O202" s="191">
        <f t="shared" si="39"/>
        <v>3.2208999999999999</v>
      </c>
      <c r="P202" s="191" t="e">
        <f t="shared" si="39"/>
        <v>#VALUE!</v>
      </c>
      <c r="Q202" s="191">
        <f t="shared" si="39"/>
        <v>9.6626999999999992</v>
      </c>
    </row>
    <row r="203" spans="2:17" x14ac:dyDescent="0.25">
      <c r="B203" s="236" t="s">
        <v>511</v>
      </c>
      <c r="C203" s="62"/>
      <c r="D203" s="62"/>
      <c r="E203" s="62"/>
      <c r="F203" s="62"/>
      <c r="G203" s="62"/>
      <c r="H203" s="62"/>
      <c r="I203" s="62"/>
      <c r="J203" s="62"/>
      <c r="K203" s="62"/>
      <c r="L203" s="62"/>
      <c r="M203" s="62"/>
      <c r="N203" s="62"/>
      <c r="O203" s="62"/>
      <c r="P203" s="62"/>
      <c r="Q203" s="62"/>
    </row>
    <row r="204" spans="2:17" x14ac:dyDescent="0.25">
      <c r="B204" s="236" t="s">
        <v>503</v>
      </c>
      <c r="C204" s="62"/>
      <c r="D204" s="62"/>
      <c r="E204" s="62"/>
      <c r="F204" s="62"/>
      <c r="G204" s="62"/>
      <c r="H204" s="62"/>
      <c r="I204" s="62"/>
      <c r="J204" s="62"/>
      <c r="K204" s="62"/>
      <c r="L204" s="62"/>
      <c r="M204" s="62"/>
      <c r="N204" s="62"/>
      <c r="O204" s="62"/>
      <c r="P204" s="62"/>
      <c r="Q204" s="62"/>
    </row>
    <row r="205" spans="2:17" x14ac:dyDescent="0.25">
      <c r="B205" s="237" t="s">
        <v>372</v>
      </c>
      <c r="C205" s="49">
        <v>2203</v>
      </c>
      <c r="D205" s="49">
        <v>1520</v>
      </c>
      <c r="E205" s="49">
        <v>217</v>
      </c>
      <c r="F205" s="49">
        <v>372</v>
      </c>
      <c r="G205" s="49">
        <v>94</v>
      </c>
      <c r="H205" s="49">
        <v>32.799999999999997</v>
      </c>
      <c r="I205" s="49">
        <v>26.2</v>
      </c>
      <c r="J205" s="49">
        <v>4.7</v>
      </c>
      <c r="K205" s="49">
        <v>13.5</v>
      </c>
      <c r="L205" s="49">
        <v>8.8000000000000007</v>
      </c>
      <c r="M205" s="191">
        <f t="shared" ref="M205:Q210" si="40">H205*Lookups_Conversion_CF_to_kBTU</f>
        <v>34.079199999999993</v>
      </c>
      <c r="N205" s="191">
        <f t="shared" si="40"/>
        <v>27.221799999999998</v>
      </c>
      <c r="O205" s="191">
        <f t="shared" si="40"/>
        <v>4.8833000000000002</v>
      </c>
      <c r="P205" s="191">
        <f t="shared" si="40"/>
        <v>14.026499999999999</v>
      </c>
      <c r="Q205" s="191">
        <f t="shared" si="40"/>
        <v>9.1432000000000002</v>
      </c>
    </row>
    <row r="206" spans="2:17" x14ac:dyDescent="0.25">
      <c r="B206" s="237" t="s">
        <v>373</v>
      </c>
      <c r="C206" s="49">
        <v>2142</v>
      </c>
      <c r="D206" s="49">
        <v>1450</v>
      </c>
      <c r="E206" s="49">
        <v>220</v>
      </c>
      <c r="F206" s="49">
        <v>377</v>
      </c>
      <c r="G206" s="49">
        <v>95</v>
      </c>
      <c r="H206" s="49">
        <v>32.799999999999997</v>
      </c>
      <c r="I206" s="49">
        <v>26</v>
      </c>
      <c r="J206" s="49">
        <v>4.9000000000000004</v>
      </c>
      <c r="K206" s="49">
        <v>13.8</v>
      </c>
      <c r="L206" s="49">
        <v>8.8000000000000007</v>
      </c>
      <c r="M206" s="191">
        <f t="shared" si="40"/>
        <v>34.079199999999993</v>
      </c>
      <c r="N206" s="191">
        <f t="shared" si="40"/>
        <v>27.013999999999999</v>
      </c>
      <c r="O206" s="191">
        <f t="shared" si="40"/>
        <v>5.0911</v>
      </c>
      <c r="P206" s="191">
        <f t="shared" si="40"/>
        <v>14.338200000000001</v>
      </c>
      <c r="Q206" s="191">
        <f t="shared" si="40"/>
        <v>9.1432000000000002</v>
      </c>
    </row>
    <row r="207" spans="2:17" x14ac:dyDescent="0.25">
      <c r="B207" s="237" t="s">
        <v>374</v>
      </c>
      <c r="C207" s="49">
        <v>2185</v>
      </c>
      <c r="D207" s="49">
        <v>1494</v>
      </c>
      <c r="E207" s="49">
        <v>221</v>
      </c>
      <c r="F207" s="49">
        <v>379</v>
      </c>
      <c r="G207" s="49">
        <v>91</v>
      </c>
      <c r="H207" s="49">
        <v>33</v>
      </c>
      <c r="I207" s="49">
        <v>26.3</v>
      </c>
      <c r="J207" s="49">
        <v>4.7</v>
      </c>
      <c r="K207" s="49">
        <v>13.7</v>
      </c>
      <c r="L207" s="49">
        <v>8.6</v>
      </c>
      <c r="M207" s="191">
        <f t="shared" si="40"/>
        <v>34.286999999999999</v>
      </c>
      <c r="N207" s="191">
        <f t="shared" si="40"/>
        <v>27.325699999999998</v>
      </c>
      <c r="O207" s="191">
        <f t="shared" si="40"/>
        <v>4.8833000000000002</v>
      </c>
      <c r="P207" s="191">
        <f t="shared" si="40"/>
        <v>14.234299999999998</v>
      </c>
      <c r="Q207" s="191">
        <f t="shared" si="40"/>
        <v>8.9353999999999996</v>
      </c>
    </row>
    <row r="208" spans="2:17" x14ac:dyDescent="0.25">
      <c r="B208" s="237" t="s">
        <v>375</v>
      </c>
      <c r="C208" s="49">
        <v>1430</v>
      </c>
      <c r="D208" s="49">
        <v>832</v>
      </c>
      <c r="E208" s="49">
        <v>164</v>
      </c>
      <c r="F208" s="49">
        <v>380</v>
      </c>
      <c r="G208" s="49">
        <v>54</v>
      </c>
      <c r="H208" s="49">
        <v>39.5</v>
      </c>
      <c r="I208" s="49">
        <v>27.3</v>
      </c>
      <c r="J208" s="49">
        <v>5.8</v>
      </c>
      <c r="K208" s="49">
        <v>13.7</v>
      </c>
      <c r="L208" s="49">
        <v>8.5</v>
      </c>
      <c r="M208" s="191">
        <f t="shared" si="40"/>
        <v>41.040499999999994</v>
      </c>
      <c r="N208" s="191">
        <f t="shared" si="40"/>
        <v>28.364699999999999</v>
      </c>
      <c r="O208" s="191">
        <f t="shared" si="40"/>
        <v>6.0261999999999993</v>
      </c>
      <c r="P208" s="191">
        <f t="shared" si="40"/>
        <v>14.234299999999998</v>
      </c>
      <c r="Q208" s="191">
        <f t="shared" si="40"/>
        <v>8.8315000000000001</v>
      </c>
    </row>
    <row r="209" spans="2:17" x14ac:dyDescent="0.25">
      <c r="B209" s="237" t="s">
        <v>376</v>
      </c>
      <c r="C209" s="49">
        <v>167</v>
      </c>
      <c r="D209" s="49">
        <v>132</v>
      </c>
      <c r="E209" s="49">
        <v>6</v>
      </c>
      <c r="F209" s="49">
        <v>18</v>
      </c>
      <c r="G209" s="49">
        <v>12</v>
      </c>
      <c r="H209" s="49">
        <v>31.8</v>
      </c>
      <c r="I209" s="49">
        <v>27.2</v>
      </c>
      <c r="J209" s="49">
        <v>1.9</v>
      </c>
      <c r="K209" s="49">
        <v>16.100000000000001</v>
      </c>
      <c r="L209" s="49">
        <v>7.3</v>
      </c>
      <c r="M209" s="191">
        <f t="shared" si="40"/>
        <v>33.040199999999999</v>
      </c>
      <c r="N209" s="191">
        <f t="shared" si="40"/>
        <v>28.260799999999996</v>
      </c>
      <c r="O209" s="191">
        <f t="shared" si="40"/>
        <v>1.9740999999999997</v>
      </c>
      <c r="P209" s="191">
        <f t="shared" si="40"/>
        <v>16.727900000000002</v>
      </c>
      <c r="Q209" s="191">
        <f t="shared" si="40"/>
        <v>7.5846999999999989</v>
      </c>
    </row>
    <row r="210" spans="2:17" x14ac:dyDescent="0.25">
      <c r="B210" s="237" t="s">
        <v>512</v>
      </c>
      <c r="C210" s="49">
        <v>862</v>
      </c>
      <c r="D210" s="49">
        <v>538</v>
      </c>
      <c r="E210" s="49">
        <v>95</v>
      </c>
      <c r="F210" s="49">
        <v>149</v>
      </c>
      <c r="G210" s="49">
        <v>81</v>
      </c>
      <c r="H210" s="49">
        <v>36</v>
      </c>
      <c r="I210" s="49">
        <v>27.8</v>
      </c>
      <c r="J210" s="49">
        <v>5.4</v>
      </c>
      <c r="K210" s="49">
        <v>11.1</v>
      </c>
      <c r="L210" s="49">
        <v>8.6</v>
      </c>
      <c r="M210" s="191">
        <f t="shared" si="40"/>
        <v>37.403999999999996</v>
      </c>
      <c r="N210" s="191">
        <f t="shared" si="40"/>
        <v>28.8842</v>
      </c>
      <c r="O210" s="191">
        <f t="shared" si="40"/>
        <v>5.6105999999999998</v>
      </c>
      <c r="P210" s="191">
        <f t="shared" si="40"/>
        <v>11.532899999999998</v>
      </c>
      <c r="Q210" s="191">
        <f t="shared" si="40"/>
        <v>8.9353999999999996</v>
      </c>
    </row>
    <row r="211" spans="2:17" x14ac:dyDescent="0.25">
      <c r="B211" s="236" t="s">
        <v>513</v>
      </c>
      <c r="C211" s="62"/>
      <c r="D211" s="62"/>
      <c r="E211" s="62"/>
      <c r="F211" s="62"/>
      <c r="G211" s="62"/>
      <c r="H211" s="62"/>
      <c r="I211" s="62"/>
      <c r="J211" s="62"/>
      <c r="K211" s="62"/>
      <c r="L211" s="62"/>
      <c r="M211" s="62"/>
      <c r="N211" s="62"/>
      <c r="O211" s="62"/>
      <c r="P211" s="62"/>
      <c r="Q211" s="62"/>
    </row>
    <row r="212" spans="2:17" x14ac:dyDescent="0.25">
      <c r="B212" s="237" t="s">
        <v>514</v>
      </c>
      <c r="C212" s="49">
        <v>2210</v>
      </c>
      <c r="D212" s="49">
        <v>1517</v>
      </c>
      <c r="E212" s="49">
        <v>221</v>
      </c>
      <c r="F212" s="49">
        <v>380</v>
      </c>
      <c r="G212" s="49">
        <v>93</v>
      </c>
      <c r="H212" s="49">
        <v>32.700000000000003</v>
      </c>
      <c r="I212" s="49">
        <v>26.2</v>
      </c>
      <c r="J212" s="49">
        <v>4.7</v>
      </c>
      <c r="K212" s="49">
        <v>13.7</v>
      </c>
      <c r="L212" s="49">
        <v>8.6</v>
      </c>
      <c r="M212" s="191">
        <f>H212*Lookups_Conversion_CF_to_kBTU</f>
        <v>33.975299999999997</v>
      </c>
      <c r="N212" s="191">
        <f>I212*Lookups_Conversion_CF_to_kBTU</f>
        <v>27.221799999999998</v>
      </c>
      <c r="O212" s="191">
        <f>J212*Lookups_Conversion_CF_to_kBTU</f>
        <v>4.8833000000000002</v>
      </c>
      <c r="P212" s="191">
        <f>K212*Lookups_Conversion_CF_to_kBTU</f>
        <v>14.234299999999998</v>
      </c>
      <c r="Q212" s="191">
        <f>L212*Lookups_Conversion_CF_to_kBTU</f>
        <v>8.9353999999999996</v>
      </c>
    </row>
    <row r="213" spans="2:17" x14ac:dyDescent="0.25">
      <c r="B213" s="236" t="s">
        <v>379</v>
      </c>
      <c r="C213" s="62"/>
      <c r="D213" s="62"/>
      <c r="E213" s="62"/>
      <c r="F213" s="62"/>
      <c r="G213" s="62"/>
      <c r="H213" s="62"/>
      <c r="I213" s="62"/>
      <c r="J213" s="62"/>
      <c r="K213" s="62"/>
      <c r="L213" s="62"/>
      <c r="M213" s="62"/>
      <c r="N213" s="62"/>
      <c r="O213" s="62"/>
      <c r="P213" s="62"/>
      <c r="Q213" s="62"/>
    </row>
    <row r="214" spans="2:17" x14ac:dyDescent="0.25">
      <c r="B214" s="237" t="s">
        <v>380</v>
      </c>
      <c r="C214" s="49">
        <v>13</v>
      </c>
      <c r="D214" s="49">
        <v>0</v>
      </c>
      <c r="E214" s="49">
        <v>4</v>
      </c>
      <c r="F214" s="49">
        <v>8</v>
      </c>
      <c r="G214" s="49" t="s">
        <v>229</v>
      </c>
      <c r="H214" s="49">
        <v>21.8</v>
      </c>
      <c r="I214" s="49">
        <v>0</v>
      </c>
      <c r="J214" s="49">
        <v>7.8</v>
      </c>
      <c r="K214" s="49">
        <v>46.8</v>
      </c>
      <c r="L214" s="49" t="s">
        <v>229</v>
      </c>
      <c r="M214" s="191">
        <f t="shared" ref="M214:Q217" si="41">H214*Lookups_Conversion_CF_to_kBTU</f>
        <v>22.650199999999998</v>
      </c>
      <c r="N214" s="191">
        <f t="shared" si="41"/>
        <v>0</v>
      </c>
      <c r="O214" s="191">
        <f t="shared" si="41"/>
        <v>8.1041999999999987</v>
      </c>
      <c r="P214" s="191">
        <f t="shared" si="41"/>
        <v>48.625199999999992</v>
      </c>
      <c r="Q214" s="191" t="e">
        <f t="shared" si="41"/>
        <v>#VALUE!</v>
      </c>
    </row>
    <row r="215" spans="2:17" x14ac:dyDescent="0.25">
      <c r="B215" s="237" t="s">
        <v>381</v>
      </c>
      <c r="C215" s="49">
        <v>110</v>
      </c>
      <c r="D215" s="49">
        <v>70</v>
      </c>
      <c r="E215" s="49">
        <v>12</v>
      </c>
      <c r="F215" s="49">
        <v>22</v>
      </c>
      <c r="G215" s="49">
        <v>5</v>
      </c>
      <c r="H215" s="49">
        <v>17.5</v>
      </c>
      <c r="I215" s="49">
        <v>12.6</v>
      </c>
      <c r="J215" s="49">
        <v>3.4</v>
      </c>
      <c r="K215" s="49">
        <v>16.100000000000001</v>
      </c>
      <c r="L215" s="49">
        <v>5.4</v>
      </c>
      <c r="M215" s="191">
        <f t="shared" si="41"/>
        <v>18.182499999999997</v>
      </c>
      <c r="N215" s="191">
        <f t="shared" si="41"/>
        <v>13.091399999999998</v>
      </c>
      <c r="O215" s="191">
        <f t="shared" si="41"/>
        <v>3.5325999999999995</v>
      </c>
      <c r="P215" s="191">
        <f t="shared" si="41"/>
        <v>16.727900000000002</v>
      </c>
      <c r="Q215" s="191">
        <f t="shared" si="41"/>
        <v>5.6105999999999998</v>
      </c>
    </row>
    <row r="216" spans="2:17" x14ac:dyDescent="0.25">
      <c r="B216" s="237" t="s">
        <v>382</v>
      </c>
      <c r="C216" s="49">
        <v>517</v>
      </c>
      <c r="D216" s="49">
        <v>307</v>
      </c>
      <c r="E216" s="49">
        <v>60</v>
      </c>
      <c r="F216" s="49">
        <v>122</v>
      </c>
      <c r="G216" s="49">
        <v>29</v>
      </c>
      <c r="H216" s="49">
        <v>31.4</v>
      </c>
      <c r="I216" s="49">
        <v>22.5</v>
      </c>
      <c r="J216" s="49">
        <v>5.4</v>
      </c>
      <c r="K216" s="49">
        <v>16</v>
      </c>
      <c r="L216" s="49">
        <v>9.9</v>
      </c>
      <c r="M216" s="191">
        <f t="shared" si="41"/>
        <v>32.624599999999994</v>
      </c>
      <c r="N216" s="191">
        <f t="shared" si="41"/>
        <v>23.377499999999998</v>
      </c>
      <c r="O216" s="191">
        <f t="shared" si="41"/>
        <v>5.6105999999999998</v>
      </c>
      <c r="P216" s="191">
        <f t="shared" si="41"/>
        <v>16.623999999999999</v>
      </c>
      <c r="Q216" s="191">
        <f t="shared" si="41"/>
        <v>10.286099999999999</v>
      </c>
    </row>
    <row r="217" spans="2:17" x14ac:dyDescent="0.25">
      <c r="B217" s="237">
        <v>1</v>
      </c>
      <c r="C217" s="49">
        <v>1576</v>
      </c>
      <c r="D217" s="49">
        <v>1143</v>
      </c>
      <c r="E217" s="49">
        <v>145</v>
      </c>
      <c r="F217" s="49">
        <v>227</v>
      </c>
      <c r="G217" s="49">
        <v>61</v>
      </c>
      <c r="H217" s="49">
        <v>35.5</v>
      </c>
      <c r="I217" s="49">
        <v>29.5</v>
      </c>
      <c r="J217" s="49">
        <v>4.5999999999999996</v>
      </c>
      <c r="K217" s="49">
        <v>12.3</v>
      </c>
      <c r="L217" s="49">
        <v>8.6999999999999993</v>
      </c>
      <c r="M217" s="191">
        <f t="shared" si="41"/>
        <v>36.884499999999996</v>
      </c>
      <c r="N217" s="191">
        <f t="shared" si="41"/>
        <v>30.650499999999997</v>
      </c>
      <c r="O217" s="191">
        <f t="shared" si="41"/>
        <v>4.779399999999999</v>
      </c>
      <c r="P217" s="191">
        <f t="shared" si="41"/>
        <v>12.7797</v>
      </c>
      <c r="Q217" s="191">
        <f t="shared" si="41"/>
        <v>9.039299999999999</v>
      </c>
    </row>
    <row r="218" spans="2:17" x14ac:dyDescent="0.25">
      <c r="B218" s="236" t="s">
        <v>384</v>
      </c>
      <c r="C218" s="62"/>
      <c r="D218" s="62"/>
      <c r="E218" s="62"/>
      <c r="F218" s="62"/>
      <c r="G218" s="62"/>
      <c r="H218" s="62"/>
      <c r="I218" s="62"/>
      <c r="J218" s="62"/>
      <c r="K218" s="62"/>
      <c r="L218" s="62"/>
      <c r="M218" s="62"/>
      <c r="N218" s="62"/>
      <c r="O218" s="62"/>
      <c r="P218" s="62"/>
      <c r="Q218" s="62"/>
    </row>
    <row r="219" spans="2:17" x14ac:dyDescent="0.25">
      <c r="B219" s="237" t="s">
        <v>385</v>
      </c>
      <c r="C219" s="49">
        <v>74</v>
      </c>
      <c r="D219" s="49">
        <v>70</v>
      </c>
      <c r="E219" s="49">
        <v>1</v>
      </c>
      <c r="F219" s="49" t="s">
        <v>229</v>
      </c>
      <c r="G219" s="49" t="s">
        <v>229</v>
      </c>
      <c r="H219" s="49">
        <v>29.5</v>
      </c>
      <c r="I219" s="49">
        <v>29.5</v>
      </c>
      <c r="J219" s="49">
        <v>1.1000000000000001</v>
      </c>
      <c r="K219" s="49" t="s">
        <v>229</v>
      </c>
      <c r="L219" s="49" t="s">
        <v>229</v>
      </c>
      <c r="M219" s="191">
        <f t="shared" ref="M219:Q222" si="42">H219*Lookups_Conversion_CF_to_kBTU</f>
        <v>30.650499999999997</v>
      </c>
      <c r="N219" s="191">
        <f t="shared" si="42"/>
        <v>30.650499999999997</v>
      </c>
      <c r="O219" s="191">
        <f t="shared" si="42"/>
        <v>1.1429</v>
      </c>
      <c r="P219" s="191" t="e">
        <f t="shared" si="42"/>
        <v>#VALUE!</v>
      </c>
      <c r="Q219" s="191" t="e">
        <f t="shared" si="42"/>
        <v>#VALUE!</v>
      </c>
    </row>
    <row r="220" spans="2:17" x14ac:dyDescent="0.25">
      <c r="B220" s="237" t="s">
        <v>381</v>
      </c>
      <c r="C220" s="49">
        <v>344</v>
      </c>
      <c r="D220" s="49">
        <v>292</v>
      </c>
      <c r="E220" s="49">
        <v>18</v>
      </c>
      <c r="F220" s="49">
        <v>22</v>
      </c>
      <c r="G220" s="49">
        <v>12</v>
      </c>
      <c r="H220" s="49">
        <v>25.7</v>
      </c>
      <c r="I220" s="49">
        <v>24.3</v>
      </c>
      <c r="J220" s="49">
        <v>2.2999999999999998</v>
      </c>
      <c r="K220" s="49">
        <v>8.8000000000000007</v>
      </c>
      <c r="L220" s="49">
        <v>6.7</v>
      </c>
      <c r="M220" s="191">
        <f t="shared" si="42"/>
        <v>26.702299999999997</v>
      </c>
      <c r="N220" s="191">
        <f t="shared" si="42"/>
        <v>25.247699999999998</v>
      </c>
      <c r="O220" s="191">
        <f t="shared" si="42"/>
        <v>2.3896999999999995</v>
      </c>
      <c r="P220" s="191">
        <f t="shared" si="42"/>
        <v>9.1432000000000002</v>
      </c>
      <c r="Q220" s="191">
        <f t="shared" si="42"/>
        <v>6.9612999999999996</v>
      </c>
    </row>
    <row r="221" spans="2:17" x14ac:dyDescent="0.25">
      <c r="B221" s="237" t="s">
        <v>382</v>
      </c>
      <c r="C221" s="49">
        <v>708</v>
      </c>
      <c r="D221" s="49">
        <v>459</v>
      </c>
      <c r="E221" s="49">
        <v>75</v>
      </c>
      <c r="F221" s="49">
        <v>136</v>
      </c>
      <c r="G221" s="49">
        <v>38</v>
      </c>
      <c r="H221" s="49">
        <v>33.4</v>
      </c>
      <c r="I221" s="49">
        <v>25.8</v>
      </c>
      <c r="J221" s="49">
        <v>5.0999999999999996</v>
      </c>
      <c r="K221" s="49">
        <v>12.6</v>
      </c>
      <c r="L221" s="49">
        <v>9.3000000000000007</v>
      </c>
      <c r="M221" s="191">
        <f t="shared" si="42"/>
        <v>34.702599999999997</v>
      </c>
      <c r="N221" s="191">
        <f t="shared" si="42"/>
        <v>26.8062</v>
      </c>
      <c r="O221" s="191">
        <f t="shared" si="42"/>
        <v>5.2988999999999988</v>
      </c>
      <c r="P221" s="191">
        <f t="shared" si="42"/>
        <v>13.091399999999998</v>
      </c>
      <c r="Q221" s="191">
        <f t="shared" si="42"/>
        <v>9.6626999999999992</v>
      </c>
    </row>
    <row r="222" spans="2:17" x14ac:dyDescent="0.25">
      <c r="B222" s="237">
        <v>1</v>
      </c>
      <c r="C222" s="49">
        <v>1090</v>
      </c>
      <c r="D222" s="49">
        <v>700</v>
      </c>
      <c r="E222" s="49">
        <v>127</v>
      </c>
      <c r="F222" s="49">
        <v>219</v>
      </c>
      <c r="G222" s="49">
        <v>44</v>
      </c>
      <c r="H222" s="49">
        <v>35.6</v>
      </c>
      <c r="I222" s="49">
        <v>27</v>
      </c>
      <c r="J222" s="49">
        <v>5.6</v>
      </c>
      <c r="K222" s="49">
        <v>15.5</v>
      </c>
      <c r="L222" s="49">
        <v>9.1999999999999993</v>
      </c>
      <c r="M222" s="191">
        <f t="shared" si="42"/>
        <v>36.988399999999999</v>
      </c>
      <c r="N222" s="191">
        <f t="shared" si="42"/>
        <v>28.052999999999997</v>
      </c>
      <c r="O222" s="191">
        <f t="shared" si="42"/>
        <v>5.8183999999999996</v>
      </c>
      <c r="P222" s="191">
        <f t="shared" si="42"/>
        <v>16.104499999999998</v>
      </c>
      <c r="Q222" s="191">
        <f t="shared" si="42"/>
        <v>9.558799999999998</v>
      </c>
    </row>
    <row r="223" spans="2:17" x14ac:dyDescent="0.25">
      <c r="B223" s="236" t="s">
        <v>515</v>
      </c>
      <c r="C223" s="62"/>
      <c r="D223" s="62"/>
      <c r="E223" s="62"/>
      <c r="F223" s="62"/>
      <c r="G223" s="62"/>
      <c r="H223" s="62"/>
      <c r="I223" s="62"/>
      <c r="J223" s="62"/>
      <c r="K223" s="62"/>
      <c r="L223" s="62"/>
      <c r="M223" s="62"/>
      <c r="N223" s="62"/>
      <c r="O223" s="62"/>
      <c r="P223" s="62"/>
      <c r="Q223" s="62"/>
    </row>
    <row r="224" spans="2:17" x14ac:dyDescent="0.25">
      <c r="B224" s="236" t="s">
        <v>503</v>
      </c>
      <c r="C224" s="62"/>
      <c r="D224" s="62"/>
      <c r="E224" s="62"/>
      <c r="F224" s="62"/>
      <c r="G224" s="62"/>
      <c r="H224" s="62"/>
      <c r="I224" s="62"/>
      <c r="J224" s="62"/>
      <c r="K224" s="62"/>
      <c r="L224" s="62"/>
      <c r="M224" s="62"/>
      <c r="N224" s="62"/>
      <c r="O224" s="62"/>
      <c r="P224" s="62"/>
      <c r="Q224" s="62"/>
    </row>
    <row r="225" spans="2:17" x14ac:dyDescent="0.25">
      <c r="B225" s="237" t="s">
        <v>394</v>
      </c>
      <c r="C225" s="49">
        <v>1304</v>
      </c>
      <c r="D225" s="49">
        <v>843</v>
      </c>
      <c r="E225" s="49">
        <v>139</v>
      </c>
      <c r="F225" s="49">
        <v>272</v>
      </c>
      <c r="G225" s="49">
        <v>50</v>
      </c>
      <c r="H225" s="49">
        <v>33.6</v>
      </c>
      <c r="I225" s="49">
        <v>24.3</v>
      </c>
      <c r="J225" s="49">
        <v>5.0999999999999996</v>
      </c>
      <c r="K225" s="49">
        <v>16.600000000000001</v>
      </c>
      <c r="L225" s="49">
        <v>8</v>
      </c>
      <c r="M225" s="191">
        <f t="shared" ref="M225:Q232" si="43">H225*Lookups_Conversion_CF_to_kBTU</f>
        <v>34.910399999999996</v>
      </c>
      <c r="N225" s="191">
        <f t="shared" si="43"/>
        <v>25.247699999999998</v>
      </c>
      <c r="O225" s="191">
        <f t="shared" si="43"/>
        <v>5.2988999999999988</v>
      </c>
      <c r="P225" s="191">
        <f t="shared" si="43"/>
        <v>17.247399999999999</v>
      </c>
      <c r="Q225" s="191">
        <f t="shared" si="43"/>
        <v>8.3119999999999994</v>
      </c>
    </row>
    <row r="226" spans="2:17" x14ac:dyDescent="0.25">
      <c r="B226" s="237" t="s">
        <v>395</v>
      </c>
      <c r="C226" s="49">
        <v>502</v>
      </c>
      <c r="D226" s="49">
        <v>358</v>
      </c>
      <c r="E226" s="49">
        <v>44</v>
      </c>
      <c r="F226" s="49">
        <v>83</v>
      </c>
      <c r="G226" s="49">
        <v>16</v>
      </c>
      <c r="H226" s="49">
        <v>36.200000000000003</v>
      </c>
      <c r="I226" s="49">
        <v>26.9</v>
      </c>
      <c r="J226" s="49">
        <v>4.8</v>
      </c>
      <c r="K226" s="49">
        <v>19.2</v>
      </c>
      <c r="L226" s="49">
        <v>9.1999999999999993</v>
      </c>
      <c r="M226" s="191">
        <f t="shared" si="43"/>
        <v>37.611800000000002</v>
      </c>
      <c r="N226" s="191">
        <f t="shared" si="43"/>
        <v>27.949099999999998</v>
      </c>
      <c r="O226" s="191">
        <f t="shared" si="43"/>
        <v>4.9871999999999996</v>
      </c>
      <c r="P226" s="191">
        <f t="shared" si="43"/>
        <v>19.948799999999999</v>
      </c>
      <c r="Q226" s="191">
        <f t="shared" si="43"/>
        <v>9.558799999999998</v>
      </c>
    </row>
    <row r="227" spans="2:17" x14ac:dyDescent="0.25">
      <c r="B227" s="237" t="s">
        <v>396</v>
      </c>
      <c r="C227" s="49">
        <v>564</v>
      </c>
      <c r="D227" s="49">
        <v>370</v>
      </c>
      <c r="E227" s="49">
        <v>68</v>
      </c>
      <c r="F227" s="49">
        <v>104</v>
      </c>
      <c r="G227" s="49">
        <v>22</v>
      </c>
      <c r="H227" s="49">
        <v>34.6</v>
      </c>
      <c r="I227" s="49">
        <v>25.7</v>
      </c>
      <c r="J227" s="49">
        <v>6</v>
      </c>
      <c r="K227" s="49">
        <v>16.2</v>
      </c>
      <c r="L227" s="49">
        <v>8.4</v>
      </c>
      <c r="M227" s="191">
        <f t="shared" si="43"/>
        <v>35.949399999999997</v>
      </c>
      <c r="N227" s="191">
        <f t="shared" si="43"/>
        <v>26.702299999999997</v>
      </c>
      <c r="O227" s="191">
        <f t="shared" si="43"/>
        <v>6.234</v>
      </c>
      <c r="P227" s="191">
        <f t="shared" si="43"/>
        <v>16.831799999999998</v>
      </c>
      <c r="Q227" s="191">
        <f t="shared" si="43"/>
        <v>8.7275999999999989</v>
      </c>
    </row>
    <row r="228" spans="2:17" x14ac:dyDescent="0.25">
      <c r="B228" s="237" t="s">
        <v>397</v>
      </c>
      <c r="C228" s="49">
        <v>1013</v>
      </c>
      <c r="D228" s="49">
        <v>746</v>
      </c>
      <c r="E228" s="49">
        <v>94</v>
      </c>
      <c r="F228" s="49">
        <v>141</v>
      </c>
      <c r="G228" s="49">
        <v>32</v>
      </c>
      <c r="H228" s="49">
        <v>39.5</v>
      </c>
      <c r="I228" s="49">
        <v>30.4</v>
      </c>
      <c r="J228" s="49">
        <v>4.5</v>
      </c>
      <c r="K228" s="49">
        <v>9.6999999999999993</v>
      </c>
      <c r="L228" s="49">
        <v>6.6</v>
      </c>
      <c r="M228" s="191">
        <f t="shared" si="43"/>
        <v>41.040499999999994</v>
      </c>
      <c r="N228" s="191">
        <f t="shared" si="43"/>
        <v>31.585599999999996</v>
      </c>
      <c r="O228" s="191">
        <f t="shared" si="43"/>
        <v>4.6754999999999995</v>
      </c>
      <c r="P228" s="191">
        <f t="shared" si="43"/>
        <v>10.078299999999999</v>
      </c>
      <c r="Q228" s="191">
        <f t="shared" si="43"/>
        <v>6.8573999999999993</v>
      </c>
    </row>
    <row r="229" spans="2:17" x14ac:dyDescent="0.25">
      <c r="B229" s="237" t="s">
        <v>398</v>
      </c>
      <c r="C229" s="49">
        <v>360</v>
      </c>
      <c r="D229" s="49">
        <v>189</v>
      </c>
      <c r="E229" s="49">
        <v>58</v>
      </c>
      <c r="F229" s="49">
        <v>95</v>
      </c>
      <c r="G229" s="49">
        <v>18</v>
      </c>
      <c r="H229" s="49">
        <v>32.700000000000003</v>
      </c>
      <c r="I229" s="49">
        <v>19.8</v>
      </c>
      <c r="J229" s="49">
        <v>6.9</v>
      </c>
      <c r="K229" s="49">
        <v>16</v>
      </c>
      <c r="L229" s="49">
        <v>7.5</v>
      </c>
      <c r="M229" s="191">
        <f t="shared" si="43"/>
        <v>33.975299999999997</v>
      </c>
      <c r="N229" s="191">
        <f t="shared" si="43"/>
        <v>20.572199999999999</v>
      </c>
      <c r="O229" s="191">
        <f t="shared" si="43"/>
        <v>7.1691000000000003</v>
      </c>
      <c r="P229" s="191">
        <f t="shared" si="43"/>
        <v>16.623999999999999</v>
      </c>
      <c r="Q229" s="191">
        <f t="shared" si="43"/>
        <v>7.7924999999999995</v>
      </c>
    </row>
    <row r="230" spans="2:17" x14ac:dyDescent="0.25">
      <c r="B230" s="237" t="s">
        <v>352</v>
      </c>
      <c r="C230" s="49">
        <v>81</v>
      </c>
      <c r="D230" s="49">
        <v>11</v>
      </c>
      <c r="E230" s="49">
        <v>15</v>
      </c>
      <c r="F230" s="49">
        <v>29</v>
      </c>
      <c r="G230" s="49">
        <v>26</v>
      </c>
      <c r="H230" s="49">
        <v>19.3</v>
      </c>
      <c r="I230" s="49">
        <v>8.1</v>
      </c>
      <c r="J230" s="49">
        <v>7.8</v>
      </c>
      <c r="K230" s="49">
        <v>13.1</v>
      </c>
      <c r="L230" s="49">
        <v>16.3</v>
      </c>
      <c r="M230" s="191">
        <f t="shared" si="43"/>
        <v>20.052699999999998</v>
      </c>
      <c r="N230" s="191">
        <f t="shared" si="43"/>
        <v>8.4158999999999988</v>
      </c>
      <c r="O230" s="191">
        <f t="shared" si="43"/>
        <v>8.1041999999999987</v>
      </c>
      <c r="P230" s="191">
        <f t="shared" si="43"/>
        <v>13.610899999999999</v>
      </c>
      <c r="Q230" s="191">
        <f t="shared" si="43"/>
        <v>16.935700000000001</v>
      </c>
    </row>
    <row r="231" spans="2:17" x14ac:dyDescent="0.25">
      <c r="B231" s="237" t="s">
        <v>399</v>
      </c>
      <c r="C231" s="49">
        <v>164</v>
      </c>
      <c r="D231" s="49">
        <v>85</v>
      </c>
      <c r="E231" s="49">
        <v>21</v>
      </c>
      <c r="F231" s="49">
        <v>47</v>
      </c>
      <c r="G231" s="49">
        <v>11</v>
      </c>
      <c r="H231" s="49">
        <v>32</v>
      </c>
      <c r="I231" s="49">
        <v>21.7</v>
      </c>
      <c r="J231" s="49">
        <v>5.7</v>
      </c>
      <c r="K231" s="49">
        <v>13.7</v>
      </c>
      <c r="L231" s="49">
        <v>8.8000000000000007</v>
      </c>
      <c r="M231" s="191">
        <f t="shared" si="43"/>
        <v>33.247999999999998</v>
      </c>
      <c r="N231" s="191">
        <f t="shared" si="43"/>
        <v>22.546299999999999</v>
      </c>
      <c r="O231" s="191">
        <f t="shared" si="43"/>
        <v>5.9222999999999999</v>
      </c>
      <c r="P231" s="191">
        <f t="shared" si="43"/>
        <v>14.234299999999998</v>
      </c>
      <c r="Q231" s="191">
        <f t="shared" si="43"/>
        <v>9.1432000000000002</v>
      </c>
    </row>
    <row r="232" spans="2:17" x14ac:dyDescent="0.25">
      <c r="B232" s="237" t="s">
        <v>89</v>
      </c>
      <c r="C232" s="49">
        <v>35</v>
      </c>
      <c r="D232" s="49">
        <v>15</v>
      </c>
      <c r="E232" s="49">
        <v>4</v>
      </c>
      <c r="F232" s="49">
        <v>16</v>
      </c>
      <c r="G232" s="49" t="s">
        <v>229</v>
      </c>
      <c r="H232" s="49">
        <v>54.7</v>
      </c>
      <c r="I232" s="49">
        <v>24.2</v>
      </c>
      <c r="J232" s="49">
        <v>6.2</v>
      </c>
      <c r="K232" s="49">
        <v>27.9</v>
      </c>
      <c r="L232" s="49" t="s">
        <v>229</v>
      </c>
      <c r="M232" s="191">
        <f t="shared" si="43"/>
        <v>56.833300000000001</v>
      </c>
      <c r="N232" s="191">
        <f t="shared" si="43"/>
        <v>25.143799999999999</v>
      </c>
      <c r="O232" s="191">
        <f t="shared" si="43"/>
        <v>6.4417999999999997</v>
      </c>
      <c r="P232" s="191">
        <f t="shared" si="43"/>
        <v>28.988099999999996</v>
      </c>
      <c r="Q232" s="191" t="e">
        <f t="shared" si="43"/>
        <v>#VALUE!</v>
      </c>
    </row>
    <row r="233" spans="2:17" x14ac:dyDescent="0.25">
      <c r="B233" s="236" t="s">
        <v>516</v>
      </c>
      <c r="C233" s="62"/>
      <c r="D233" s="62"/>
      <c r="E233" s="62"/>
      <c r="F233" s="62"/>
      <c r="G233" s="62"/>
      <c r="H233" s="62"/>
      <c r="I233" s="62"/>
      <c r="J233" s="62"/>
      <c r="K233" s="62"/>
      <c r="L233" s="62"/>
      <c r="M233" s="62"/>
      <c r="N233" s="62"/>
      <c r="O233" s="62"/>
      <c r="P233" s="62"/>
      <c r="Q233" s="62"/>
    </row>
    <row r="234" spans="2:17" x14ac:dyDescent="0.25">
      <c r="B234" s="236" t="s">
        <v>503</v>
      </c>
      <c r="C234" s="62"/>
      <c r="D234" s="62"/>
      <c r="E234" s="62"/>
      <c r="F234" s="62"/>
      <c r="G234" s="62"/>
      <c r="H234" s="62"/>
      <c r="I234" s="62"/>
      <c r="J234" s="62"/>
      <c r="K234" s="62"/>
      <c r="L234" s="62"/>
      <c r="M234" s="62"/>
      <c r="N234" s="62"/>
      <c r="O234" s="62"/>
      <c r="P234" s="62"/>
      <c r="Q234" s="62"/>
    </row>
    <row r="235" spans="2:17" x14ac:dyDescent="0.25">
      <c r="B235" s="237" t="s">
        <v>517</v>
      </c>
      <c r="C235" s="49">
        <v>1510</v>
      </c>
      <c r="D235" s="49">
        <v>1016</v>
      </c>
      <c r="E235" s="49">
        <v>149</v>
      </c>
      <c r="F235" s="49">
        <v>288</v>
      </c>
      <c r="G235" s="49">
        <v>57</v>
      </c>
      <c r="H235" s="49">
        <v>34.1</v>
      </c>
      <c r="I235" s="49">
        <v>25.9</v>
      </c>
      <c r="J235" s="49">
        <v>4.8</v>
      </c>
      <c r="K235" s="49">
        <v>15.2</v>
      </c>
      <c r="L235" s="49">
        <v>8.1999999999999993</v>
      </c>
      <c r="M235" s="191">
        <f t="shared" ref="M235:Q236" si="44">H235*Lookups_Conversion_CF_to_kBTU</f>
        <v>35.429899999999996</v>
      </c>
      <c r="N235" s="191">
        <f t="shared" si="44"/>
        <v>26.910099999999996</v>
      </c>
      <c r="O235" s="191">
        <f t="shared" si="44"/>
        <v>4.9871999999999996</v>
      </c>
      <c r="P235" s="191">
        <f t="shared" si="44"/>
        <v>15.792799999999998</v>
      </c>
      <c r="Q235" s="191">
        <f t="shared" si="44"/>
        <v>8.5197999999999983</v>
      </c>
    </row>
    <row r="236" spans="2:17" x14ac:dyDescent="0.25">
      <c r="B236" s="237" t="s">
        <v>518</v>
      </c>
      <c r="C236" s="49">
        <v>504</v>
      </c>
      <c r="D236" s="49">
        <v>361</v>
      </c>
      <c r="E236" s="49">
        <v>48</v>
      </c>
      <c r="F236" s="49">
        <v>77</v>
      </c>
      <c r="G236" s="49">
        <v>18</v>
      </c>
      <c r="H236" s="49">
        <v>35.799999999999997</v>
      </c>
      <c r="I236" s="49">
        <v>28.6</v>
      </c>
      <c r="J236" s="49">
        <v>4.7</v>
      </c>
      <c r="K236" s="49">
        <v>13.7</v>
      </c>
      <c r="L236" s="49">
        <v>8.1</v>
      </c>
      <c r="M236" s="191">
        <f t="shared" si="44"/>
        <v>37.196199999999997</v>
      </c>
      <c r="N236" s="191">
        <f t="shared" si="44"/>
        <v>29.715399999999999</v>
      </c>
      <c r="O236" s="191">
        <f t="shared" si="44"/>
        <v>4.8833000000000002</v>
      </c>
      <c r="P236" s="191">
        <f t="shared" si="44"/>
        <v>14.234299999999998</v>
      </c>
      <c r="Q236" s="191">
        <f t="shared" si="44"/>
        <v>8.4158999999999988</v>
      </c>
    </row>
    <row r="237" spans="2:17" x14ac:dyDescent="0.25">
      <c r="B237" s="237" t="s">
        <v>519</v>
      </c>
      <c r="C237" s="62"/>
      <c r="D237" s="62"/>
      <c r="E237" s="62"/>
      <c r="F237" s="62"/>
      <c r="G237" s="62"/>
      <c r="H237" s="62"/>
      <c r="I237" s="62"/>
      <c r="J237" s="62"/>
      <c r="K237" s="62"/>
      <c r="L237" s="62"/>
      <c r="M237" s="62"/>
      <c r="N237" s="62"/>
      <c r="O237" s="62"/>
      <c r="P237" s="62"/>
      <c r="Q237" s="62"/>
    </row>
    <row r="238" spans="2:17" x14ac:dyDescent="0.25">
      <c r="B238" s="237" t="s">
        <v>402</v>
      </c>
      <c r="C238" s="49">
        <v>387</v>
      </c>
      <c r="D238" s="49">
        <v>234</v>
      </c>
      <c r="E238" s="49">
        <v>64</v>
      </c>
      <c r="F238" s="49">
        <v>71</v>
      </c>
      <c r="G238" s="49">
        <v>18</v>
      </c>
      <c r="H238" s="49">
        <v>37.299999999999997</v>
      </c>
      <c r="I238" s="49">
        <v>28</v>
      </c>
      <c r="J238" s="49">
        <v>8.1</v>
      </c>
      <c r="K238" s="49">
        <v>14.1</v>
      </c>
      <c r="L238" s="49">
        <v>10.3</v>
      </c>
      <c r="M238" s="191">
        <f t="shared" ref="M238:Q243" si="45">H238*Lookups_Conversion_CF_to_kBTU</f>
        <v>38.754699999999993</v>
      </c>
      <c r="N238" s="191">
        <f t="shared" si="45"/>
        <v>29.091999999999999</v>
      </c>
      <c r="O238" s="191">
        <f t="shared" si="45"/>
        <v>8.4158999999999988</v>
      </c>
      <c r="P238" s="191">
        <f t="shared" si="45"/>
        <v>14.649899999999999</v>
      </c>
      <c r="Q238" s="191">
        <f t="shared" si="45"/>
        <v>10.701700000000001</v>
      </c>
    </row>
    <row r="239" spans="2:17" x14ac:dyDescent="0.25">
      <c r="B239" s="237" t="s">
        <v>403</v>
      </c>
      <c r="C239" s="49">
        <v>536</v>
      </c>
      <c r="D239" s="49">
        <v>367</v>
      </c>
      <c r="E239" s="49">
        <v>53</v>
      </c>
      <c r="F239" s="49">
        <v>88</v>
      </c>
      <c r="G239" s="49">
        <v>27</v>
      </c>
      <c r="H239" s="49">
        <v>36</v>
      </c>
      <c r="I239" s="49">
        <v>28.7</v>
      </c>
      <c r="J239" s="49">
        <v>4.5999999999999996</v>
      </c>
      <c r="K239" s="49">
        <v>9</v>
      </c>
      <c r="L239" s="49">
        <v>8.1999999999999993</v>
      </c>
      <c r="M239" s="191">
        <f t="shared" si="45"/>
        <v>37.403999999999996</v>
      </c>
      <c r="N239" s="191">
        <f t="shared" si="45"/>
        <v>29.819299999999998</v>
      </c>
      <c r="O239" s="191">
        <f t="shared" si="45"/>
        <v>4.779399999999999</v>
      </c>
      <c r="P239" s="191">
        <f t="shared" si="45"/>
        <v>9.3509999999999991</v>
      </c>
      <c r="Q239" s="191">
        <f t="shared" si="45"/>
        <v>8.5197999999999983</v>
      </c>
    </row>
    <row r="240" spans="2:17" x14ac:dyDescent="0.25">
      <c r="B240" s="237" t="s">
        <v>398</v>
      </c>
      <c r="C240" s="49">
        <v>251</v>
      </c>
      <c r="D240" s="49">
        <v>141</v>
      </c>
      <c r="E240" s="49">
        <v>38</v>
      </c>
      <c r="F240" s="49">
        <v>59</v>
      </c>
      <c r="G240" s="49">
        <v>13</v>
      </c>
      <c r="H240" s="49">
        <v>31.7</v>
      </c>
      <c r="I240" s="49">
        <v>21.7</v>
      </c>
      <c r="J240" s="49">
        <v>6.5</v>
      </c>
      <c r="K240" s="49">
        <v>14.1</v>
      </c>
      <c r="L240" s="49">
        <v>8.5</v>
      </c>
      <c r="M240" s="191">
        <f t="shared" si="45"/>
        <v>32.936299999999996</v>
      </c>
      <c r="N240" s="191">
        <f t="shared" si="45"/>
        <v>22.546299999999999</v>
      </c>
      <c r="O240" s="191">
        <f t="shared" si="45"/>
        <v>6.7534999999999998</v>
      </c>
      <c r="P240" s="191">
        <f t="shared" si="45"/>
        <v>14.649899999999999</v>
      </c>
      <c r="Q240" s="191">
        <f t="shared" si="45"/>
        <v>8.8315000000000001</v>
      </c>
    </row>
    <row r="241" spans="2:17" x14ac:dyDescent="0.25">
      <c r="B241" s="237" t="s">
        <v>353</v>
      </c>
      <c r="C241" s="49">
        <v>62</v>
      </c>
      <c r="D241" s="49">
        <v>21</v>
      </c>
      <c r="E241" s="49">
        <v>10</v>
      </c>
      <c r="F241" s="49">
        <v>19</v>
      </c>
      <c r="G241" s="49">
        <v>11</v>
      </c>
      <c r="H241" s="49">
        <v>21.1</v>
      </c>
      <c r="I241" s="49">
        <v>17.7</v>
      </c>
      <c r="J241" s="49">
        <v>6.1</v>
      </c>
      <c r="K241" s="49">
        <v>14.2</v>
      </c>
      <c r="L241" s="49">
        <v>14</v>
      </c>
      <c r="M241" s="191">
        <f t="shared" si="45"/>
        <v>21.922899999999998</v>
      </c>
      <c r="N241" s="191">
        <f t="shared" si="45"/>
        <v>18.390299999999996</v>
      </c>
      <c r="O241" s="191">
        <f t="shared" si="45"/>
        <v>6.3378999999999994</v>
      </c>
      <c r="P241" s="191">
        <f t="shared" si="45"/>
        <v>14.753799999999998</v>
      </c>
      <c r="Q241" s="191">
        <f t="shared" si="45"/>
        <v>14.545999999999999</v>
      </c>
    </row>
    <row r="242" spans="2:17" x14ac:dyDescent="0.25">
      <c r="B242" s="237" t="s">
        <v>404</v>
      </c>
      <c r="C242" s="49">
        <v>64</v>
      </c>
      <c r="D242" s="49">
        <v>35</v>
      </c>
      <c r="E242" s="49">
        <v>8</v>
      </c>
      <c r="F242" s="49">
        <v>20</v>
      </c>
      <c r="G242" s="49">
        <v>1</v>
      </c>
      <c r="H242" s="49">
        <v>39.9</v>
      </c>
      <c r="I242" s="49">
        <v>24.7</v>
      </c>
      <c r="J242" s="49">
        <v>6.2</v>
      </c>
      <c r="K242" s="49">
        <v>21.1</v>
      </c>
      <c r="L242" s="49">
        <v>5.3</v>
      </c>
      <c r="M242" s="191">
        <f t="shared" si="45"/>
        <v>41.456099999999992</v>
      </c>
      <c r="N242" s="191">
        <f t="shared" si="45"/>
        <v>25.663299999999996</v>
      </c>
      <c r="O242" s="191">
        <f t="shared" si="45"/>
        <v>6.4417999999999997</v>
      </c>
      <c r="P242" s="191">
        <f t="shared" si="45"/>
        <v>21.922899999999998</v>
      </c>
      <c r="Q242" s="191">
        <f t="shared" si="45"/>
        <v>5.5066999999999995</v>
      </c>
    </row>
    <row r="243" spans="2:17" x14ac:dyDescent="0.25">
      <c r="B243" s="237" t="s">
        <v>89</v>
      </c>
      <c r="C243" s="49" t="s">
        <v>229</v>
      </c>
      <c r="D243" s="49" t="s">
        <v>229</v>
      </c>
      <c r="E243" s="49" t="s">
        <v>229</v>
      </c>
      <c r="F243" s="49" t="s">
        <v>229</v>
      </c>
      <c r="G243" s="49" t="s">
        <v>229</v>
      </c>
      <c r="H243" s="49" t="s">
        <v>229</v>
      </c>
      <c r="I243" s="49" t="s">
        <v>229</v>
      </c>
      <c r="J243" s="49" t="s">
        <v>229</v>
      </c>
      <c r="K243" s="49" t="s">
        <v>229</v>
      </c>
      <c r="L243" s="49" t="s">
        <v>229</v>
      </c>
      <c r="M243" s="191" t="e">
        <f t="shared" si="45"/>
        <v>#VALUE!</v>
      </c>
      <c r="N243" s="191" t="e">
        <f t="shared" si="45"/>
        <v>#VALUE!</v>
      </c>
      <c r="O243" s="191" t="e">
        <f t="shared" si="45"/>
        <v>#VALUE!</v>
      </c>
      <c r="P243" s="191" t="e">
        <f t="shared" si="45"/>
        <v>#VALUE!</v>
      </c>
      <c r="Q243" s="191" t="e">
        <f t="shared" si="45"/>
        <v>#VALUE!</v>
      </c>
    </row>
    <row r="244" spans="2:17" x14ac:dyDescent="0.25">
      <c r="B244" s="236" t="s">
        <v>520</v>
      </c>
      <c r="C244" s="62"/>
      <c r="D244" s="62"/>
      <c r="E244" s="62"/>
      <c r="F244" s="62"/>
      <c r="G244" s="62"/>
      <c r="H244" s="62"/>
      <c r="I244" s="62"/>
      <c r="J244" s="62"/>
      <c r="K244" s="62"/>
      <c r="L244" s="62"/>
      <c r="M244" s="62"/>
      <c r="N244" s="62"/>
      <c r="O244" s="62"/>
      <c r="P244" s="62"/>
      <c r="Q244" s="62"/>
    </row>
    <row r="245" spans="2:17" x14ac:dyDescent="0.25">
      <c r="B245" s="236" t="s">
        <v>503</v>
      </c>
      <c r="C245" s="62"/>
      <c r="D245" s="62"/>
      <c r="E245" s="62"/>
      <c r="F245" s="62"/>
      <c r="G245" s="62"/>
      <c r="H245" s="62"/>
      <c r="I245" s="62"/>
      <c r="J245" s="62"/>
      <c r="K245" s="62"/>
      <c r="L245" s="62"/>
      <c r="M245" s="62"/>
      <c r="N245" s="62"/>
      <c r="O245" s="62"/>
      <c r="P245" s="62"/>
      <c r="Q245" s="62"/>
    </row>
    <row r="246" spans="2:17" x14ac:dyDescent="0.25">
      <c r="B246" s="237" t="s">
        <v>406</v>
      </c>
      <c r="C246" s="49">
        <v>989</v>
      </c>
      <c r="D246" s="49">
        <v>672</v>
      </c>
      <c r="E246" s="49">
        <v>100</v>
      </c>
      <c r="F246" s="49">
        <v>168</v>
      </c>
      <c r="G246" s="49">
        <v>49</v>
      </c>
      <c r="H246" s="49">
        <v>35.5</v>
      </c>
      <c r="I246" s="49">
        <v>28.2</v>
      </c>
      <c r="J246" s="49">
        <v>4.7</v>
      </c>
      <c r="K246" s="49">
        <v>10.9</v>
      </c>
      <c r="L246" s="49">
        <v>7.8</v>
      </c>
      <c r="M246" s="191">
        <f t="shared" ref="M246:Q252" si="46">H246*Lookups_Conversion_CF_to_kBTU</f>
        <v>36.884499999999996</v>
      </c>
      <c r="N246" s="191">
        <f t="shared" si="46"/>
        <v>29.299799999999998</v>
      </c>
      <c r="O246" s="191">
        <f t="shared" si="46"/>
        <v>4.8833000000000002</v>
      </c>
      <c r="P246" s="191">
        <f t="shared" si="46"/>
        <v>11.325099999999999</v>
      </c>
      <c r="Q246" s="191">
        <f t="shared" si="46"/>
        <v>8.1041999999999987</v>
      </c>
    </row>
    <row r="247" spans="2:17" x14ac:dyDescent="0.25">
      <c r="B247" s="237" t="s">
        <v>407</v>
      </c>
      <c r="C247" s="49">
        <v>758</v>
      </c>
      <c r="D247" s="49">
        <v>517</v>
      </c>
      <c r="E247" s="49">
        <v>73</v>
      </c>
      <c r="F247" s="49">
        <v>131</v>
      </c>
      <c r="G247" s="49">
        <v>37</v>
      </c>
      <c r="H247" s="49">
        <v>32.9</v>
      </c>
      <c r="I247" s="49">
        <v>27.5</v>
      </c>
      <c r="J247" s="49">
        <v>4.4000000000000004</v>
      </c>
      <c r="K247" s="49">
        <v>10.9</v>
      </c>
      <c r="L247" s="49">
        <v>8</v>
      </c>
      <c r="M247" s="191">
        <f t="shared" si="46"/>
        <v>34.183099999999996</v>
      </c>
      <c r="N247" s="191">
        <f t="shared" si="46"/>
        <v>28.572499999999998</v>
      </c>
      <c r="O247" s="191">
        <f t="shared" si="46"/>
        <v>4.5716000000000001</v>
      </c>
      <c r="P247" s="191">
        <f t="shared" si="46"/>
        <v>11.325099999999999</v>
      </c>
      <c r="Q247" s="191">
        <f t="shared" si="46"/>
        <v>8.3119999999999994</v>
      </c>
    </row>
    <row r="248" spans="2:17" x14ac:dyDescent="0.25">
      <c r="B248" s="237" t="s">
        <v>408</v>
      </c>
      <c r="C248" s="49">
        <v>277</v>
      </c>
      <c r="D248" s="49">
        <v>169</v>
      </c>
      <c r="E248" s="49">
        <v>33</v>
      </c>
      <c r="F248" s="49">
        <v>61</v>
      </c>
      <c r="G248" s="49">
        <v>14</v>
      </c>
      <c r="H248" s="49">
        <v>38</v>
      </c>
      <c r="I248" s="49">
        <v>27.8</v>
      </c>
      <c r="J248" s="49">
        <v>5.8</v>
      </c>
      <c r="K248" s="49">
        <v>13.9</v>
      </c>
      <c r="L248" s="49">
        <v>9.4</v>
      </c>
      <c r="M248" s="191">
        <f t="shared" si="46"/>
        <v>39.481999999999999</v>
      </c>
      <c r="N248" s="191">
        <f t="shared" si="46"/>
        <v>28.8842</v>
      </c>
      <c r="O248" s="191">
        <f t="shared" si="46"/>
        <v>6.0261999999999993</v>
      </c>
      <c r="P248" s="191">
        <f t="shared" si="46"/>
        <v>14.4421</v>
      </c>
      <c r="Q248" s="191">
        <f t="shared" si="46"/>
        <v>9.7666000000000004</v>
      </c>
    </row>
    <row r="249" spans="2:17" x14ac:dyDescent="0.25">
      <c r="B249" s="237" t="s">
        <v>409</v>
      </c>
      <c r="C249" s="49">
        <v>282</v>
      </c>
      <c r="D249" s="49">
        <v>207</v>
      </c>
      <c r="E249" s="49">
        <v>21</v>
      </c>
      <c r="F249" s="49">
        <v>43</v>
      </c>
      <c r="G249" s="49">
        <v>12</v>
      </c>
      <c r="H249" s="49">
        <v>33.200000000000003</v>
      </c>
      <c r="I249" s="49">
        <v>27.5</v>
      </c>
      <c r="J249" s="49">
        <v>3.5</v>
      </c>
      <c r="K249" s="49">
        <v>9.1999999999999993</v>
      </c>
      <c r="L249" s="49">
        <v>8.4</v>
      </c>
      <c r="M249" s="191">
        <f t="shared" si="46"/>
        <v>34.494799999999998</v>
      </c>
      <c r="N249" s="191">
        <f t="shared" si="46"/>
        <v>28.572499999999998</v>
      </c>
      <c r="O249" s="191">
        <f t="shared" si="46"/>
        <v>3.6364999999999998</v>
      </c>
      <c r="P249" s="191">
        <f t="shared" si="46"/>
        <v>9.558799999999998</v>
      </c>
      <c r="Q249" s="191">
        <f t="shared" si="46"/>
        <v>8.7275999999999989</v>
      </c>
    </row>
    <row r="250" spans="2:17" x14ac:dyDescent="0.25">
      <c r="B250" s="237" t="s">
        <v>410</v>
      </c>
      <c r="C250" s="49">
        <v>1964</v>
      </c>
      <c r="D250" s="49">
        <v>1329</v>
      </c>
      <c r="E250" s="49">
        <v>204</v>
      </c>
      <c r="F250" s="49">
        <v>341</v>
      </c>
      <c r="G250" s="49">
        <v>90</v>
      </c>
      <c r="H250" s="49">
        <v>33.299999999999997</v>
      </c>
      <c r="I250" s="49">
        <v>26.5</v>
      </c>
      <c r="J250" s="49">
        <v>4.9000000000000004</v>
      </c>
      <c r="K250" s="49">
        <v>13.3</v>
      </c>
      <c r="L250" s="49">
        <v>8.9</v>
      </c>
      <c r="M250" s="191">
        <f t="shared" si="46"/>
        <v>34.598699999999994</v>
      </c>
      <c r="N250" s="191">
        <f t="shared" si="46"/>
        <v>27.533499999999997</v>
      </c>
      <c r="O250" s="191">
        <f t="shared" si="46"/>
        <v>5.0911</v>
      </c>
      <c r="P250" s="191">
        <f t="shared" si="46"/>
        <v>13.8187</v>
      </c>
      <c r="Q250" s="191">
        <f t="shared" si="46"/>
        <v>9.2470999999999997</v>
      </c>
    </row>
    <row r="251" spans="2:17" x14ac:dyDescent="0.25">
      <c r="B251" s="238" t="s">
        <v>411</v>
      </c>
      <c r="C251" s="49">
        <v>1082</v>
      </c>
      <c r="D251" s="49">
        <v>719</v>
      </c>
      <c r="E251" s="49">
        <v>110</v>
      </c>
      <c r="F251" s="49">
        <v>198</v>
      </c>
      <c r="G251" s="49">
        <v>55</v>
      </c>
      <c r="H251" s="49">
        <v>33.700000000000003</v>
      </c>
      <c r="I251" s="49">
        <v>26.6</v>
      </c>
      <c r="J251" s="49">
        <v>4.5999999999999996</v>
      </c>
      <c r="K251" s="49">
        <v>10.9</v>
      </c>
      <c r="L251" s="49">
        <v>9</v>
      </c>
      <c r="M251" s="191">
        <f t="shared" si="46"/>
        <v>35.014299999999999</v>
      </c>
      <c r="N251" s="191">
        <f t="shared" si="46"/>
        <v>27.6374</v>
      </c>
      <c r="O251" s="191">
        <f t="shared" si="46"/>
        <v>4.779399999999999</v>
      </c>
      <c r="P251" s="191">
        <f t="shared" si="46"/>
        <v>11.325099999999999</v>
      </c>
      <c r="Q251" s="191">
        <f t="shared" si="46"/>
        <v>9.3509999999999991</v>
      </c>
    </row>
    <row r="252" spans="2:17" x14ac:dyDescent="0.25">
      <c r="B252" s="237" t="s">
        <v>521</v>
      </c>
      <c r="C252" s="49">
        <v>118</v>
      </c>
      <c r="D252" s="49">
        <v>76</v>
      </c>
      <c r="E252" s="49">
        <v>13</v>
      </c>
      <c r="F252" s="49">
        <v>21</v>
      </c>
      <c r="G252" s="49">
        <v>7</v>
      </c>
      <c r="H252" s="49">
        <v>26.4</v>
      </c>
      <c r="I252" s="49">
        <v>20.399999999999999</v>
      </c>
      <c r="J252" s="49">
        <v>4.3</v>
      </c>
      <c r="K252" s="49">
        <v>15.8</v>
      </c>
      <c r="L252" s="49">
        <v>6.6</v>
      </c>
      <c r="M252" s="191">
        <f t="shared" si="46"/>
        <v>27.429599999999997</v>
      </c>
      <c r="N252" s="191">
        <f t="shared" si="46"/>
        <v>21.195599999999995</v>
      </c>
      <c r="O252" s="191">
        <f t="shared" si="46"/>
        <v>4.4676999999999998</v>
      </c>
      <c r="P252" s="191">
        <f t="shared" si="46"/>
        <v>16.4162</v>
      </c>
      <c r="Q252" s="191">
        <f t="shared" si="46"/>
        <v>6.8573999999999993</v>
      </c>
    </row>
    <row r="253" spans="2:17" x14ac:dyDescent="0.25">
      <c r="B253" s="236" t="s">
        <v>522</v>
      </c>
      <c r="C253" s="62"/>
      <c r="D253" s="62"/>
      <c r="E253" s="62"/>
      <c r="F253" s="62"/>
      <c r="G253" s="62"/>
      <c r="H253" s="62"/>
      <c r="I253" s="62"/>
      <c r="J253" s="62"/>
      <c r="K253" s="62"/>
      <c r="L253" s="62"/>
      <c r="M253" s="62"/>
      <c r="N253" s="62"/>
      <c r="O253" s="62"/>
      <c r="P253" s="62"/>
      <c r="Q253" s="62"/>
    </row>
    <row r="254" spans="2:17" x14ac:dyDescent="0.25">
      <c r="B254" s="237" t="s">
        <v>413</v>
      </c>
      <c r="C254" s="49">
        <v>502</v>
      </c>
      <c r="D254" s="49">
        <v>368</v>
      </c>
      <c r="E254" s="49">
        <v>42</v>
      </c>
      <c r="F254" s="49">
        <v>79</v>
      </c>
      <c r="G254" s="49">
        <v>13</v>
      </c>
      <c r="H254" s="49">
        <v>33.4</v>
      </c>
      <c r="I254" s="49">
        <v>27.3</v>
      </c>
      <c r="J254" s="49">
        <v>4.5</v>
      </c>
      <c r="K254" s="49">
        <v>21.2</v>
      </c>
      <c r="L254" s="49">
        <v>7.6</v>
      </c>
      <c r="M254" s="191">
        <f>H254*Lookups_Conversion_CF_to_kBTU</f>
        <v>34.702599999999997</v>
      </c>
      <c r="N254" s="191">
        <f>I254*Lookups_Conversion_CF_to_kBTU</f>
        <v>28.364699999999999</v>
      </c>
      <c r="O254" s="191">
        <f>J254*Lookups_Conversion_CF_to_kBTU</f>
        <v>4.6754999999999995</v>
      </c>
      <c r="P254" s="191">
        <f>K254*Lookups_Conversion_CF_to_kBTU</f>
        <v>22.026799999999998</v>
      </c>
      <c r="Q254" s="191">
        <f>L254*Lookups_Conversion_CF_to_kBTU</f>
        <v>7.896399999999999</v>
      </c>
    </row>
    <row r="255" spans="2:17" x14ac:dyDescent="0.25">
      <c r="B255" s="236" t="s">
        <v>523</v>
      </c>
      <c r="C255" s="62"/>
      <c r="D255" s="62"/>
      <c r="E255" s="62"/>
      <c r="F255" s="62"/>
      <c r="G255" s="62"/>
      <c r="H255" s="62"/>
      <c r="I255" s="62"/>
      <c r="J255" s="62"/>
      <c r="K255" s="62"/>
      <c r="L255" s="62"/>
      <c r="M255" s="62"/>
      <c r="N255" s="62"/>
      <c r="O255" s="62"/>
      <c r="P255" s="62"/>
      <c r="Q255" s="62"/>
    </row>
    <row r="256" spans="2:17" x14ac:dyDescent="0.25">
      <c r="B256" s="236" t="s">
        <v>524</v>
      </c>
      <c r="C256" s="62"/>
      <c r="D256" s="62"/>
      <c r="E256" s="62"/>
      <c r="F256" s="62"/>
      <c r="G256" s="62"/>
      <c r="H256" s="62"/>
      <c r="I256" s="62"/>
      <c r="J256" s="62"/>
      <c r="K256" s="62"/>
      <c r="L256" s="62"/>
      <c r="M256" s="62"/>
      <c r="N256" s="62"/>
      <c r="O256" s="62"/>
      <c r="P256" s="62"/>
      <c r="Q256" s="62"/>
    </row>
    <row r="257" spans="2:17" x14ac:dyDescent="0.25">
      <c r="B257" s="237" t="s">
        <v>169</v>
      </c>
      <c r="C257" s="49">
        <v>825</v>
      </c>
      <c r="D257" s="49">
        <v>600</v>
      </c>
      <c r="E257" s="49">
        <v>82</v>
      </c>
      <c r="F257" s="49">
        <v>122</v>
      </c>
      <c r="G257" s="49">
        <v>21</v>
      </c>
      <c r="H257" s="49">
        <v>33.200000000000003</v>
      </c>
      <c r="I257" s="49">
        <v>26.7</v>
      </c>
      <c r="J257" s="49">
        <v>4.8</v>
      </c>
      <c r="K257" s="49">
        <v>12.6</v>
      </c>
      <c r="L257" s="49">
        <v>6.2</v>
      </c>
      <c r="M257" s="191">
        <f t="shared" ref="M257:Q258" si="47">H257*Lookups_Conversion_CF_to_kBTU</f>
        <v>34.494799999999998</v>
      </c>
      <c r="N257" s="191">
        <f t="shared" si="47"/>
        <v>27.741299999999999</v>
      </c>
      <c r="O257" s="191">
        <f t="shared" si="47"/>
        <v>4.9871999999999996</v>
      </c>
      <c r="P257" s="191">
        <f t="shared" si="47"/>
        <v>13.091399999999998</v>
      </c>
      <c r="Q257" s="191">
        <f t="shared" si="47"/>
        <v>6.4417999999999997</v>
      </c>
    </row>
    <row r="258" spans="2:17" x14ac:dyDescent="0.25">
      <c r="B258" s="237" t="s">
        <v>139</v>
      </c>
      <c r="C258" s="49">
        <v>599</v>
      </c>
      <c r="D258" s="49">
        <v>432</v>
      </c>
      <c r="E258" s="49">
        <v>67</v>
      </c>
      <c r="F258" s="49">
        <v>81</v>
      </c>
      <c r="G258" s="49">
        <v>18</v>
      </c>
      <c r="H258" s="49">
        <v>35.6</v>
      </c>
      <c r="I258" s="49">
        <v>29.8</v>
      </c>
      <c r="J258" s="49">
        <v>5.6</v>
      </c>
      <c r="K258" s="49">
        <v>10.5</v>
      </c>
      <c r="L258" s="49">
        <v>7.3</v>
      </c>
      <c r="M258" s="191">
        <f t="shared" si="47"/>
        <v>36.988399999999999</v>
      </c>
      <c r="N258" s="191">
        <f t="shared" si="47"/>
        <v>30.962199999999999</v>
      </c>
      <c r="O258" s="191">
        <f t="shared" si="47"/>
        <v>5.8183999999999996</v>
      </c>
      <c r="P258" s="191">
        <f t="shared" si="47"/>
        <v>10.9095</v>
      </c>
      <c r="Q258" s="191">
        <f t="shared" si="47"/>
        <v>7.5846999999999989</v>
      </c>
    </row>
    <row r="259" spans="2:17" x14ac:dyDescent="0.25">
      <c r="B259" s="236" t="s">
        <v>415</v>
      </c>
      <c r="C259" s="62"/>
      <c r="D259" s="62"/>
      <c r="E259" s="62"/>
      <c r="F259" s="62"/>
      <c r="G259" s="62"/>
      <c r="H259" s="62"/>
      <c r="I259" s="62"/>
      <c r="J259" s="62"/>
      <c r="K259" s="62"/>
      <c r="L259" s="62"/>
      <c r="M259" s="62"/>
      <c r="N259" s="62"/>
      <c r="O259" s="62"/>
      <c r="P259" s="62"/>
      <c r="Q259" s="62"/>
    </row>
    <row r="260" spans="2:17" x14ac:dyDescent="0.25">
      <c r="B260" s="237" t="s">
        <v>416</v>
      </c>
      <c r="C260" s="49">
        <v>1501</v>
      </c>
      <c r="D260" s="49">
        <v>1044</v>
      </c>
      <c r="E260" s="49">
        <v>158</v>
      </c>
      <c r="F260" s="49">
        <v>241</v>
      </c>
      <c r="G260" s="49">
        <v>58</v>
      </c>
      <c r="H260" s="49">
        <v>33.799999999999997</v>
      </c>
      <c r="I260" s="49">
        <v>27.5</v>
      </c>
      <c r="J260" s="49">
        <v>4.9000000000000004</v>
      </c>
      <c r="K260" s="49">
        <v>14</v>
      </c>
      <c r="L260" s="49">
        <v>8.8000000000000007</v>
      </c>
      <c r="M260" s="191">
        <f t="shared" ref="M260:Q262" si="48">H260*Lookups_Conversion_CF_to_kBTU</f>
        <v>35.118199999999995</v>
      </c>
      <c r="N260" s="191">
        <f t="shared" si="48"/>
        <v>28.572499999999998</v>
      </c>
      <c r="O260" s="191">
        <f t="shared" si="48"/>
        <v>5.0911</v>
      </c>
      <c r="P260" s="191">
        <f t="shared" si="48"/>
        <v>14.545999999999999</v>
      </c>
      <c r="Q260" s="191">
        <f t="shared" si="48"/>
        <v>9.1432000000000002</v>
      </c>
    </row>
    <row r="261" spans="2:17" x14ac:dyDescent="0.25">
      <c r="B261" s="237" t="s">
        <v>417</v>
      </c>
      <c r="C261" s="49">
        <v>323</v>
      </c>
      <c r="D261" s="49">
        <v>205</v>
      </c>
      <c r="E261" s="49">
        <v>32</v>
      </c>
      <c r="F261" s="49">
        <v>71</v>
      </c>
      <c r="G261" s="49">
        <v>15</v>
      </c>
      <c r="H261" s="49">
        <v>31.8</v>
      </c>
      <c r="I261" s="49">
        <v>23</v>
      </c>
      <c r="J261" s="49">
        <v>5.4</v>
      </c>
      <c r="K261" s="49">
        <v>21.4</v>
      </c>
      <c r="L261" s="49">
        <v>8.5</v>
      </c>
      <c r="M261" s="191">
        <f t="shared" si="48"/>
        <v>33.040199999999999</v>
      </c>
      <c r="N261" s="191">
        <f t="shared" si="48"/>
        <v>23.896999999999998</v>
      </c>
      <c r="O261" s="191">
        <f t="shared" si="48"/>
        <v>5.6105999999999998</v>
      </c>
      <c r="P261" s="191">
        <f t="shared" si="48"/>
        <v>22.234599999999997</v>
      </c>
      <c r="Q261" s="191">
        <f t="shared" si="48"/>
        <v>8.8315000000000001</v>
      </c>
    </row>
    <row r="262" spans="2:17" x14ac:dyDescent="0.25">
      <c r="B262" s="237" t="s">
        <v>525</v>
      </c>
      <c r="C262" s="49">
        <v>361</v>
      </c>
      <c r="D262" s="49">
        <v>245</v>
      </c>
      <c r="E262" s="49">
        <v>31</v>
      </c>
      <c r="F262" s="49">
        <v>67</v>
      </c>
      <c r="G262" s="49">
        <v>18</v>
      </c>
      <c r="H262" s="49">
        <v>31</v>
      </c>
      <c r="I262" s="49">
        <v>24.8</v>
      </c>
      <c r="J262" s="49">
        <v>3.7</v>
      </c>
      <c r="K262" s="49">
        <v>9.4</v>
      </c>
      <c r="L262" s="49">
        <v>8.1999999999999993</v>
      </c>
      <c r="M262" s="191">
        <f t="shared" si="48"/>
        <v>32.208999999999996</v>
      </c>
      <c r="N262" s="191">
        <f t="shared" si="48"/>
        <v>25.767199999999999</v>
      </c>
      <c r="O262" s="191">
        <f t="shared" si="48"/>
        <v>3.8443000000000001</v>
      </c>
      <c r="P262" s="191">
        <f t="shared" si="48"/>
        <v>9.7666000000000004</v>
      </c>
      <c r="Q262" s="191">
        <f t="shared" si="48"/>
        <v>8.5197999999999983</v>
      </c>
    </row>
    <row r="263" spans="2:17" x14ac:dyDescent="0.25">
      <c r="B263" s="236" t="s">
        <v>526</v>
      </c>
      <c r="C263" s="62"/>
      <c r="D263" s="62"/>
      <c r="E263" s="62"/>
      <c r="F263" s="62"/>
      <c r="G263" s="62"/>
      <c r="H263" s="62"/>
      <c r="I263" s="62"/>
      <c r="J263" s="62"/>
      <c r="K263" s="62"/>
      <c r="L263" s="62"/>
      <c r="M263" s="62"/>
      <c r="N263" s="62"/>
      <c r="O263" s="62"/>
      <c r="P263" s="62"/>
      <c r="Q263" s="62"/>
    </row>
    <row r="264" spans="2:17" x14ac:dyDescent="0.25">
      <c r="B264" s="236" t="s">
        <v>527</v>
      </c>
      <c r="C264" s="62"/>
      <c r="D264" s="62"/>
      <c r="E264" s="62"/>
      <c r="F264" s="62"/>
      <c r="G264" s="62"/>
      <c r="H264" s="62"/>
      <c r="I264" s="62"/>
      <c r="J264" s="62"/>
      <c r="K264" s="62"/>
      <c r="L264" s="62"/>
      <c r="M264" s="62"/>
      <c r="N264" s="62"/>
      <c r="O264" s="62"/>
      <c r="P264" s="62"/>
      <c r="Q264" s="62"/>
    </row>
    <row r="265" spans="2:17" x14ac:dyDescent="0.25">
      <c r="B265" s="236" t="s">
        <v>503</v>
      </c>
      <c r="C265" s="62"/>
      <c r="D265" s="62"/>
      <c r="E265" s="62"/>
      <c r="F265" s="62"/>
      <c r="G265" s="62"/>
      <c r="H265" s="62"/>
      <c r="I265" s="62"/>
      <c r="J265" s="62"/>
      <c r="K265" s="62"/>
      <c r="L265" s="62"/>
      <c r="M265" s="62"/>
      <c r="N265" s="62"/>
      <c r="O265" s="62"/>
      <c r="P265" s="62"/>
      <c r="Q265" s="62"/>
    </row>
    <row r="266" spans="2:17" x14ac:dyDescent="0.25">
      <c r="B266" s="237" t="s">
        <v>420</v>
      </c>
      <c r="C266" s="49">
        <v>750</v>
      </c>
      <c r="D266" s="49">
        <v>471</v>
      </c>
      <c r="E266" s="49">
        <v>82</v>
      </c>
      <c r="F266" s="49">
        <v>123</v>
      </c>
      <c r="G266" s="49">
        <v>73</v>
      </c>
      <c r="H266" s="49">
        <v>36.6</v>
      </c>
      <c r="I266" s="49">
        <v>28.9</v>
      </c>
      <c r="J266" s="49">
        <v>5.5</v>
      </c>
      <c r="K266" s="49">
        <v>10.8</v>
      </c>
      <c r="L266" s="49">
        <v>8.5</v>
      </c>
      <c r="M266" s="191">
        <f t="shared" ref="M266:Q268" si="49">H266*Lookups_Conversion_CF_to_kBTU</f>
        <v>38.0274</v>
      </c>
      <c r="N266" s="191">
        <f t="shared" si="49"/>
        <v>30.027099999999997</v>
      </c>
      <c r="O266" s="191">
        <f t="shared" si="49"/>
        <v>5.7144999999999992</v>
      </c>
      <c r="P266" s="191">
        <f t="shared" si="49"/>
        <v>11.2212</v>
      </c>
      <c r="Q266" s="191">
        <f t="shared" si="49"/>
        <v>8.8315000000000001</v>
      </c>
    </row>
    <row r="267" spans="2:17" x14ac:dyDescent="0.25">
      <c r="B267" s="237" t="s">
        <v>421</v>
      </c>
      <c r="C267" s="49">
        <v>92</v>
      </c>
      <c r="D267" s="49">
        <v>55</v>
      </c>
      <c r="E267" s="49">
        <v>9</v>
      </c>
      <c r="F267" s="49">
        <v>24</v>
      </c>
      <c r="G267" s="49">
        <v>4</v>
      </c>
      <c r="H267" s="49">
        <v>27.9</v>
      </c>
      <c r="I267" s="49">
        <v>19.600000000000001</v>
      </c>
      <c r="J267" s="49">
        <v>3.8</v>
      </c>
      <c r="K267" s="49">
        <v>11.1</v>
      </c>
      <c r="L267" s="49">
        <v>8.8000000000000007</v>
      </c>
      <c r="M267" s="191">
        <f t="shared" si="49"/>
        <v>28.988099999999996</v>
      </c>
      <c r="N267" s="191">
        <f t="shared" si="49"/>
        <v>20.3644</v>
      </c>
      <c r="O267" s="191">
        <f t="shared" si="49"/>
        <v>3.9481999999999995</v>
      </c>
      <c r="P267" s="191">
        <f t="shared" si="49"/>
        <v>11.532899999999998</v>
      </c>
      <c r="Q267" s="191">
        <f t="shared" si="49"/>
        <v>9.1432000000000002</v>
      </c>
    </row>
    <row r="268" spans="2:17" x14ac:dyDescent="0.25">
      <c r="B268" s="237" t="s">
        <v>422</v>
      </c>
      <c r="C268" s="49">
        <v>64</v>
      </c>
      <c r="D268" s="49">
        <v>39</v>
      </c>
      <c r="E268" s="49">
        <v>7</v>
      </c>
      <c r="F268" s="49">
        <v>10</v>
      </c>
      <c r="G268" s="49">
        <v>9</v>
      </c>
      <c r="H268" s="49">
        <v>40</v>
      </c>
      <c r="I268" s="49">
        <v>30.3</v>
      </c>
      <c r="J268" s="49">
        <v>5.9</v>
      </c>
      <c r="K268" s="49">
        <v>11.8</v>
      </c>
      <c r="L268" s="49">
        <v>9.6</v>
      </c>
      <c r="M268" s="191">
        <f t="shared" si="49"/>
        <v>41.559999999999995</v>
      </c>
      <c r="N268" s="191">
        <f t="shared" si="49"/>
        <v>31.4817</v>
      </c>
      <c r="O268" s="191">
        <f t="shared" si="49"/>
        <v>6.1300999999999997</v>
      </c>
      <c r="P268" s="191">
        <f t="shared" si="49"/>
        <v>12.260199999999999</v>
      </c>
      <c r="Q268" s="191">
        <f t="shared" si="49"/>
        <v>9.9743999999999993</v>
      </c>
    </row>
    <row r="269" spans="2:17" x14ac:dyDescent="0.25">
      <c r="B269" s="236" t="s">
        <v>528</v>
      </c>
      <c r="C269" s="62"/>
      <c r="D269" s="62"/>
      <c r="E269" s="62"/>
      <c r="F269" s="62"/>
      <c r="G269" s="62"/>
      <c r="H269" s="62"/>
      <c r="I269" s="62"/>
      <c r="J269" s="62"/>
      <c r="K269" s="62"/>
      <c r="L269" s="62"/>
      <c r="M269" s="62"/>
      <c r="N269" s="62"/>
      <c r="O269" s="62"/>
      <c r="P269" s="62"/>
      <c r="Q269" s="62"/>
    </row>
    <row r="270" spans="2:17" x14ac:dyDescent="0.25">
      <c r="B270" s="236" t="s">
        <v>529</v>
      </c>
      <c r="C270" s="62"/>
      <c r="D270" s="62"/>
      <c r="E270" s="62"/>
      <c r="F270" s="62"/>
      <c r="G270" s="62"/>
      <c r="H270" s="62"/>
      <c r="I270" s="62"/>
      <c r="J270" s="62"/>
      <c r="K270" s="62"/>
      <c r="L270" s="62"/>
      <c r="M270" s="62"/>
      <c r="N270" s="62"/>
      <c r="O270" s="62"/>
      <c r="P270" s="62"/>
      <c r="Q270" s="62"/>
    </row>
    <row r="271" spans="2:17" x14ac:dyDescent="0.25">
      <c r="B271" s="236" t="s">
        <v>503</v>
      </c>
      <c r="C271" s="62"/>
      <c r="D271" s="62"/>
      <c r="E271" s="62"/>
      <c r="F271" s="62"/>
      <c r="G271" s="62"/>
      <c r="H271" s="62"/>
      <c r="I271" s="62"/>
      <c r="J271" s="62"/>
      <c r="K271" s="62"/>
      <c r="L271" s="62"/>
      <c r="M271" s="62"/>
      <c r="N271" s="62"/>
      <c r="O271" s="62"/>
      <c r="P271" s="62"/>
      <c r="Q271" s="62"/>
    </row>
    <row r="272" spans="2:17" x14ac:dyDescent="0.25">
      <c r="B272" s="237" t="s">
        <v>451</v>
      </c>
      <c r="C272" s="49">
        <v>361</v>
      </c>
      <c r="D272" s="49">
        <v>212</v>
      </c>
      <c r="E272" s="49">
        <v>39</v>
      </c>
      <c r="F272" s="49">
        <v>94</v>
      </c>
      <c r="G272" s="49">
        <v>16</v>
      </c>
      <c r="H272" s="49">
        <v>39.299999999999997</v>
      </c>
      <c r="I272" s="49">
        <v>28</v>
      </c>
      <c r="J272" s="49">
        <v>5.5</v>
      </c>
      <c r="K272" s="49">
        <v>12.2</v>
      </c>
      <c r="L272" s="49">
        <v>9.3000000000000007</v>
      </c>
      <c r="M272" s="191">
        <f t="shared" ref="M272:Q275" si="50">H272*Lookups_Conversion_CF_to_kBTU</f>
        <v>40.832699999999996</v>
      </c>
      <c r="N272" s="191">
        <f t="shared" si="50"/>
        <v>29.091999999999999</v>
      </c>
      <c r="O272" s="191">
        <f t="shared" si="50"/>
        <v>5.7144999999999992</v>
      </c>
      <c r="P272" s="191">
        <f t="shared" si="50"/>
        <v>12.675799999999999</v>
      </c>
      <c r="Q272" s="191">
        <f t="shared" si="50"/>
        <v>9.6626999999999992</v>
      </c>
    </row>
    <row r="273" spans="2:17" x14ac:dyDescent="0.25">
      <c r="B273" s="237" t="s">
        <v>452</v>
      </c>
      <c r="C273" s="49">
        <v>354</v>
      </c>
      <c r="D273" s="49">
        <v>194</v>
      </c>
      <c r="E273" s="49">
        <v>37</v>
      </c>
      <c r="F273" s="49">
        <v>111</v>
      </c>
      <c r="G273" s="49">
        <v>13</v>
      </c>
      <c r="H273" s="49">
        <v>40.6</v>
      </c>
      <c r="I273" s="49">
        <v>26</v>
      </c>
      <c r="J273" s="49">
        <v>5.3</v>
      </c>
      <c r="K273" s="49">
        <v>14.5</v>
      </c>
      <c r="L273" s="49">
        <v>8</v>
      </c>
      <c r="M273" s="191">
        <f t="shared" si="50"/>
        <v>42.183399999999999</v>
      </c>
      <c r="N273" s="191">
        <f t="shared" si="50"/>
        <v>27.013999999999999</v>
      </c>
      <c r="O273" s="191">
        <f t="shared" si="50"/>
        <v>5.5066999999999995</v>
      </c>
      <c r="P273" s="191">
        <f t="shared" si="50"/>
        <v>15.065499999999998</v>
      </c>
      <c r="Q273" s="191">
        <f t="shared" si="50"/>
        <v>8.3119999999999994</v>
      </c>
    </row>
    <row r="274" spans="2:17" x14ac:dyDescent="0.25">
      <c r="B274" s="237" t="s">
        <v>453</v>
      </c>
      <c r="C274" s="49">
        <v>464</v>
      </c>
      <c r="D274" s="49">
        <v>295</v>
      </c>
      <c r="E274" s="49">
        <v>54</v>
      </c>
      <c r="F274" s="49">
        <v>95</v>
      </c>
      <c r="G274" s="49">
        <v>20</v>
      </c>
      <c r="H274" s="49">
        <v>37.1</v>
      </c>
      <c r="I274" s="49">
        <v>28.5</v>
      </c>
      <c r="J274" s="49">
        <v>5.4</v>
      </c>
      <c r="K274" s="49">
        <v>8.4</v>
      </c>
      <c r="L274" s="49">
        <v>7.8</v>
      </c>
      <c r="M274" s="191">
        <f t="shared" si="50"/>
        <v>38.546900000000001</v>
      </c>
      <c r="N274" s="191">
        <f t="shared" si="50"/>
        <v>29.611499999999999</v>
      </c>
      <c r="O274" s="191">
        <f t="shared" si="50"/>
        <v>5.6105999999999998</v>
      </c>
      <c r="P274" s="191">
        <f t="shared" si="50"/>
        <v>8.7275999999999989</v>
      </c>
      <c r="Q274" s="191">
        <f t="shared" si="50"/>
        <v>8.1041999999999987</v>
      </c>
    </row>
    <row r="275" spans="2:17" x14ac:dyDescent="0.25">
      <c r="B275" s="237" t="s">
        <v>530</v>
      </c>
      <c r="C275" s="49">
        <v>641</v>
      </c>
      <c r="D275" s="49">
        <v>369</v>
      </c>
      <c r="E275" s="49">
        <v>81</v>
      </c>
      <c r="F275" s="49">
        <v>161</v>
      </c>
      <c r="G275" s="49">
        <v>29</v>
      </c>
      <c r="H275" s="49">
        <v>40</v>
      </c>
      <c r="I275" s="49">
        <v>27.1</v>
      </c>
      <c r="J275" s="49">
        <v>6.5</v>
      </c>
      <c r="K275" s="49">
        <v>11.4</v>
      </c>
      <c r="L275" s="49">
        <v>9.8000000000000007</v>
      </c>
      <c r="M275" s="191">
        <f t="shared" si="50"/>
        <v>41.559999999999995</v>
      </c>
      <c r="N275" s="191">
        <f t="shared" si="50"/>
        <v>28.1569</v>
      </c>
      <c r="O275" s="191">
        <f t="shared" si="50"/>
        <v>6.7534999999999998</v>
      </c>
      <c r="P275" s="191">
        <f t="shared" si="50"/>
        <v>11.8446</v>
      </c>
      <c r="Q275" s="191">
        <f t="shared" si="50"/>
        <v>10.1822</v>
      </c>
    </row>
    <row r="276" spans="2:17" x14ac:dyDescent="0.25">
      <c r="B276" s="236" t="s">
        <v>531</v>
      </c>
      <c r="C276" s="62"/>
      <c r="D276" s="62"/>
      <c r="E276" s="62"/>
      <c r="F276" s="62"/>
      <c r="G276" s="62"/>
      <c r="H276" s="62"/>
      <c r="I276" s="62"/>
      <c r="J276" s="62"/>
      <c r="K276" s="62"/>
      <c r="L276" s="62"/>
      <c r="M276" s="62"/>
      <c r="N276" s="62"/>
      <c r="O276" s="62"/>
      <c r="P276" s="62"/>
      <c r="Q276" s="62"/>
    </row>
    <row r="277" spans="2:17" x14ac:dyDescent="0.25">
      <c r="B277" s="237" t="s">
        <v>455</v>
      </c>
      <c r="C277" s="49">
        <v>553</v>
      </c>
      <c r="D277" s="49">
        <v>360</v>
      </c>
      <c r="E277" s="49">
        <v>65</v>
      </c>
      <c r="F277" s="49">
        <v>106</v>
      </c>
      <c r="G277" s="49">
        <v>23</v>
      </c>
      <c r="H277" s="49">
        <v>33.5</v>
      </c>
      <c r="I277" s="49">
        <v>26</v>
      </c>
      <c r="J277" s="49">
        <v>5.4</v>
      </c>
      <c r="K277" s="49">
        <v>10.1</v>
      </c>
      <c r="L277" s="49">
        <v>8.1999999999999993</v>
      </c>
      <c r="M277" s="191">
        <f>H277*Lookups_Conversion_CF_to_kBTU</f>
        <v>34.8065</v>
      </c>
      <c r="N277" s="191">
        <f>I277*Lookups_Conversion_CF_to_kBTU</f>
        <v>27.013999999999999</v>
      </c>
      <c r="O277" s="191">
        <f>J277*Lookups_Conversion_CF_to_kBTU</f>
        <v>5.6105999999999998</v>
      </c>
      <c r="P277" s="191">
        <f>K277*Lookups_Conversion_CF_to_kBTU</f>
        <v>10.493899999999998</v>
      </c>
      <c r="Q277" s="191">
        <f>L277*Lookups_Conversion_CF_to_kBTU</f>
        <v>8.5197999999999983</v>
      </c>
    </row>
    <row r="278" spans="2:17" x14ac:dyDescent="0.25">
      <c r="B278" s="236" t="s">
        <v>532</v>
      </c>
      <c r="C278" s="62"/>
      <c r="D278" s="62"/>
      <c r="E278" s="62"/>
      <c r="F278" s="62"/>
      <c r="G278" s="62"/>
      <c r="H278" s="62"/>
      <c r="I278" s="62"/>
      <c r="J278" s="62"/>
      <c r="K278" s="62"/>
      <c r="L278" s="62"/>
      <c r="M278" s="62"/>
      <c r="N278" s="62"/>
      <c r="O278" s="62"/>
      <c r="P278" s="62"/>
      <c r="Q278" s="62"/>
    </row>
    <row r="279" spans="2:17" x14ac:dyDescent="0.25">
      <c r="B279" s="236" t="s">
        <v>533</v>
      </c>
      <c r="C279" s="62"/>
      <c r="D279" s="62"/>
      <c r="E279" s="62"/>
      <c r="F279" s="62"/>
      <c r="G279" s="62"/>
      <c r="H279" s="62"/>
      <c r="I279" s="62"/>
      <c r="J279" s="62"/>
      <c r="K279" s="62"/>
      <c r="L279" s="62"/>
      <c r="M279" s="62"/>
      <c r="N279" s="62"/>
      <c r="O279" s="62"/>
      <c r="P279" s="62"/>
      <c r="Q279" s="62"/>
    </row>
    <row r="280" spans="2:17" x14ac:dyDescent="0.25">
      <c r="B280" s="237" t="s">
        <v>534</v>
      </c>
      <c r="C280" s="49">
        <v>48</v>
      </c>
      <c r="D280" s="49">
        <v>38</v>
      </c>
      <c r="E280" s="49">
        <v>5</v>
      </c>
      <c r="F280" s="49">
        <v>2</v>
      </c>
      <c r="G280" s="49">
        <v>2</v>
      </c>
      <c r="H280" s="49">
        <v>7.9</v>
      </c>
      <c r="I280" s="49">
        <v>8.9</v>
      </c>
      <c r="J280" s="49">
        <v>1.6</v>
      </c>
      <c r="K280" s="49">
        <v>4</v>
      </c>
      <c r="L280" s="49">
        <v>3</v>
      </c>
      <c r="M280" s="191">
        <f t="shared" ref="M280:Q286" si="51">H280*Lookups_Conversion_CF_to_kBTU</f>
        <v>8.2081</v>
      </c>
      <c r="N280" s="191">
        <f t="shared" si="51"/>
        <v>9.2470999999999997</v>
      </c>
      <c r="O280" s="191">
        <f t="shared" si="51"/>
        <v>1.6623999999999999</v>
      </c>
      <c r="P280" s="191">
        <f t="shared" si="51"/>
        <v>4.1559999999999997</v>
      </c>
      <c r="Q280" s="191">
        <f t="shared" si="51"/>
        <v>3.117</v>
      </c>
    </row>
    <row r="281" spans="2:17" x14ac:dyDescent="0.25">
      <c r="B281" s="237" t="s">
        <v>535</v>
      </c>
      <c r="C281" s="49">
        <v>288</v>
      </c>
      <c r="D281" s="49">
        <v>227</v>
      </c>
      <c r="E281" s="49">
        <v>20</v>
      </c>
      <c r="F281" s="49">
        <v>35</v>
      </c>
      <c r="G281" s="49">
        <v>7</v>
      </c>
      <c r="H281" s="49">
        <v>22.7</v>
      </c>
      <c r="I281" s="49">
        <v>20.3</v>
      </c>
      <c r="J281" s="49">
        <v>2.6</v>
      </c>
      <c r="K281" s="49">
        <v>12.9</v>
      </c>
      <c r="L281" s="49">
        <v>6.1</v>
      </c>
      <c r="M281" s="191">
        <f t="shared" si="51"/>
        <v>23.585299999999997</v>
      </c>
      <c r="N281" s="191">
        <f t="shared" si="51"/>
        <v>21.091699999999999</v>
      </c>
      <c r="O281" s="191">
        <f t="shared" si="51"/>
        <v>2.7014</v>
      </c>
      <c r="P281" s="191">
        <f t="shared" si="51"/>
        <v>13.4031</v>
      </c>
      <c r="Q281" s="191">
        <f t="shared" si="51"/>
        <v>6.3378999999999994</v>
      </c>
    </row>
    <row r="282" spans="2:17" x14ac:dyDescent="0.25">
      <c r="B282" s="237" t="s">
        <v>536</v>
      </c>
      <c r="C282" s="49">
        <v>294</v>
      </c>
      <c r="D282" s="49">
        <v>204</v>
      </c>
      <c r="E282" s="49">
        <v>27</v>
      </c>
      <c r="F282" s="49">
        <v>49</v>
      </c>
      <c r="G282" s="49">
        <v>14</v>
      </c>
      <c r="H282" s="49">
        <v>28.9</v>
      </c>
      <c r="I282" s="49">
        <v>23.1</v>
      </c>
      <c r="J282" s="49">
        <v>4.0999999999999996</v>
      </c>
      <c r="K282" s="49">
        <v>16.600000000000001</v>
      </c>
      <c r="L282" s="49">
        <v>10.1</v>
      </c>
      <c r="M282" s="191">
        <f t="shared" si="51"/>
        <v>30.027099999999997</v>
      </c>
      <c r="N282" s="191">
        <f t="shared" si="51"/>
        <v>24.000900000000001</v>
      </c>
      <c r="O282" s="191">
        <f t="shared" si="51"/>
        <v>4.2598999999999991</v>
      </c>
      <c r="P282" s="191">
        <f t="shared" si="51"/>
        <v>17.247399999999999</v>
      </c>
      <c r="Q282" s="191">
        <f t="shared" si="51"/>
        <v>10.493899999999998</v>
      </c>
    </row>
    <row r="283" spans="2:17" x14ac:dyDescent="0.25">
      <c r="B283" s="237" t="s">
        <v>203</v>
      </c>
      <c r="C283" s="49">
        <v>457</v>
      </c>
      <c r="D283" s="49">
        <v>293</v>
      </c>
      <c r="E283" s="49">
        <v>62</v>
      </c>
      <c r="F283" s="49">
        <v>85</v>
      </c>
      <c r="G283" s="49">
        <v>18</v>
      </c>
      <c r="H283" s="49">
        <v>32.799999999999997</v>
      </c>
      <c r="I283" s="49">
        <v>25.7</v>
      </c>
      <c r="J283" s="49">
        <v>6.3</v>
      </c>
      <c r="K283" s="49">
        <v>15.7</v>
      </c>
      <c r="L283" s="49">
        <v>8.1999999999999993</v>
      </c>
      <c r="M283" s="191">
        <f t="shared" si="51"/>
        <v>34.079199999999993</v>
      </c>
      <c r="N283" s="191">
        <f t="shared" si="51"/>
        <v>26.702299999999997</v>
      </c>
      <c r="O283" s="191">
        <f t="shared" si="51"/>
        <v>6.5456999999999992</v>
      </c>
      <c r="P283" s="191">
        <f t="shared" si="51"/>
        <v>16.312299999999997</v>
      </c>
      <c r="Q283" s="191">
        <f t="shared" si="51"/>
        <v>8.5197999999999983</v>
      </c>
    </row>
    <row r="284" spans="2:17" x14ac:dyDescent="0.25">
      <c r="B284" s="237" t="s">
        <v>204</v>
      </c>
      <c r="C284" s="49">
        <v>354</v>
      </c>
      <c r="D284" s="49">
        <v>247</v>
      </c>
      <c r="E284" s="49">
        <v>34</v>
      </c>
      <c r="F284" s="49">
        <v>60</v>
      </c>
      <c r="G284" s="49">
        <v>13</v>
      </c>
      <c r="H284" s="49">
        <v>37.200000000000003</v>
      </c>
      <c r="I284" s="49">
        <v>29.8</v>
      </c>
      <c r="J284" s="49">
        <v>5</v>
      </c>
      <c r="K284" s="49">
        <v>11.6</v>
      </c>
      <c r="L284" s="49">
        <v>7.9</v>
      </c>
      <c r="M284" s="191">
        <f t="shared" si="51"/>
        <v>38.650799999999997</v>
      </c>
      <c r="N284" s="191">
        <f t="shared" si="51"/>
        <v>30.962199999999999</v>
      </c>
      <c r="O284" s="191">
        <f t="shared" si="51"/>
        <v>5.1949999999999994</v>
      </c>
      <c r="P284" s="191">
        <f t="shared" si="51"/>
        <v>12.052399999999999</v>
      </c>
      <c r="Q284" s="191">
        <f t="shared" si="51"/>
        <v>8.2081</v>
      </c>
    </row>
    <row r="285" spans="2:17" x14ac:dyDescent="0.25">
      <c r="B285" s="237" t="s">
        <v>478</v>
      </c>
      <c r="C285" s="49">
        <v>297</v>
      </c>
      <c r="D285" s="49">
        <v>200</v>
      </c>
      <c r="E285" s="49">
        <v>24</v>
      </c>
      <c r="F285" s="49">
        <v>58</v>
      </c>
      <c r="G285" s="49">
        <v>16</v>
      </c>
      <c r="H285" s="49">
        <v>43.5</v>
      </c>
      <c r="I285" s="49">
        <v>31.4</v>
      </c>
      <c r="J285" s="49">
        <v>4.5</v>
      </c>
      <c r="K285" s="49">
        <v>12.2</v>
      </c>
      <c r="L285" s="49">
        <v>9.5</v>
      </c>
      <c r="M285" s="191">
        <f t="shared" si="51"/>
        <v>45.196499999999993</v>
      </c>
      <c r="N285" s="191">
        <f t="shared" si="51"/>
        <v>32.624599999999994</v>
      </c>
      <c r="O285" s="191">
        <f t="shared" si="51"/>
        <v>4.6754999999999995</v>
      </c>
      <c r="P285" s="191">
        <f t="shared" si="51"/>
        <v>12.675799999999999</v>
      </c>
      <c r="Q285" s="191">
        <f t="shared" si="51"/>
        <v>9.8704999999999998</v>
      </c>
    </row>
    <row r="286" spans="2:17" x14ac:dyDescent="0.25">
      <c r="B286" s="237" t="s">
        <v>537</v>
      </c>
      <c r="C286" s="49">
        <v>478</v>
      </c>
      <c r="D286" s="49">
        <v>311</v>
      </c>
      <c r="E286" s="49">
        <v>49</v>
      </c>
      <c r="F286" s="49">
        <v>92</v>
      </c>
      <c r="G286" s="49">
        <v>25</v>
      </c>
      <c r="H286" s="49">
        <v>55.5</v>
      </c>
      <c r="I286" s="49">
        <v>40.299999999999997</v>
      </c>
      <c r="J286" s="49">
        <v>6.9</v>
      </c>
      <c r="K286" s="49">
        <v>14.7</v>
      </c>
      <c r="L286" s="49">
        <v>12.1</v>
      </c>
      <c r="M286" s="191">
        <f t="shared" si="51"/>
        <v>57.664499999999997</v>
      </c>
      <c r="N286" s="191">
        <f t="shared" si="51"/>
        <v>41.871699999999997</v>
      </c>
      <c r="O286" s="191">
        <f t="shared" si="51"/>
        <v>7.1691000000000003</v>
      </c>
      <c r="P286" s="191">
        <f t="shared" si="51"/>
        <v>15.273299999999999</v>
      </c>
      <c r="Q286" s="191">
        <f t="shared" si="51"/>
        <v>12.571899999999999</v>
      </c>
    </row>
    <row r="287" spans="2:17" ht="15.75" thickBot="1" x14ac:dyDescent="0.3">
      <c r="B287" s="49"/>
      <c r="C287" s="49"/>
      <c r="D287" s="49"/>
      <c r="E287" s="49"/>
      <c r="F287" s="49"/>
      <c r="G287" s="49"/>
      <c r="H287" s="49"/>
      <c r="I287" s="49"/>
      <c r="J287" s="49"/>
      <c r="K287" s="49"/>
      <c r="L287" s="49"/>
      <c r="M287" s="49"/>
      <c r="N287" s="49"/>
      <c r="O287" s="49"/>
      <c r="P287" s="49"/>
      <c r="Q287" s="49"/>
    </row>
    <row r="288" spans="2:17" x14ac:dyDescent="0.25">
      <c r="B288" s="423" t="s">
        <v>538</v>
      </c>
      <c r="C288" s="423"/>
      <c r="D288" s="423"/>
      <c r="E288" s="423"/>
      <c r="F288" s="423"/>
      <c r="G288" s="423"/>
      <c r="H288" s="423"/>
      <c r="I288" s="423"/>
      <c r="J288" s="423"/>
      <c r="K288" s="423"/>
      <c r="L288" s="423"/>
      <c r="M288" s="423"/>
      <c r="N288" s="423"/>
      <c r="O288" s="423"/>
      <c r="P288" s="423"/>
      <c r="Q288" s="423"/>
    </row>
    <row r="289" spans="2:17" ht="22.15" customHeight="1" x14ac:dyDescent="0.25">
      <c r="B289" s="420" t="s">
        <v>539</v>
      </c>
      <c r="C289" s="420"/>
      <c r="D289" s="420"/>
      <c r="E289" s="420"/>
      <c r="F289" s="420"/>
      <c r="G289" s="420"/>
      <c r="H289" s="420"/>
      <c r="I289" s="420"/>
      <c r="J289" s="420"/>
      <c r="K289" s="420"/>
      <c r="L289" s="420"/>
      <c r="M289" s="420"/>
      <c r="N289" s="420"/>
      <c r="O289" s="420"/>
      <c r="P289" s="420"/>
      <c r="Q289" s="420"/>
    </row>
    <row r="290" spans="2:17" x14ac:dyDescent="0.25">
      <c r="B290" s="420" t="s">
        <v>540</v>
      </c>
      <c r="C290" s="420"/>
      <c r="D290" s="420"/>
      <c r="E290" s="420"/>
      <c r="F290" s="420"/>
      <c r="G290" s="420"/>
      <c r="H290" s="420"/>
      <c r="I290" s="420"/>
      <c r="J290" s="420"/>
      <c r="K290" s="420"/>
      <c r="L290" s="420"/>
      <c r="M290" s="420"/>
      <c r="N290" s="420"/>
      <c r="O290" s="420"/>
      <c r="P290" s="420"/>
      <c r="Q290" s="420"/>
    </row>
    <row r="291" spans="2:17" x14ac:dyDescent="0.25">
      <c r="B291" s="420" t="s">
        <v>541</v>
      </c>
      <c r="C291" s="420"/>
      <c r="D291" s="420"/>
      <c r="E291" s="420"/>
      <c r="F291" s="420"/>
      <c r="G291" s="420"/>
      <c r="H291" s="420"/>
      <c r="I291" s="420"/>
      <c r="J291" s="420"/>
      <c r="K291" s="420"/>
      <c r="L291" s="420"/>
      <c r="M291" s="420"/>
      <c r="N291" s="420"/>
      <c r="O291" s="420"/>
      <c r="P291" s="420"/>
      <c r="Q291" s="420"/>
    </row>
    <row r="292" spans="2:17" ht="23.45" customHeight="1" x14ac:dyDescent="0.25">
      <c r="B292" s="424" t="s">
        <v>542</v>
      </c>
      <c r="C292" s="424"/>
      <c r="D292" s="424"/>
      <c r="E292" s="424"/>
      <c r="F292" s="424"/>
      <c r="G292" s="424"/>
      <c r="H292" s="424"/>
      <c r="I292" s="424"/>
      <c r="J292" s="424"/>
      <c r="K292" s="424"/>
      <c r="L292" s="424"/>
      <c r="M292" s="424"/>
      <c r="N292" s="424"/>
      <c r="O292" s="424"/>
      <c r="P292" s="424"/>
      <c r="Q292" s="424"/>
    </row>
    <row r="293" spans="2:17" x14ac:dyDescent="0.25">
      <c r="B293" s="424" t="s">
        <v>543</v>
      </c>
      <c r="C293" s="424"/>
      <c r="D293" s="424"/>
      <c r="E293" s="424"/>
      <c r="F293" s="424"/>
      <c r="G293" s="424"/>
      <c r="H293" s="424"/>
      <c r="I293" s="424"/>
      <c r="J293" s="424"/>
      <c r="K293" s="424"/>
      <c r="L293" s="424"/>
      <c r="M293" s="424"/>
      <c r="N293" s="424"/>
      <c r="O293" s="424"/>
      <c r="P293" s="424"/>
      <c r="Q293" s="424"/>
    </row>
    <row r="294" spans="2:17" x14ac:dyDescent="0.25">
      <c r="B294" s="424" t="s">
        <v>544</v>
      </c>
      <c r="C294" s="424"/>
      <c r="D294" s="424"/>
      <c r="E294" s="424"/>
      <c r="F294" s="424"/>
      <c r="G294" s="424"/>
      <c r="H294" s="424"/>
      <c r="I294" s="424"/>
      <c r="J294" s="424"/>
      <c r="K294" s="424"/>
      <c r="L294" s="424"/>
      <c r="M294" s="424"/>
      <c r="N294" s="424"/>
      <c r="O294" s="424"/>
      <c r="P294" s="424"/>
      <c r="Q294" s="424"/>
    </row>
    <row r="295" spans="2:17" x14ac:dyDescent="0.25">
      <c r="B295" s="420" t="s">
        <v>545</v>
      </c>
      <c r="C295" s="420"/>
      <c r="D295" s="420"/>
      <c r="E295" s="420"/>
      <c r="F295" s="420"/>
      <c r="G295" s="420"/>
      <c r="H295" s="420"/>
      <c r="I295" s="420"/>
      <c r="J295" s="420"/>
      <c r="K295" s="420"/>
      <c r="L295" s="420"/>
      <c r="M295" s="420"/>
      <c r="N295" s="420"/>
      <c r="O295" s="420"/>
      <c r="P295" s="420"/>
      <c r="Q295" s="420"/>
    </row>
    <row r="296" spans="2:17" x14ac:dyDescent="0.25">
      <c r="B296" s="420" t="s">
        <v>546</v>
      </c>
      <c r="C296" s="420"/>
      <c r="D296" s="420"/>
      <c r="E296" s="420"/>
      <c r="F296" s="420"/>
      <c r="G296" s="420"/>
      <c r="H296" s="420"/>
      <c r="I296" s="420"/>
      <c r="J296" s="420"/>
      <c r="K296" s="420"/>
      <c r="L296" s="420"/>
      <c r="M296" s="420"/>
      <c r="N296" s="420"/>
      <c r="O296" s="420"/>
      <c r="P296" s="420"/>
      <c r="Q296" s="420"/>
    </row>
    <row r="297" spans="2:17" x14ac:dyDescent="0.25">
      <c r="B297" s="420"/>
      <c r="C297" s="420"/>
      <c r="D297" s="420"/>
      <c r="E297" s="420"/>
      <c r="F297" s="420"/>
      <c r="G297" s="420"/>
      <c r="H297" s="420"/>
      <c r="I297" s="420"/>
      <c r="J297" s="420"/>
      <c r="K297" s="420"/>
      <c r="L297" s="420"/>
      <c r="M297" s="420"/>
      <c r="N297" s="420"/>
      <c r="O297" s="420"/>
      <c r="P297" s="420"/>
      <c r="Q297" s="420"/>
    </row>
    <row r="298" spans="2:17" x14ac:dyDescent="0.25">
      <c r="B298" s="156"/>
      <c r="C298" s="156"/>
      <c r="D298" s="156"/>
      <c r="E298" s="156"/>
      <c r="F298" s="156"/>
      <c r="G298" s="156"/>
      <c r="H298" s="156"/>
      <c r="I298" s="156"/>
      <c r="J298" s="156"/>
      <c r="K298" s="156"/>
      <c r="L298" s="156"/>
      <c r="M298" s="156"/>
      <c r="N298" s="156"/>
      <c r="O298" s="156"/>
      <c r="P298" s="156"/>
      <c r="Q298" s="156"/>
    </row>
    <row r="299" spans="2:17" x14ac:dyDescent="0.25">
      <c r="B299" s="156"/>
      <c r="C299" s="156"/>
      <c r="D299" s="156"/>
      <c r="E299" s="156"/>
      <c r="F299" s="156"/>
      <c r="G299" s="156"/>
      <c r="H299" s="156"/>
      <c r="I299" s="156"/>
      <c r="J299" s="156"/>
      <c r="K299" s="48"/>
      <c r="L299" s="156"/>
      <c r="M299" s="156"/>
      <c r="N299" s="156"/>
      <c r="O299" s="156"/>
      <c r="P299" s="48"/>
      <c r="Q299" s="156"/>
    </row>
    <row r="300" spans="2:17" x14ac:dyDescent="0.25">
      <c r="B300" s="48"/>
      <c r="C300" s="48"/>
      <c r="D300" s="48"/>
      <c r="E300" s="48"/>
      <c r="F300" s="48"/>
      <c r="G300" s="48"/>
      <c r="H300" s="48"/>
      <c r="I300" s="48"/>
      <c r="J300" s="48"/>
      <c r="K300" s="48"/>
      <c r="L300" s="48"/>
      <c r="M300" s="48"/>
      <c r="N300" s="48"/>
      <c r="O300" s="48"/>
      <c r="P300" s="48"/>
      <c r="Q300" s="48"/>
    </row>
    <row r="301" spans="2:17" x14ac:dyDescent="0.25">
      <c r="B301" s="48"/>
      <c r="C301" s="48"/>
      <c r="D301" s="48"/>
      <c r="E301" s="48"/>
      <c r="F301" s="48"/>
      <c r="G301" s="48"/>
      <c r="H301" s="48"/>
      <c r="I301" s="48"/>
      <c r="J301" s="48"/>
      <c r="K301" s="48"/>
      <c r="L301" s="48"/>
      <c r="M301" s="48"/>
      <c r="N301" s="48"/>
      <c r="O301" s="48"/>
      <c r="P301" s="48"/>
      <c r="Q301" s="48"/>
    </row>
    <row r="302" spans="2:17" x14ac:dyDescent="0.25">
      <c r="B302" s="48"/>
      <c r="C302" s="48"/>
      <c r="D302" s="48"/>
      <c r="E302" s="48"/>
      <c r="F302" s="48"/>
      <c r="G302" s="48"/>
      <c r="H302" s="48"/>
      <c r="I302" s="48"/>
      <c r="J302" s="48"/>
      <c r="K302" s="48"/>
      <c r="L302" s="48"/>
      <c r="M302" s="48"/>
      <c r="N302" s="48"/>
      <c r="O302" s="48"/>
      <c r="P302" s="48"/>
      <c r="Q302" s="48"/>
    </row>
    <row r="303" spans="2:17" x14ac:dyDescent="0.25">
      <c r="B303" s="48"/>
      <c r="C303" s="48"/>
      <c r="D303" s="48"/>
      <c r="E303" s="48"/>
      <c r="F303" s="48"/>
      <c r="G303" s="48"/>
      <c r="H303" s="48"/>
      <c r="I303" s="48"/>
      <c r="J303" s="48"/>
      <c r="K303" s="48"/>
      <c r="L303" s="48"/>
      <c r="M303" s="48"/>
      <c r="N303" s="48"/>
      <c r="O303" s="48"/>
      <c r="P303" s="48"/>
      <c r="Q303" s="48"/>
    </row>
    <row r="304" spans="2:17" x14ac:dyDescent="0.25">
      <c r="B304" s="48"/>
      <c r="C304" s="48"/>
      <c r="D304" s="48"/>
      <c r="E304" s="48"/>
      <c r="F304" s="48"/>
      <c r="G304" s="48"/>
      <c r="H304" s="48"/>
      <c r="I304" s="48"/>
      <c r="J304" s="48"/>
      <c r="K304" s="48"/>
      <c r="L304" s="48"/>
      <c r="M304" s="48"/>
      <c r="N304" s="48"/>
      <c r="O304" s="48"/>
      <c r="P304" s="48"/>
      <c r="Q304" s="48"/>
    </row>
    <row r="305" spans="2:17" x14ac:dyDescent="0.25">
      <c r="B305" s="78"/>
      <c r="C305" s="78"/>
      <c r="D305" s="78"/>
      <c r="E305" s="78"/>
      <c r="F305" s="78"/>
      <c r="G305" s="78"/>
      <c r="H305" s="78"/>
      <c r="I305" s="78"/>
      <c r="J305" s="78"/>
      <c r="K305" s="78"/>
      <c r="L305" s="78"/>
      <c r="M305" s="78"/>
      <c r="N305" s="78"/>
      <c r="O305" s="78"/>
      <c r="P305" s="78"/>
      <c r="Q305" s="78"/>
    </row>
    <row r="306" spans="2:17" x14ac:dyDescent="0.25">
      <c r="B306" s="48"/>
      <c r="C306" s="48"/>
      <c r="D306" s="48"/>
      <c r="E306" s="48"/>
      <c r="F306" s="48"/>
      <c r="G306" s="48"/>
      <c r="H306" s="48"/>
      <c r="I306" s="48"/>
      <c r="J306" s="48"/>
      <c r="K306" s="48"/>
      <c r="L306" s="48"/>
      <c r="M306" s="48"/>
      <c r="N306" s="48"/>
      <c r="O306" s="48"/>
      <c r="P306" s="48"/>
      <c r="Q306" s="48"/>
    </row>
    <row r="307" spans="2:17" x14ac:dyDescent="0.25">
      <c r="B307" s="48"/>
      <c r="C307" s="48"/>
      <c r="D307" s="48"/>
      <c r="E307" s="48"/>
      <c r="F307" s="48"/>
      <c r="G307" s="48"/>
      <c r="H307" s="48"/>
      <c r="I307" s="48"/>
      <c r="J307" s="48"/>
      <c r="K307" s="48"/>
      <c r="L307" s="48"/>
      <c r="M307" s="48"/>
      <c r="N307" s="48"/>
      <c r="O307" s="48"/>
      <c r="P307" s="48"/>
      <c r="Q307" s="48"/>
    </row>
    <row r="308" spans="2:17" x14ac:dyDescent="0.25">
      <c r="B308" s="48"/>
      <c r="C308" s="48"/>
      <c r="D308" s="48"/>
      <c r="E308" s="48"/>
      <c r="F308" s="48"/>
      <c r="G308" s="48"/>
      <c r="H308" s="48"/>
      <c r="I308" s="48"/>
      <c r="J308" s="48"/>
      <c r="K308" s="48"/>
      <c r="L308" s="48"/>
      <c r="M308" s="48"/>
      <c r="N308" s="48"/>
      <c r="O308" s="48"/>
      <c r="P308" s="48"/>
      <c r="Q308" s="48"/>
    </row>
    <row r="309" spans="2:17" x14ac:dyDescent="0.25">
      <c r="B309" s="48"/>
      <c r="C309" s="48"/>
      <c r="D309" s="48"/>
      <c r="E309" s="48"/>
      <c r="F309" s="48"/>
      <c r="G309" s="48"/>
      <c r="H309" s="48"/>
      <c r="I309" s="48"/>
      <c r="J309" s="48"/>
      <c r="K309" s="48"/>
      <c r="L309" s="48"/>
      <c r="M309" s="48"/>
      <c r="N309" s="48"/>
      <c r="O309" s="48"/>
      <c r="P309" s="48"/>
      <c r="Q309" s="48"/>
    </row>
    <row r="310" spans="2:17" x14ac:dyDescent="0.25">
      <c r="B310" s="48"/>
      <c r="C310" s="48"/>
      <c r="D310" s="48"/>
      <c r="E310" s="48"/>
      <c r="F310" s="48"/>
      <c r="G310" s="48"/>
      <c r="H310" s="48"/>
      <c r="I310" s="48"/>
      <c r="J310" s="48"/>
      <c r="K310" s="48"/>
      <c r="L310" s="48"/>
      <c r="M310" s="48"/>
      <c r="N310" s="48"/>
      <c r="O310" s="48"/>
      <c r="P310" s="48"/>
      <c r="Q310" s="48"/>
    </row>
    <row r="311" spans="2:17" x14ac:dyDescent="0.25">
      <c r="B311" s="78"/>
      <c r="C311" s="78"/>
      <c r="D311" s="78"/>
      <c r="E311" s="78"/>
      <c r="F311" s="78"/>
      <c r="G311" s="78"/>
      <c r="H311" s="78"/>
      <c r="I311" s="78"/>
      <c r="J311" s="78"/>
      <c r="K311" s="78"/>
      <c r="L311" s="78"/>
      <c r="M311" s="78"/>
      <c r="N311" s="78"/>
      <c r="O311" s="78"/>
      <c r="P311" s="78"/>
      <c r="Q311" s="78"/>
    </row>
    <row r="312" spans="2:17" x14ac:dyDescent="0.25">
      <c r="B312" s="48"/>
      <c r="C312" s="48"/>
      <c r="D312" s="48"/>
      <c r="E312" s="48"/>
      <c r="F312" s="48"/>
      <c r="G312" s="48"/>
      <c r="H312" s="48"/>
      <c r="I312" s="48"/>
      <c r="J312" s="48"/>
      <c r="K312" s="48"/>
      <c r="L312" s="48"/>
      <c r="M312" s="48"/>
      <c r="N312" s="48"/>
      <c r="O312" s="48"/>
      <c r="P312" s="48"/>
      <c r="Q312" s="48"/>
    </row>
    <row r="313" spans="2:17" x14ac:dyDescent="0.25">
      <c r="B313" s="48"/>
      <c r="C313" s="48"/>
      <c r="D313" s="48"/>
      <c r="E313" s="48"/>
      <c r="F313" s="48"/>
      <c r="G313" s="48"/>
      <c r="H313" s="48"/>
      <c r="I313" s="48"/>
      <c r="J313" s="48"/>
      <c r="K313" s="48"/>
      <c r="L313" s="48"/>
      <c r="M313" s="48"/>
      <c r="N313" s="48"/>
      <c r="O313" s="48"/>
      <c r="P313" s="48"/>
      <c r="Q313" s="48"/>
    </row>
    <row r="314" spans="2:17" x14ac:dyDescent="0.25">
      <c r="B314" s="48"/>
      <c r="C314" s="48"/>
      <c r="D314" s="48"/>
      <c r="E314" s="48"/>
      <c r="F314" s="48"/>
      <c r="G314" s="48"/>
      <c r="H314" s="48"/>
      <c r="I314" s="48"/>
      <c r="J314" s="48"/>
      <c r="K314" s="48"/>
      <c r="L314" s="48"/>
      <c r="M314" s="48"/>
      <c r="N314" s="48"/>
      <c r="O314" s="48"/>
      <c r="P314" s="48"/>
      <c r="Q314" s="48"/>
    </row>
    <row r="315" spans="2:17" x14ac:dyDescent="0.25">
      <c r="B315" s="48"/>
      <c r="C315" s="48"/>
      <c r="D315" s="48"/>
      <c r="E315" s="48"/>
      <c r="F315" s="48"/>
      <c r="G315" s="48"/>
      <c r="H315" s="48"/>
      <c r="I315" s="48"/>
      <c r="J315" s="48"/>
      <c r="K315" s="48"/>
      <c r="L315" s="48"/>
      <c r="M315" s="48"/>
      <c r="N315" s="48"/>
      <c r="O315" s="48"/>
      <c r="P315" s="48"/>
      <c r="Q315" s="48"/>
    </row>
    <row r="316" spans="2:17" x14ac:dyDescent="0.25">
      <c r="B316" s="48"/>
      <c r="C316" s="48"/>
      <c r="D316" s="48"/>
      <c r="E316" s="48"/>
      <c r="F316" s="48"/>
      <c r="G316" s="48"/>
      <c r="H316" s="48"/>
      <c r="I316" s="48"/>
      <c r="J316" s="48"/>
      <c r="K316" s="48"/>
      <c r="L316" s="48"/>
      <c r="M316" s="48"/>
      <c r="N316" s="48"/>
      <c r="O316" s="48"/>
      <c r="P316" s="48"/>
      <c r="Q316" s="48"/>
    </row>
    <row r="317" spans="2:17" x14ac:dyDescent="0.25">
      <c r="B317" s="48"/>
      <c r="C317" s="48"/>
      <c r="D317" s="48"/>
      <c r="E317" s="48"/>
      <c r="F317" s="48"/>
      <c r="G317" s="48"/>
      <c r="H317" s="48"/>
      <c r="I317" s="48"/>
      <c r="J317" s="48"/>
      <c r="K317" s="48"/>
      <c r="L317" s="48"/>
      <c r="M317" s="48"/>
      <c r="N317" s="48"/>
      <c r="O317" s="48"/>
      <c r="P317" s="48"/>
      <c r="Q317" s="48"/>
    </row>
    <row r="318" spans="2:17" x14ac:dyDescent="0.25">
      <c r="B318" s="48"/>
      <c r="C318" s="48"/>
      <c r="D318" s="48"/>
      <c r="E318" s="48"/>
      <c r="F318" s="48"/>
      <c r="G318" s="48"/>
      <c r="H318" s="48"/>
      <c r="I318" s="48"/>
      <c r="J318" s="48"/>
      <c r="K318" s="48"/>
      <c r="L318" s="48"/>
      <c r="M318" s="48"/>
      <c r="N318" s="48"/>
      <c r="O318" s="48"/>
      <c r="P318" s="48"/>
      <c r="Q318" s="48"/>
    </row>
    <row r="319" spans="2:17" x14ac:dyDescent="0.25">
      <c r="B319" s="48"/>
      <c r="C319" s="48"/>
      <c r="D319" s="48"/>
      <c r="E319" s="48"/>
      <c r="F319" s="48"/>
      <c r="G319" s="48"/>
      <c r="H319" s="48"/>
      <c r="I319" s="48"/>
      <c r="J319" s="48"/>
      <c r="K319" s="48"/>
      <c r="L319" s="48"/>
      <c r="M319" s="48"/>
      <c r="N319" s="48"/>
      <c r="O319" s="48"/>
      <c r="P319" s="48"/>
      <c r="Q319" s="48"/>
    </row>
    <row r="320" spans="2:17" x14ac:dyDescent="0.25">
      <c r="B320" s="78"/>
      <c r="C320" s="78"/>
      <c r="D320" s="78"/>
      <c r="E320" s="78"/>
      <c r="F320" s="78"/>
      <c r="G320" s="78"/>
      <c r="H320" s="78"/>
      <c r="I320" s="78"/>
      <c r="J320" s="78"/>
      <c r="K320" s="78"/>
      <c r="L320" s="78"/>
      <c r="M320" s="78"/>
      <c r="N320" s="78"/>
      <c r="O320" s="78"/>
      <c r="P320" s="78"/>
      <c r="Q320" s="78"/>
    </row>
    <row r="321" spans="2:17" x14ac:dyDescent="0.25">
      <c r="B321" s="48"/>
      <c r="C321" s="48"/>
      <c r="D321" s="48"/>
      <c r="E321" s="48"/>
      <c r="F321" s="48"/>
      <c r="G321" s="48"/>
      <c r="H321" s="48"/>
      <c r="I321" s="48"/>
      <c r="J321" s="48"/>
      <c r="K321" s="48"/>
      <c r="L321" s="48"/>
      <c r="M321" s="48"/>
      <c r="N321" s="48"/>
      <c r="O321" s="48"/>
      <c r="P321" s="48"/>
      <c r="Q321" s="48"/>
    </row>
    <row r="322" spans="2:17" x14ac:dyDescent="0.25">
      <c r="B322" s="48"/>
      <c r="C322" s="48"/>
      <c r="D322" s="48"/>
      <c r="E322" s="48"/>
      <c r="F322" s="48"/>
      <c r="G322" s="48"/>
      <c r="H322" s="48"/>
      <c r="I322" s="48"/>
      <c r="J322" s="48"/>
      <c r="K322" s="48"/>
      <c r="L322" s="48"/>
      <c r="M322" s="48"/>
      <c r="N322" s="48"/>
      <c r="O322" s="48"/>
      <c r="P322" s="48"/>
      <c r="Q322" s="48"/>
    </row>
    <row r="323" spans="2:17" x14ac:dyDescent="0.25">
      <c r="B323" s="48"/>
      <c r="C323" s="48"/>
      <c r="D323" s="48"/>
      <c r="E323" s="48"/>
      <c r="F323" s="48"/>
      <c r="G323" s="48"/>
      <c r="H323" s="48"/>
      <c r="I323" s="48"/>
      <c r="J323" s="48"/>
      <c r="K323" s="48"/>
      <c r="L323" s="48"/>
      <c r="M323" s="48"/>
      <c r="N323" s="48"/>
      <c r="O323" s="48"/>
      <c r="P323" s="48"/>
      <c r="Q323" s="48"/>
    </row>
    <row r="324" spans="2:17" x14ac:dyDescent="0.25">
      <c r="B324" s="48"/>
      <c r="C324" s="48"/>
      <c r="D324" s="48"/>
      <c r="E324" s="48"/>
      <c r="F324" s="48"/>
      <c r="G324" s="48"/>
      <c r="H324" s="48"/>
      <c r="I324" s="48"/>
      <c r="J324" s="48"/>
      <c r="K324" s="48"/>
      <c r="L324" s="48"/>
      <c r="M324" s="48"/>
      <c r="N324" s="48"/>
      <c r="O324" s="48"/>
      <c r="P324" s="48"/>
      <c r="Q324" s="48"/>
    </row>
    <row r="325" spans="2:17" x14ac:dyDescent="0.25">
      <c r="B325" s="48"/>
      <c r="C325" s="48"/>
      <c r="D325" s="48"/>
      <c r="E325" s="48"/>
      <c r="F325" s="48"/>
      <c r="G325" s="48"/>
      <c r="H325" s="48"/>
      <c r="I325" s="48"/>
      <c r="J325" s="48"/>
      <c r="K325" s="48"/>
      <c r="L325" s="48"/>
      <c r="M325" s="48"/>
      <c r="N325" s="48"/>
      <c r="O325" s="48"/>
      <c r="P325" s="48"/>
      <c r="Q325" s="48"/>
    </row>
    <row r="326" spans="2:17" x14ac:dyDescent="0.25">
      <c r="B326" s="78"/>
      <c r="C326" s="78"/>
      <c r="D326" s="78"/>
      <c r="E326" s="78"/>
      <c r="F326" s="78"/>
      <c r="G326" s="78"/>
      <c r="H326" s="78"/>
      <c r="I326" s="78"/>
      <c r="J326" s="78"/>
      <c r="K326" s="78"/>
      <c r="L326" s="78"/>
      <c r="M326" s="78"/>
      <c r="N326" s="78"/>
      <c r="O326" s="78"/>
      <c r="P326" s="78"/>
      <c r="Q326" s="78"/>
    </row>
    <row r="327" spans="2:17" x14ac:dyDescent="0.25">
      <c r="B327" s="48"/>
      <c r="C327" s="48"/>
      <c r="D327" s="48"/>
      <c r="E327" s="48"/>
      <c r="F327" s="48"/>
      <c r="G327" s="48"/>
      <c r="H327" s="48"/>
      <c r="I327" s="48"/>
      <c r="J327" s="48"/>
      <c r="K327" s="48"/>
      <c r="L327" s="48"/>
      <c r="M327" s="48"/>
      <c r="N327" s="48"/>
      <c r="O327" s="48"/>
      <c r="P327" s="48"/>
      <c r="Q327" s="48"/>
    </row>
    <row r="328" spans="2:17" x14ac:dyDescent="0.25">
      <c r="B328" s="48"/>
      <c r="C328" s="48"/>
      <c r="D328" s="48"/>
      <c r="E328" s="48"/>
      <c r="F328" s="48"/>
      <c r="G328" s="48"/>
      <c r="H328" s="48"/>
      <c r="I328" s="48"/>
      <c r="J328" s="48"/>
      <c r="K328" s="48"/>
      <c r="L328" s="48"/>
      <c r="M328" s="48"/>
      <c r="N328" s="48"/>
      <c r="O328" s="48"/>
      <c r="P328" s="48"/>
      <c r="Q328" s="48"/>
    </row>
    <row r="329" spans="2:17" x14ac:dyDescent="0.25">
      <c r="B329" s="48"/>
      <c r="C329" s="48"/>
      <c r="D329" s="48"/>
      <c r="E329" s="48"/>
      <c r="F329" s="48"/>
      <c r="G329" s="48"/>
      <c r="H329" s="48"/>
      <c r="I329" s="48"/>
      <c r="J329" s="48"/>
      <c r="K329" s="48"/>
      <c r="L329" s="48"/>
      <c r="M329" s="48"/>
      <c r="N329" s="48"/>
      <c r="O329" s="48"/>
      <c r="P329" s="48"/>
      <c r="Q329" s="48"/>
    </row>
    <row r="330" spans="2:17" x14ac:dyDescent="0.25">
      <c r="B330" s="78"/>
      <c r="C330" s="78"/>
      <c r="D330" s="78"/>
      <c r="E330" s="78"/>
      <c r="F330" s="78"/>
      <c r="G330" s="78"/>
      <c r="H330" s="78"/>
      <c r="I330" s="78"/>
      <c r="J330" s="78"/>
      <c r="K330" s="78"/>
      <c r="L330" s="78"/>
      <c r="M330" s="78"/>
      <c r="N330" s="78"/>
      <c r="O330" s="78"/>
      <c r="P330" s="78"/>
      <c r="Q330" s="78"/>
    </row>
    <row r="331" spans="2:17" x14ac:dyDescent="0.25">
      <c r="B331" s="48"/>
      <c r="C331" s="48"/>
      <c r="D331" s="48"/>
      <c r="E331" s="48"/>
      <c r="F331" s="48"/>
      <c r="G331" s="48"/>
      <c r="H331" s="48"/>
      <c r="I331" s="48"/>
      <c r="J331" s="48"/>
      <c r="K331" s="48"/>
      <c r="L331" s="48"/>
      <c r="M331" s="48"/>
      <c r="N331" s="48"/>
      <c r="O331" s="48"/>
      <c r="P331" s="48"/>
      <c r="Q331" s="48"/>
    </row>
    <row r="332" spans="2:17" x14ac:dyDescent="0.25">
      <c r="B332" s="48"/>
      <c r="C332" s="48"/>
      <c r="D332" s="48"/>
      <c r="E332" s="48"/>
      <c r="F332" s="48"/>
      <c r="G332" s="48"/>
      <c r="H332" s="48"/>
      <c r="I332" s="48"/>
      <c r="J332" s="48"/>
      <c r="K332" s="48"/>
      <c r="L332" s="48"/>
      <c r="M332" s="48"/>
      <c r="N332" s="48"/>
      <c r="O332" s="48"/>
      <c r="P332" s="48"/>
      <c r="Q332" s="48"/>
    </row>
    <row r="333" spans="2:17" x14ac:dyDescent="0.25">
      <c r="B333" s="48"/>
      <c r="C333" s="48"/>
      <c r="D333" s="48"/>
      <c r="E333" s="48"/>
      <c r="F333" s="48"/>
      <c r="G333" s="48"/>
      <c r="H333" s="48"/>
      <c r="I333" s="48"/>
      <c r="J333" s="48"/>
      <c r="K333" s="48"/>
      <c r="L333" s="48"/>
      <c r="M333" s="48"/>
      <c r="N333" s="48"/>
      <c r="O333" s="48"/>
      <c r="P333" s="48"/>
      <c r="Q333" s="48"/>
    </row>
    <row r="334" spans="2:17" x14ac:dyDescent="0.25">
      <c r="B334" s="78"/>
      <c r="C334" s="78"/>
      <c r="D334" s="78"/>
      <c r="E334" s="78"/>
      <c r="F334" s="78"/>
      <c r="G334" s="78"/>
      <c r="H334" s="78"/>
      <c r="I334" s="78"/>
      <c r="J334" s="78"/>
      <c r="K334" s="78"/>
      <c r="L334" s="78"/>
      <c r="M334" s="78"/>
      <c r="N334" s="78"/>
      <c r="O334" s="78"/>
      <c r="P334" s="78"/>
      <c r="Q334" s="78"/>
    </row>
    <row r="335" spans="2:17" x14ac:dyDescent="0.25">
      <c r="B335" s="48"/>
      <c r="C335" s="48"/>
      <c r="D335" s="48"/>
      <c r="E335" s="48"/>
      <c r="F335" s="48"/>
      <c r="G335" s="48"/>
      <c r="H335" s="48"/>
      <c r="I335" s="48"/>
      <c r="J335" s="48"/>
      <c r="K335" s="48"/>
      <c r="L335" s="48"/>
      <c r="M335" s="48"/>
      <c r="N335" s="48"/>
      <c r="O335" s="48"/>
      <c r="P335" s="48"/>
      <c r="Q335" s="48"/>
    </row>
    <row r="336" spans="2:17" x14ac:dyDescent="0.25">
      <c r="B336" s="48"/>
      <c r="C336" s="48"/>
      <c r="D336" s="48"/>
      <c r="E336" s="48"/>
      <c r="F336" s="48"/>
      <c r="G336" s="48"/>
      <c r="H336" s="48"/>
      <c r="I336" s="48"/>
      <c r="J336" s="48"/>
      <c r="K336" s="48"/>
      <c r="L336" s="48"/>
      <c r="M336" s="48"/>
      <c r="N336" s="48"/>
      <c r="O336" s="48"/>
      <c r="P336" s="48"/>
      <c r="Q336" s="48"/>
    </row>
    <row r="337" spans="2:17" x14ac:dyDescent="0.25">
      <c r="B337" s="48"/>
      <c r="C337" s="48"/>
      <c r="D337" s="48"/>
      <c r="E337" s="48"/>
      <c r="F337" s="48"/>
      <c r="G337" s="48"/>
      <c r="H337" s="48"/>
      <c r="I337" s="48"/>
      <c r="J337" s="48"/>
      <c r="K337" s="48"/>
      <c r="L337" s="48"/>
      <c r="M337" s="48"/>
      <c r="N337" s="48"/>
      <c r="O337" s="48"/>
      <c r="P337" s="48"/>
      <c r="Q337" s="48"/>
    </row>
    <row r="338" spans="2:17" x14ac:dyDescent="0.25">
      <c r="B338" s="48"/>
      <c r="C338" s="48"/>
      <c r="D338" s="48"/>
      <c r="E338" s="48"/>
      <c r="F338" s="48"/>
      <c r="G338" s="48"/>
      <c r="H338" s="48"/>
      <c r="I338" s="48"/>
      <c r="J338" s="48"/>
      <c r="K338" s="48"/>
      <c r="L338" s="48"/>
      <c r="M338" s="48"/>
      <c r="N338" s="48"/>
      <c r="O338" s="48"/>
      <c r="P338" s="48"/>
      <c r="Q338" s="48"/>
    </row>
    <row r="339" spans="2:17" x14ac:dyDescent="0.25">
      <c r="B339" s="48"/>
      <c r="C339" s="48"/>
      <c r="D339" s="48"/>
      <c r="E339" s="48"/>
      <c r="F339" s="48"/>
      <c r="G339" s="48"/>
      <c r="H339" s="48"/>
      <c r="I339" s="48"/>
      <c r="J339" s="48"/>
      <c r="K339" s="48"/>
      <c r="L339" s="48"/>
      <c r="M339" s="48"/>
      <c r="N339" s="48"/>
      <c r="O339" s="48"/>
      <c r="P339" s="48"/>
      <c r="Q339" s="48"/>
    </row>
    <row r="340" spans="2:17" x14ac:dyDescent="0.25">
      <c r="B340" s="48"/>
      <c r="C340" s="48"/>
      <c r="D340" s="48"/>
      <c r="E340" s="48"/>
      <c r="F340" s="48"/>
      <c r="G340" s="48"/>
      <c r="H340" s="48"/>
      <c r="I340" s="48"/>
      <c r="J340" s="48"/>
      <c r="K340" s="48"/>
      <c r="L340" s="48"/>
      <c r="M340" s="48"/>
      <c r="N340" s="48"/>
      <c r="O340" s="48"/>
      <c r="P340" s="48"/>
      <c r="Q340" s="48"/>
    </row>
    <row r="341" spans="2:17" x14ac:dyDescent="0.25">
      <c r="B341" s="48"/>
      <c r="C341" s="48"/>
      <c r="D341" s="48"/>
      <c r="E341" s="48"/>
      <c r="F341" s="48"/>
      <c r="G341" s="48"/>
      <c r="H341" s="48"/>
      <c r="I341" s="48"/>
      <c r="J341" s="48"/>
      <c r="K341" s="48"/>
      <c r="L341" s="48"/>
      <c r="M341" s="48"/>
      <c r="N341" s="48"/>
      <c r="O341" s="48"/>
      <c r="P341" s="48"/>
      <c r="Q341" s="48"/>
    </row>
    <row r="342" spans="2:17" x14ac:dyDescent="0.25">
      <c r="B342" s="48"/>
      <c r="C342" s="48"/>
      <c r="D342" s="48"/>
      <c r="E342" s="48"/>
      <c r="F342" s="48"/>
      <c r="G342" s="48"/>
      <c r="H342" s="48"/>
      <c r="I342" s="48"/>
      <c r="J342" s="48"/>
      <c r="K342" s="48"/>
      <c r="L342" s="48"/>
      <c r="M342" s="48"/>
      <c r="N342" s="48"/>
      <c r="O342" s="48"/>
      <c r="P342" s="48"/>
      <c r="Q342" s="48"/>
    </row>
    <row r="343" spans="2:17" x14ac:dyDescent="0.25">
      <c r="B343" s="48"/>
      <c r="C343" s="48"/>
      <c r="D343" s="48"/>
      <c r="E343" s="48"/>
      <c r="F343" s="48"/>
      <c r="G343" s="48"/>
      <c r="H343" s="48"/>
      <c r="I343" s="48"/>
      <c r="J343" s="48"/>
      <c r="K343" s="48"/>
      <c r="L343" s="48"/>
      <c r="M343" s="48"/>
      <c r="N343" s="48"/>
      <c r="O343" s="48"/>
      <c r="P343" s="48"/>
      <c r="Q343" s="48"/>
    </row>
    <row r="344" spans="2:17" x14ac:dyDescent="0.25">
      <c r="B344" s="48"/>
      <c r="C344" s="48"/>
      <c r="D344" s="48"/>
      <c r="E344" s="48"/>
      <c r="F344" s="48"/>
      <c r="G344" s="48"/>
      <c r="H344" s="48"/>
      <c r="I344" s="48"/>
      <c r="J344" s="48"/>
      <c r="K344" s="48"/>
      <c r="L344" s="48"/>
      <c r="M344" s="48"/>
      <c r="N344" s="48"/>
      <c r="O344" s="48"/>
      <c r="P344" s="48"/>
      <c r="Q344" s="48"/>
    </row>
    <row r="345" spans="2:17" x14ac:dyDescent="0.25">
      <c r="B345" s="48"/>
      <c r="C345" s="48"/>
      <c r="D345" s="48"/>
      <c r="E345" s="48"/>
      <c r="F345" s="48"/>
      <c r="G345" s="48"/>
      <c r="H345" s="48"/>
      <c r="I345" s="48"/>
      <c r="J345" s="48"/>
      <c r="K345" s="48"/>
      <c r="L345" s="48"/>
      <c r="M345" s="48"/>
      <c r="N345" s="48"/>
      <c r="O345" s="48"/>
      <c r="P345" s="48"/>
      <c r="Q345" s="48"/>
    </row>
    <row r="346" spans="2:17" x14ac:dyDescent="0.25">
      <c r="B346" s="78"/>
      <c r="C346" s="78"/>
      <c r="D346" s="78"/>
      <c r="E346" s="78"/>
      <c r="F346" s="78"/>
      <c r="G346" s="78"/>
      <c r="H346" s="78"/>
      <c r="I346" s="78"/>
      <c r="J346" s="78"/>
      <c r="K346" s="78"/>
      <c r="L346" s="78"/>
      <c r="M346" s="78"/>
      <c r="N346" s="78"/>
      <c r="O346" s="78"/>
      <c r="P346" s="78"/>
      <c r="Q346" s="78"/>
    </row>
    <row r="347" spans="2:17" x14ac:dyDescent="0.25">
      <c r="B347" s="48"/>
      <c r="C347" s="48"/>
      <c r="D347" s="48"/>
      <c r="E347" s="48"/>
      <c r="F347" s="48"/>
      <c r="G347" s="48"/>
      <c r="H347" s="48"/>
      <c r="I347" s="48"/>
      <c r="J347" s="48"/>
      <c r="K347" s="48"/>
      <c r="L347" s="48"/>
      <c r="M347" s="48"/>
      <c r="N347" s="48"/>
      <c r="O347" s="48"/>
      <c r="P347" s="48"/>
      <c r="Q347" s="48"/>
    </row>
    <row r="348" spans="2:17" x14ac:dyDescent="0.25">
      <c r="B348" s="48"/>
      <c r="C348" s="48"/>
      <c r="D348" s="48"/>
      <c r="E348" s="48"/>
      <c r="F348" s="48"/>
      <c r="G348" s="48"/>
      <c r="H348" s="48"/>
      <c r="I348" s="48"/>
      <c r="J348" s="48"/>
      <c r="K348" s="48"/>
      <c r="L348" s="48"/>
      <c r="M348" s="48"/>
      <c r="N348" s="48"/>
      <c r="O348" s="48"/>
      <c r="P348" s="48"/>
      <c r="Q348" s="48"/>
    </row>
    <row r="349" spans="2:17" x14ac:dyDescent="0.25">
      <c r="B349" s="48"/>
      <c r="C349" s="48"/>
      <c r="D349" s="48"/>
      <c r="E349" s="48"/>
      <c r="F349" s="48"/>
      <c r="G349" s="48"/>
      <c r="H349" s="48"/>
      <c r="I349" s="48"/>
      <c r="J349" s="48"/>
      <c r="K349" s="48"/>
      <c r="L349" s="48"/>
      <c r="M349" s="48"/>
      <c r="N349" s="48"/>
      <c r="O349" s="48"/>
      <c r="P349" s="48"/>
      <c r="Q349" s="48"/>
    </row>
    <row r="350" spans="2:17" x14ac:dyDescent="0.25">
      <c r="B350" s="78"/>
      <c r="C350" s="78"/>
      <c r="D350" s="78"/>
      <c r="E350" s="78"/>
      <c r="F350" s="78"/>
      <c r="G350" s="78"/>
      <c r="H350" s="78"/>
      <c r="I350" s="78"/>
      <c r="J350" s="78"/>
      <c r="K350" s="78"/>
      <c r="L350" s="78"/>
      <c r="M350" s="78"/>
      <c r="N350" s="78"/>
      <c r="O350" s="78"/>
      <c r="P350" s="78"/>
      <c r="Q350" s="78"/>
    </row>
    <row r="351" spans="2:17" x14ac:dyDescent="0.25">
      <c r="B351" s="48"/>
      <c r="C351" s="48"/>
      <c r="D351" s="48"/>
      <c r="E351" s="48"/>
      <c r="F351" s="48"/>
      <c r="G351" s="48"/>
      <c r="H351" s="48"/>
      <c r="I351" s="48"/>
      <c r="J351" s="48"/>
      <c r="K351" s="48"/>
      <c r="L351" s="48"/>
      <c r="M351" s="48"/>
      <c r="N351" s="48"/>
      <c r="O351" s="48"/>
      <c r="P351" s="48"/>
      <c r="Q351" s="48"/>
    </row>
    <row r="352" spans="2:17" x14ac:dyDescent="0.25">
      <c r="B352" s="48"/>
      <c r="C352" s="48"/>
      <c r="D352" s="48"/>
      <c r="E352" s="48"/>
      <c r="F352" s="48"/>
      <c r="G352" s="48"/>
      <c r="H352" s="48"/>
      <c r="I352" s="48"/>
      <c r="J352" s="48"/>
      <c r="K352" s="48"/>
      <c r="L352" s="48"/>
      <c r="M352" s="48"/>
      <c r="N352" s="48"/>
      <c r="O352" s="48"/>
      <c r="P352" s="48"/>
      <c r="Q352" s="48"/>
    </row>
    <row r="353" spans="2:17" x14ac:dyDescent="0.25">
      <c r="B353" s="48"/>
      <c r="C353" s="48"/>
      <c r="D353" s="48"/>
      <c r="E353" s="48"/>
      <c r="F353" s="48"/>
      <c r="G353" s="48"/>
      <c r="H353" s="48"/>
      <c r="I353" s="48"/>
      <c r="J353" s="48"/>
      <c r="K353" s="48"/>
      <c r="L353" s="48"/>
      <c r="M353" s="48"/>
      <c r="N353" s="48"/>
      <c r="O353" s="48"/>
      <c r="P353" s="48"/>
      <c r="Q353" s="48"/>
    </row>
    <row r="354" spans="2:17" x14ac:dyDescent="0.25">
      <c r="B354" s="48"/>
      <c r="C354" s="48"/>
      <c r="D354" s="48"/>
      <c r="E354" s="48"/>
      <c r="F354" s="48"/>
      <c r="G354" s="48"/>
      <c r="H354" s="48"/>
      <c r="I354" s="48"/>
      <c r="J354" s="48"/>
      <c r="K354" s="48"/>
      <c r="L354" s="48"/>
      <c r="M354" s="48"/>
      <c r="N354" s="48"/>
      <c r="O354" s="48"/>
      <c r="P354" s="48"/>
      <c r="Q354" s="48"/>
    </row>
    <row r="355" spans="2:17" x14ac:dyDescent="0.25">
      <c r="B355" s="48"/>
      <c r="C355" s="48"/>
      <c r="D355" s="48"/>
      <c r="E355" s="48"/>
      <c r="F355" s="48"/>
      <c r="G355" s="48"/>
      <c r="H355" s="48"/>
      <c r="I355" s="48"/>
      <c r="J355" s="48"/>
      <c r="K355" s="48"/>
      <c r="L355" s="48"/>
      <c r="M355" s="48"/>
      <c r="N355" s="48"/>
      <c r="O355" s="48"/>
      <c r="P355" s="48"/>
      <c r="Q355" s="48"/>
    </row>
    <row r="356" spans="2:17" x14ac:dyDescent="0.25">
      <c r="B356" s="48"/>
      <c r="C356" s="48"/>
      <c r="D356" s="48"/>
      <c r="E356" s="48"/>
      <c r="F356" s="48"/>
      <c r="G356" s="48"/>
      <c r="H356" s="48"/>
      <c r="I356" s="48"/>
      <c r="J356" s="48"/>
      <c r="K356" s="48"/>
      <c r="L356" s="48"/>
      <c r="M356" s="48"/>
      <c r="N356" s="48"/>
      <c r="O356" s="48"/>
      <c r="P356" s="48"/>
      <c r="Q356" s="48"/>
    </row>
    <row r="357" spans="2:17" x14ac:dyDescent="0.25">
      <c r="B357" s="48"/>
      <c r="C357" s="48"/>
      <c r="D357" s="48"/>
      <c r="E357" s="48"/>
      <c r="F357" s="48"/>
      <c r="G357" s="48"/>
      <c r="H357" s="48"/>
      <c r="I357" s="48"/>
      <c r="J357" s="48"/>
      <c r="K357" s="48"/>
      <c r="L357" s="48"/>
      <c r="M357" s="48"/>
      <c r="N357" s="48"/>
      <c r="O357" s="48"/>
      <c r="P357" s="48"/>
      <c r="Q357" s="48"/>
    </row>
    <row r="359" spans="2:17" x14ac:dyDescent="0.25">
      <c r="B359" s="94"/>
      <c r="C359" s="94"/>
      <c r="D359" s="94"/>
      <c r="E359" s="94"/>
      <c r="F359" s="94"/>
      <c r="G359" s="94"/>
      <c r="H359" s="94"/>
      <c r="I359" s="94"/>
      <c r="J359" s="94"/>
      <c r="K359" s="94"/>
      <c r="L359" s="94"/>
      <c r="M359" s="94"/>
      <c r="N359" s="94"/>
      <c r="O359" s="94"/>
      <c r="P359" s="94"/>
      <c r="Q359" s="94"/>
    </row>
    <row r="363" spans="2:17" ht="14.45" customHeight="1" x14ac:dyDescent="0.25"/>
  </sheetData>
  <mergeCells count="36">
    <mergeCell ref="K10:K11"/>
    <mergeCell ref="L10:L11"/>
    <mergeCell ref="B293:Q293"/>
    <mergeCell ref="B294:Q294"/>
    <mergeCell ref="B295:Q295"/>
    <mergeCell ref="B296:Q296"/>
    <mergeCell ref="B6:Q6"/>
    <mergeCell ref="B7:B9"/>
    <mergeCell ref="C7:G7"/>
    <mergeCell ref="C8:G8"/>
    <mergeCell ref="C9:G9"/>
    <mergeCell ref="M7:Q7"/>
    <mergeCell ref="M8:Q8"/>
    <mergeCell ref="M9:Q9"/>
    <mergeCell ref="H7:L7"/>
    <mergeCell ref="H8:L8"/>
    <mergeCell ref="H9:L9"/>
    <mergeCell ref="H10:H11"/>
    <mergeCell ref="I10:I11"/>
    <mergeCell ref="J10:J11"/>
    <mergeCell ref="B297:Q297"/>
    <mergeCell ref="D10:D11"/>
    <mergeCell ref="E10:E11"/>
    <mergeCell ref="N10:N11"/>
    <mergeCell ref="O10:O11"/>
    <mergeCell ref="B288:Q288"/>
    <mergeCell ref="B289:Q289"/>
    <mergeCell ref="B290:Q290"/>
    <mergeCell ref="B291:Q291"/>
    <mergeCell ref="B292:Q292"/>
    <mergeCell ref="P10:P11"/>
    <mergeCell ref="Q10:Q11"/>
    <mergeCell ref="C10:C11"/>
    <mergeCell ref="F10:F11"/>
    <mergeCell ref="G10:G11"/>
    <mergeCell ref="M10:M11"/>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46B10-3387-46E3-B17C-49968C5DE809}">
  <sheetPr codeName="Sheet7">
    <tabColor rgb="FF7030A0"/>
  </sheetPr>
  <dimension ref="A2:BW34"/>
  <sheetViews>
    <sheetView zoomScale="90" zoomScaleNormal="90" workbookViewId="0">
      <selection activeCell="U11" sqref="U11"/>
    </sheetView>
  </sheetViews>
  <sheetFormatPr defaultColWidth="8.85546875" defaultRowHeight="15" x14ac:dyDescent="0.25"/>
  <cols>
    <col min="1" max="1" width="2.7109375" style="28" customWidth="1"/>
    <col min="2" max="2" width="28.42578125" style="28" customWidth="1"/>
    <col min="3" max="3" width="22.28515625" style="28" customWidth="1"/>
    <col min="4" max="4" width="21.85546875" style="28" customWidth="1"/>
    <col min="5" max="5" width="8.85546875" style="28" customWidth="1"/>
    <col min="6" max="7" width="10.5703125" style="28" customWidth="1"/>
    <col min="8" max="8" width="8.85546875" style="28"/>
    <col min="9" max="19" width="10.7109375" style="28" customWidth="1"/>
    <col min="20" max="20" width="2.7109375" style="28" customWidth="1"/>
    <col min="21" max="26" width="10.7109375" style="28" customWidth="1"/>
    <col min="27" max="27" width="12.28515625" style="28" customWidth="1"/>
    <col min="28" max="37" width="10.7109375" style="28" customWidth="1"/>
    <col min="38" max="38" width="12.5703125" style="28" customWidth="1"/>
    <col min="39" max="42" width="10.7109375" style="28" customWidth="1"/>
    <col min="43" max="43" width="2.7109375" style="28" customWidth="1"/>
    <col min="44" max="45" width="8.85546875" style="28"/>
    <col min="46" max="46" width="10.7109375" style="28" customWidth="1"/>
    <col min="47" max="49" width="8.85546875" style="28"/>
    <col min="50" max="50" width="13.28515625" style="28" customWidth="1"/>
    <col min="51" max="51" width="10.7109375" style="28" customWidth="1"/>
    <col min="52" max="52" width="10.28515625" style="28" customWidth="1"/>
    <col min="53" max="53" width="8.85546875" style="28"/>
    <col min="54" max="54" width="2.7109375" style="28" customWidth="1"/>
    <col min="55" max="55" width="7" style="28" customWidth="1"/>
    <col min="56" max="61" width="10.7109375" style="28" customWidth="1"/>
    <col min="62" max="62" width="12.7109375" style="28" customWidth="1"/>
    <col min="63" max="71" width="10.7109375" style="28" customWidth="1"/>
    <col min="72" max="72" width="12.7109375" style="28" customWidth="1"/>
    <col min="73" max="75" width="10.7109375" style="28" customWidth="1"/>
    <col min="76" max="16384" width="8.85546875" style="28"/>
  </cols>
  <sheetData>
    <row r="2" spans="1:75" s="21" customFormat="1" ht="22.5" x14ac:dyDescent="0.35">
      <c r="A2" s="17"/>
      <c r="B2" s="18" t="str">
        <f>Lookups!B2</f>
        <v>Ph V TRM Appendix F: Building Operator Certification Audit and Design Tool</v>
      </c>
      <c r="C2" s="19"/>
      <c r="E2" s="19"/>
      <c r="F2" s="19"/>
      <c r="G2" s="19"/>
      <c r="H2" s="19"/>
      <c r="I2" s="20"/>
      <c r="J2" s="20"/>
      <c r="O2" s="20"/>
    </row>
    <row r="3" spans="1:75" s="25" customFormat="1" ht="17.25" x14ac:dyDescent="0.25">
      <c r="A3" s="22"/>
      <c r="B3" s="23" t="s">
        <v>547</v>
      </c>
      <c r="D3" s="24"/>
      <c r="N3" s="24"/>
      <c r="P3" s="24"/>
      <c r="Q3" s="24"/>
      <c r="R3" s="24"/>
      <c r="S3" s="24"/>
      <c r="T3" s="24"/>
      <c r="U3" s="24"/>
      <c r="V3" s="24"/>
      <c r="W3" s="24"/>
      <c r="X3" s="24"/>
      <c r="Y3" s="24"/>
    </row>
    <row r="5" spans="1:75" x14ac:dyDescent="0.25">
      <c r="J5" s="435" t="s">
        <v>548</v>
      </c>
      <c r="K5" s="436"/>
      <c r="L5" s="436"/>
      <c r="M5" s="436"/>
      <c r="N5" s="436"/>
      <c r="O5" s="436"/>
      <c r="P5" s="436"/>
      <c r="Q5" s="436"/>
      <c r="R5" s="436"/>
      <c r="S5" s="437"/>
      <c r="U5" s="435" t="s">
        <v>549</v>
      </c>
      <c r="V5" s="436"/>
      <c r="W5" s="436"/>
      <c r="X5" s="436"/>
      <c r="Y5" s="436"/>
      <c r="Z5" s="436"/>
      <c r="AA5" s="436"/>
      <c r="AB5" s="436"/>
      <c r="AC5" s="436"/>
      <c r="AD5" s="436"/>
      <c r="AE5" s="436"/>
      <c r="AF5" s="436"/>
      <c r="AG5" s="436"/>
      <c r="AH5" s="436"/>
      <c r="AI5" s="436"/>
      <c r="AJ5" s="436"/>
      <c r="AK5" s="436"/>
      <c r="AL5" s="436"/>
      <c r="AM5" s="436"/>
      <c r="AN5" s="436"/>
      <c r="AO5" s="436"/>
      <c r="AP5" s="437"/>
      <c r="BC5" s="435" t="s">
        <v>550</v>
      </c>
      <c r="BD5" s="436"/>
      <c r="BE5" s="436"/>
      <c r="BF5" s="436"/>
      <c r="BG5" s="436"/>
      <c r="BH5" s="436"/>
      <c r="BI5" s="436"/>
      <c r="BJ5" s="436"/>
      <c r="BK5" s="436"/>
      <c r="BL5" s="436"/>
      <c r="BM5" s="436"/>
      <c r="BN5" s="436"/>
      <c r="BO5" s="436"/>
      <c r="BP5" s="436"/>
      <c r="BQ5" s="436"/>
      <c r="BR5" s="436"/>
      <c r="BS5" s="436"/>
      <c r="BT5" s="436"/>
      <c r="BU5" s="436"/>
      <c r="BV5" s="436"/>
      <c r="BW5" s="437"/>
    </row>
    <row r="6" spans="1:75" x14ac:dyDescent="0.25">
      <c r="J6" s="438"/>
      <c r="K6" s="439"/>
      <c r="L6" s="439"/>
      <c r="M6" s="439"/>
      <c r="N6" s="439"/>
      <c r="O6" s="439"/>
      <c r="P6" s="439"/>
      <c r="Q6" s="439"/>
      <c r="R6" s="439"/>
      <c r="S6" s="440"/>
      <c r="U6" s="438"/>
      <c r="V6" s="439"/>
      <c r="W6" s="439"/>
      <c r="X6" s="439"/>
      <c r="Y6" s="439"/>
      <c r="Z6" s="439"/>
      <c r="AA6" s="439"/>
      <c r="AB6" s="439"/>
      <c r="AC6" s="439"/>
      <c r="AD6" s="439"/>
      <c r="AE6" s="439"/>
      <c r="AF6" s="439"/>
      <c r="AG6" s="439"/>
      <c r="AH6" s="439"/>
      <c r="AI6" s="439"/>
      <c r="AJ6" s="439"/>
      <c r="AK6" s="439"/>
      <c r="AL6" s="439"/>
      <c r="AM6" s="439"/>
      <c r="AN6" s="439"/>
      <c r="AO6" s="439"/>
      <c r="AP6" s="440"/>
      <c r="BC6" s="438"/>
      <c r="BD6" s="439"/>
      <c r="BE6" s="439"/>
      <c r="BF6" s="439"/>
      <c r="BG6" s="439"/>
      <c r="BH6" s="439"/>
      <c r="BI6" s="439"/>
      <c r="BJ6" s="439"/>
      <c r="BK6" s="439"/>
      <c r="BL6" s="439"/>
      <c r="BM6" s="439"/>
      <c r="BN6" s="439"/>
      <c r="BO6" s="439"/>
      <c r="BP6" s="439"/>
      <c r="BQ6" s="439"/>
      <c r="BR6" s="439"/>
      <c r="BS6" s="439"/>
      <c r="BT6" s="439"/>
      <c r="BU6" s="439"/>
      <c r="BV6" s="439"/>
      <c r="BW6" s="440"/>
    </row>
    <row r="7" spans="1:75" x14ac:dyDescent="0.25">
      <c r="J7" s="441"/>
      <c r="K7" s="442"/>
      <c r="L7" s="442"/>
      <c r="M7" s="442"/>
      <c r="N7" s="442"/>
      <c r="O7" s="442"/>
      <c r="P7" s="442"/>
      <c r="Q7" s="442"/>
      <c r="R7" s="442"/>
      <c r="S7" s="443"/>
      <c r="U7" s="441"/>
      <c r="V7" s="442"/>
      <c r="W7" s="442"/>
      <c r="X7" s="442"/>
      <c r="Y7" s="442"/>
      <c r="Z7" s="442"/>
      <c r="AA7" s="442"/>
      <c r="AB7" s="442"/>
      <c r="AC7" s="442"/>
      <c r="AD7" s="442"/>
      <c r="AE7" s="442"/>
      <c r="AF7" s="442"/>
      <c r="AG7" s="442"/>
      <c r="AH7" s="442"/>
      <c r="AI7" s="442"/>
      <c r="AJ7" s="442"/>
      <c r="AK7" s="442"/>
      <c r="AL7" s="442"/>
      <c r="AM7" s="442"/>
      <c r="AN7" s="442"/>
      <c r="AO7" s="442"/>
      <c r="AP7" s="443"/>
      <c r="BC7" s="441"/>
      <c r="BD7" s="442"/>
      <c r="BE7" s="442"/>
      <c r="BF7" s="442"/>
      <c r="BG7" s="442"/>
      <c r="BH7" s="442"/>
      <c r="BI7" s="442"/>
      <c r="BJ7" s="442"/>
      <c r="BK7" s="442"/>
      <c r="BL7" s="442"/>
      <c r="BM7" s="442"/>
      <c r="BN7" s="442"/>
      <c r="BO7" s="442"/>
      <c r="BP7" s="442"/>
      <c r="BQ7" s="442"/>
      <c r="BR7" s="442"/>
      <c r="BS7" s="442"/>
      <c r="BT7" s="442"/>
      <c r="BU7" s="442"/>
      <c r="BV7" s="442"/>
      <c r="BW7" s="443"/>
    </row>
    <row r="8" spans="1:75" ht="15.75" thickBot="1" x14ac:dyDescent="0.3"/>
    <row r="9" spans="1:75" x14ac:dyDescent="0.25">
      <c r="J9" s="444" t="s">
        <v>551</v>
      </c>
      <c r="K9" s="445"/>
      <c r="L9" s="445"/>
      <c r="M9" s="445"/>
      <c r="N9" s="446"/>
      <c r="O9" s="444" t="s">
        <v>552</v>
      </c>
      <c r="P9" s="445"/>
      <c r="Q9" s="445"/>
      <c r="R9" s="445"/>
      <c r="S9" s="446"/>
      <c r="U9" s="447" t="s">
        <v>551</v>
      </c>
      <c r="V9" s="448"/>
      <c r="W9" s="448"/>
      <c r="X9" s="448"/>
      <c r="Y9" s="448"/>
      <c r="Z9" s="448"/>
      <c r="AA9" s="448"/>
      <c r="AB9" s="448"/>
      <c r="AC9" s="448"/>
      <c r="AD9" s="448"/>
      <c r="AE9" s="449"/>
      <c r="AF9" s="447" t="s">
        <v>552</v>
      </c>
      <c r="AG9" s="448"/>
      <c r="AH9" s="448"/>
      <c r="AI9" s="448"/>
      <c r="AJ9" s="448"/>
      <c r="AK9" s="448"/>
      <c r="AL9" s="448"/>
      <c r="AM9" s="448"/>
      <c r="AN9" s="448"/>
      <c r="AO9" s="448"/>
      <c r="AP9" s="449"/>
      <c r="AR9" s="444" t="s">
        <v>553</v>
      </c>
      <c r="AS9" s="445"/>
      <c r="AT9" s="445"/>
      <c r="AU9" s="445"/>
      <c r="AV9" s="445"/>
      <c r="AW9" s="445"/>
      <c r="AX9" s="445"/>
      <c r="AY9" s="445"/>
      <c r="AZ9" s="445"/>
      <c r="BA9" s="446"/>
      <c r="BD9" s="447" t="s">
        <v>551</v>
      </c>
      <c r="BE9" s="448"/>
      <c r="BF9" s="448"/>
      <c r="BG9" s="448"/>
      <c r="BH9" s="448"/>
      <c r="BI9" s="448"/>
      <c r="BJ9" s="448"/>
      <c r="BK9" s="448"/>
      <c r="BL9" s="448"/>
      <c r="BM9" s="449"/>
      <c r="BN9" s="447" t="s">
        <v>552</v>
      </c>
      <c r="BO9" s="448"/>
      <c r="BP9" s="448"/>
      <c r="BQ9" s="448"/>
      <c r="BR9" s="448"/>
      <c r="BS9" s="448"/>
      <c r="BT9" s="448"/>
      <c r="BU9" s="448"/>
      <c r="BV9" s="448"/>
      <c r="BW9" s="449"/>
    </row>
    <row r="10" spans="1:75" ht="75" x14ac:dyDescent="0.25">
      <c r="B10" s="39" t="s">
        <v>554</v>
      </c>
      <c r="C10" s="39" t="s">
        <v>555</v>
      </c>
      <c r="D10" s="252" t="s">
        <v>556</v>
      </c>
      <c r="E10" s="39" t="str">
        <f>'CBECS Elec'!I8</f>
        <v>Cooking</v>
      </c>
      <c r="F10" s="39" t="str">
        <f>'CBECS Elec'!K8</f>
        <v>Office equipment</v>
      </c>
      <c r="G10" s="39" t="str">
        <f>'CBECS Elec'!L8</f>
        <v>Computing</v>
      </c>
      <c r="H10" s="39" t="str">
        <f>'CBECS Elec'!M8</f>
        <v>Other</v>
      </c>
      <c r="I10" s="39" t="s">
        <v>557</v>
      </c>
      <c r="J10" s="262" t="s">
        <v>558</v>
      </c>
      <c r="K10" s="261" t="str">
        <f>E10</f>
        <v>Cooking</v>
      </c>
      <c r="L10" s="261" t="str">
        <f>F10</f>
        <v>Office equipment</v>
      </c>
      <c r="M10" s="261" t="str">
        <f>G10</f>
        <v>Computing</v>
      </c>
      <c r="N10" s="261" t="str">
        <f>H10</f>
        <v>Other</v>
      </c>
      <c r="O10" s="39" t="s">
        <v>559</v>
      </c>
      <c r="P10" s="254" t="str">
        <f>E10</f>
        <v>Cooking</v>
      </c>
      <c r="Q10" s="254" t="str">
        <f>F10</f>
        <v>Office equipment</v>
      </c>
      <c r="R10" s="254" t="str">
        <f>G10</f>
        <v>Computing</v>
      </c>
      <c r="S10" s="254" t="str">
        <f>H10</f>
        <v>Other</v>
      </c>
      <c r="U10" s="255" t="str" cm="1">
        <f t="array" aca="1" ref="U10:AE10" ca="1">TRANSPOSE(Lookups_End_Use_CBECS)</f>
        <v>Space heating</v>
      </c>
      <c r="V10" s="39" t="str">
        <f ca="1"/>
        <v>Space cooling</v>
      </c>
      <c r="W10" s="39" t="str">
        <f ca="1"/>
        <v>Ventilation</v>
      </c>
      <c r="X10" s="39" t="str">
        <f ca="1"/>
        <v>Water heating</v>
      </c>
      <c r="Y10" s="39" t="str">
        <f ca="1"/>
        <v>Lighting</v>
      </c>
      <c r="Z10" s="254" t="str">
        <f ca="1"/>
        <v>Cooking</v>
      </c>
      <c r="AA10" s="39" t="str">
        <f ca="1"/>
        <v>Refrigeration</v>
      </c>
      <c r="AB10" s="254" t="str">
        <f ca="1"/>
        <v>Office equipment</v>
      </c>
      <c r="AC10" s="254" t="str">
        <f ca="1"/>
        <v>Plug Loads</v>
      </c>
      <c r="AD10" s="254" t="str">
        <f ca="1"/>
        <v>Computing</v>
      </c>
      <c r="AE10" s="256" t="str">
        <f ca="1"/>
        <v>Other</v>
      </c>
      <c r="AF10" s="255" t="str" cm="1">
        <f t="array" aca="1" ref="AF10:AP10" ca="1">TRANSPOSE(Lookups_End_Use_CBECS)</f>
        <v>Space heating</v>
      </c>
      <c r="AG10" s="39" t="str">
        <f ca="1"/>
        <v>Space cooling</v>
      </c>
      <c r="AH10" s="39" t="str">
        <f ca="1"/>
        <v>Ventilation</v>
      </c>
      <c r="AI10" s="39" t="str">
        <f ca="1"/>
        <v>Water heating</v>
      </c>
      <c r="AJ10" s="39" t="str">
        <f ca="1"/>
        <v>Lighting</v>
      </c>
      <c r="AK10" s="254" t="str">
        <f ca="1"/>
        <v>Cooking</v>
      </c>
      <c r="AL10" s="39" t="str">
        <f ca="1"/>
        <v>Refrigeration</v>
      </c>
      <c r="AM10" s="254" t="str">
        <f ca="1"/>
        <v>Office equipment</v>
      </c>
      <c r="AN10" s="254" t="str">
        <f ca="1"/>
        <v>Plug Loads</v>
      </c>
      <c r="AO10" s="254" t="str">
        <f ca="1"/>
        <v>Computing</v>
      </c>
      <c r="AP10" s="256" t="str">
        <f ca="1"/>
        <v>Other</v>
      </c>
      <c r="AR10" s="281" t="str">
        <f>'CBECS Elec'!D8</f>
        <v>Space heating</v>
      </c>
      <c r="AS10" s="281" t="str">
        <f>'CBECS Elec'!E8</f>
        <v>Space cooling</v>
      </c>
      <c r="AT10" s="281" t="str">
        <f>'CBECS Elec'!F8</f>
        <v>Ventilation</v>
      </c>
      <c r="AU10" s="281" t="str">
        <f>'CBECS Elec'!G8</f>
        <v>Water heating</v>
      </c>
      <c r="AV10" s="281" t="str">
        <f>'CBECS Elec'!H8</f>
        <v>Lighting</v>
      </c>
      <c r="AW10" s="281" t="str">
        <f>'CBECS Elec'!I8</f>
        <v>Cooking</v>
      </c>
      <c r="AX10" s="281" t="str">
        <f>'CBECS Elec'!J8</f>
        <v>Refrigeration</v>
      </c>
      <c r="AY10" s="281" t="str">
        <f>'CBECS Elec'!K8</f>
        <v>Office equipment</v>
      </c>
      <c r="AZ10" s="281" t="str">
        <f>'CBECS Elec'!L8</f>
        <v>Computing</v>
      </c>
      <c r="BA10" s="281" t="str">
        <f>'CBECS Elec'!M8</f>
        <v>Other</v>
      </c>
      <c r="BC10" s="287" t="s">
        <v>560</v>
      </c>
      <c r="BD10" s="288" t="str">
        <f>AR10</f>
        <v>Space heating</v>
      </c>
      <c r="BE10" s="282" t="str">
        <f t="shared" ref="BE10:BL10" si="0">AS10</f>
        <v>Space cooling</v>
      </c>
      <c r="BF10" s="282" t="str">
        <f t="shared" si="0"/>
        <v>Ventilation</v>
      </c>
      <c r="BG10" s="282" t="str">
        <f t="shared" si="0"/>
        <v>Water heating</v>
      </c>
      <c r="BH10" s="282" t="str">
        <f t="shared" si="0"/>
        <v>Lighting</v>
      </c>
      <c r="BI10" s="282" t="str">
        <f t="shared" si="0"/>
        <v>Cooking</v>
      </c>
      <c r="BJ10" s="282" t="str">
        <f t="shared" si="0"/>
        <v>Refrigeration</v>
      </c>
      <c r="BK10" s="282" t="str">
        <f t="shared" si="0"/>
        <v>Office equipment</v>
      </c>
      <c r="BL10" s="282" t="str">
        <f t="shared" si="0"/>
        <v>Computing</v>
      </c>
      <c r="BM10" s="289" t="str">
        <f>BA10</f>
        <v>Other</v>
      </c>
      <c r="BN10" s="288" t="str">
        <f t="shared" ref="BN10" si="1">BD10</f>
        <v>Space heating</v>
      </c>
      <c r="BO10" s="282" t="str">
        <f t="shared" ref="BO10" si="2">BE10</f>
        <v>Space cooling</v>
      </c>
      <c r="BP10" s="282" t="str">
        <f t="shared" ref="BP10" si="3">BF10</f>
        <v>Ventilation</v>
      </c>
      <c r="BQ10" s="282" t="str">
        <f t="shared" ref="BQ10" si="4">BG10</f>
        <v>Water heating</v>
      </c>
      <c r="BR10" s="282" t="str">
        <f t="shared" ref="BR10" si="5">BH10</f>
        <v>Lighting</v>
      </c>
      <c r="BS10" s="282" t="str">
        <f t="shared" ref="BS10" si="6">BI10</f>
        <v>Cooking</v>
      </c>
      <c r="BT10" s="282" t="str">
        <f t="shared" ref="BT10" si="7">BJ10</f>
        <v>Refrigeration</v>
      </c>
      <c r="BU10" s="282" t="str">
        <f t="shared" ref="BU10" si="8">BK10</f>
        <v>Office equipment</v>
      </c>
      <c r="BV10" s="282" t="str">
        <f t="shared" ref="BV10" si="9">BL10</f>
        <v>Computing</v>
      </c>
      <c r="BW10" s="289" t="str">
        <f t="shared" ref="BW10" si="10">BM10</f>
        <v>Other</v>
      </c>
    </row>
    <row r="11" spans="1:75" x14ac:dyDescent="0.25">
      <c r="B11" s="267" t="str" cm="1">
        <f t="array" aca="1" ref="B11:B34" ca="1">Lookups_Building_List_Workbook</f>
        <v>Education, Primary School</v>
      </c>
      <c r="C11" s="267" t="str" cm="1">
        <f t="array" aca="1" ref="C11" ca="1">_xlfn.XLOOKUP(B11,Lookups_Building_List_Workbook,Lookups_Building_List_CBECS,,0)</f>
        <v>Education</v>
      </c>
      <c r="D11" s="267" t="str" cm="1">
        <f t="array" aca="1" ref="D11" ca="1">_xlfn.XLOOKUP(B11,Lookups_Building_List_Workbook,Lookups_Building_List_NREL,,0)</f>
        <v>PrimarySchool</v>
      </c>
      <c r="E11" s="270">
        <f t="shared" ref="E11:H34" ca="1" si="11">INDEX(CBECS_Elec_Building_List_Index,MATCH($C11,CBECS_Elec_Building_List,0),MATCH(E$10,CBECS_Elec_End_Uses,0))</f>
        <v>0.3</v>
      </c>
      <c r="F11" s="270">
        <f t="shared" ca="1" si="11"/>
        <v>0.1</v>
      </c>
      <c r="G11" s="270">
        <f t="shared" ca="1" si="11"/>
        <v>0.7</v>
      </c>
      <c r="H11" s="270">
        <f t="shared" ca="1" si="11"/>
        <v>2.2000000000000002</v>
      </c>
      <c r="I11" s="271">
        <f t="shared" ref="I11:I34" ca="1" si="12">SUM(E11:H11)</f>
        <v>3.3000000000000003</v>
      </c>
      <c r="J11" s="268">
        <f t="shared" ref="J11:J34" ca="1" si="13">INDEX(NREL_ETDF_Index,MATCH($D11,NREL_Building_List,0),MATCH("interior_equipment_etdf"&amp;IF($J$9="Winter","w","s"),NREL_End_Use_ETDF,0))</f>
        <v>1.4569999999999999E-4</v>
      </c>
      <c r="K11" s="269">
        <f t="shared" ref="K11:K34" ca="1" si="14">E11*$J11/$I11</f>
        <v>1.3245454545454542E-5</v>
      </c>
      <c r="L11" s="269">
        <f t="shared" ref="L11:L34" ca="1" si="15">F11*$J11/$I11</f>
        <v>4.4151515151515148E-6</v>
      </c>
      <c r="M11" s="269">
        <f t="shared" ref="M11:M34" ca="1" si="16">G11*$J11/$I11</f>
        <v>3.0906060606060601E-5</v>
      </c>
      <c r="N11" s="269">
        <f t="shared" ref="N11:N34" ca="1" si="17">H11*$J11/$I11</f>
        <v>9.7133333333333327E-5</v>
      </c>
      <c r="O11" s="268">
        <f t="shared" ref="O11:O34" ca="1" si="18">INDEX(NREL_ETDF_Index,MATCH($D11,NREL_Building_List,0),MATCH("interior_equipment_etdf"&amp;IF($O$9="Winter","w","s"),NREL_End_Use_ETDF,0))</f>
        <v>1.3669999999999999E-4</v>
      </c>
      <c r="P11" s="269">
        <f t="shared" ref="P11:P34" ca="1" si="19">E11*$O11/$I11</f>
        <v>1.2427272727272725E-5</v>
      </c>
      <c r="Q11" s="269">
        <f t="shared" ref="Q11:Q34" ca="1" si="20">F11*$O11/$I11</f>
        <v>4.1424242424242424E-6</v>
      </c>
      <c r="R11" s="269">
        <f t="shared" ref="R11:R34" ca="1" si="21">G11*$O11/$I11</f>
        <v>2.8996969696969689E-5</v>
      </c>
      <c r="S11" s="269">
        <f t="shared" ref="S11:S34" ca="1" si="22">H11*$O11/$I11</f>
        <v>9.113333333333333E-5</v>
      </c>
      <c r="U11" s="284" cm="1">
        <f t="array" aca="1" ref="U11" ca="1">INDEX(NREL_ETDF_Index,MATCH($D11,NREL_Building_List,0),MATCH(_xlfn.XLOOKUP(U$10,Lookups_End_Use_CBECS,Lookups_End_Use_NREL,,0)&amp;IF($U$9="Winter","w","s"),NREL_End_Use_ETDF,0))</f>
        <v>3.8549999999999999E-4</v>
      </c>
      <c r="V11" s="268" cm="1">
        <f t="array" aca="1" ref="V11" ca="1">INDEX(NREL_ETDF_Index,MATCH($D11,NREL_Building_List,0),MATCH(_xlfn.XLOOKUP(V$10,Lookups_End_Use_CBECS,Lookups_End_Use_NREL,,0)&amp;IF($U$9="Winter","w","s"),NREL_End_Use_ETDF,0))</f>
        <v>9.9000000000000001E-6</v>
      </c>
      <c r="W11" s="268" cm="1">
        <f t="array" aca="1" ref="W11" ca="1">INDEX(NREL_ETDF_Index,MATCH($D11,NREL_Building_List,0),MATCH(_xlfn.XLOOKUP(W$10,Lookups_End_Use_CBECS,Lookups_End_Use_NREL,,0)&amp;IF($U$9="Winter","w","s"),NREL_End_Use_ETDF,0))</f>
        <v>1.9479999999999999E-4</v>
      </c>
      <c r="X11" s="268" cm="1">
        <f t="array" aca="1" ref="X11" ca="1">INDEX(NREL_ETDF_Index,MATCH($D11,NREL_Building_List,0),MATCH(_xlfn.XLOOKUP(X$10,Lookups_End_Use_CBECS,Lookups_End_Use_NREL,,0)&amp;IF($U$9="Winter","w","s"),NREL_End_Use_ETDF,0))</f>
        <v>2.064E-4</v>
      </c>
      <c r="Y11" s="268" cm="1">
        <f t="array" aca="1" ref="Y11" ca="1">INDEX(NREL_ETDF_Index,MATCH($D11,NREL_Building_List,0),MATCH(_xlfn.XLOOKUP(Y$10,Lookups_End_Use_CBECS,Lookups_End_Use_NREL,,0)&amp;IF($U$9="Winter","w","s"),NREL_End_Use_ETDF,0))</f>
        <v>1.7090000000000001E-4</v>
      </c>
      <c r="Z11" s="285">
        <f ca="1">K11</f>
        <v>1.3245454545454542E-5</v>
      </c>
      <c r="AA11" s="268" cm="1">
        <f t="array" aca="1" ref="AA11" ca="1">INDEX(NREL_ETDF_Index,MATCH($D11,NREL_Building_List,0),MATCH(_xlfn.XLOOKUP(AA$10,Lookups_End_Use_CBECS,Lookups_End_Use_NREL,,0)&amp;IF($U$9="Winter","w","s"),NREL_End_Use_ETDF,0))</f>
        <v>1.111E-4</v>
      </c>
      <c r="AB11" s="285">
        <f ca="1">Q11</f>
        <v>4.1424242424242424E-6</v>
      </c>
      <c r="AC11" s="285">
        <f ca="1">Q11</f>
        <v>4.1424242424242424E-6</v>
      </c>
      <c r="AD11" s="285">
        <f ca="1">R11</f>
        <v>2.8996969696969689E-5</v>
      </c>
      <c r="AE11" s="286">
        <f ca="1">S11</f>
        <v>9.113333333333333E-5</v>
      </c>
      <c r="AF11" s="284" cm="1">
        <f t="array" aca="1" ref="AF11" ca="1">INDEX(NREL_ETDF_Index,MATCH($D11,NREL_Building_List,0),MATCH(_xlfn.XLOOKUP(AF$10,Lookups_End_Use_CBECS,Lookups_End_Use_NREL,,0)&amp;IF($AF$9="Winter","w","s"),NREL_End_Use_ETDF,0))</f>
        <v>1.1399999999999999E-5</v>
      </c>
      <c r="AG11" s="268" cm="1">
        <f t="array" aca="1" ref="AG11" ca="1">INDEX(NREL_ETDF_Index,MATCH($D11,NREL_Building_List,0),MATCH(_xlfn.XLOOKUP(AG$10,Lookups_End_Use_CBECS,Lookups_End_Use_NREL,,0)&amp;IF($AF$9="Winter","w","s"),NREL_End_Use_ETDF,0))</f>
        <v>5.4020000000000001E-4</v>
      </c>
      <c r="AH11" s="268" cm="1">
        <f t="array" aca="1" ref="AH11" ca="1">INDEX(NREL_ETDF_Index,MATCH($D11,NREL_Building_List,0),MATCH(_xlfn.XLOOKUP(AH$10,Lookups_End_Use_CBECS,Lookups_End_Use_NREL,,0)&amp;IF($AF$9="Winter","w","s"),NREL_End_Use_ETDF,0))</f>
        <v>1.9570000000000001E-4</v>
      </c>
      <c r="AI11" s="268" cm="1">
        <f t="array" aca="1" ref="AI11" ca="1">INDEX(NREL_ETDF_Index,MATCH($D11,NREL_Building_List,0),MATCH(_xlfn.XLOOKUP(AI$10,Lookups_End_Use_CBECS,Lookups_End_Use_NREL,,0)&amp;IF($AF$9="Winter","w","s"),NREL_End_Use_ETDF,0))</f>
        <v>1.8100000000000001E-4</v>
      </c>
      <c r="AJ11" s="268" cm="1">
        <f t="array" aca="1" ref="AJ11" ca="1">INDEX(NREL_ETDF_Index,MATCH($D11,NREL_Building_List,0),MATCH(_xlfn.XLOOKUP(AJ$10,Lookups_End_Use_CBECS,Lookups_End_Use_NREL,,0)&amp;IF($AF$9="Winter","w","s"),NREL_End_Use_ETDF,0))</f>
        <v>1.3689999999999999E-4</v>
      </c>
      <c r="AK11" s="285">
        <f ca="1">P11</f>
        <v>1.2427272727272725E-5</v>
      </c>
      <c r="AL11" s="268" cm="1">
        <f t="array" aca="1" ref="AL11" ca="1">INDEX(NREL_ETDF_Index,MATCH($D11,NREL_Building_List,0),MATCH(_xlfn.XLOOKUP(AL$10,Lookups_End_Use_CBECS,Lookups_End_Use_NREL,,0)&amp;IF($AF$9="Winter","w","s"),NREL_End_Use_ETDF,0))</f>
        <v>1.3530000000000001E-4</v>
      </c>
      <c r="AM11" s="285">
        <f ca="1">P11</f>
        <v>1.2427272727272725E-5</v>
      </c>
      <c r="AN11" s="285">
        <f ca="1">Q11</f>
        <v>4.1424242424242424E-6</v>
      </c>
      <c r="AO11" s="285">
        <f ca="1">R11</f>
        <v>2.8996969696969689E-5</v>
      </c>
      <c r="AP11" s="286">
        <f ca="1">S11</f>
        <v>9.113333333333333E-5</v>
      </c>
      <c r="AR11" s="270">
        <f t="shared" ref="AR11:BA20" ca="1" si="23">INDEX(CBECS_Elec_Building_List_Index,MATCH($C11,CBECS_Elec_Building_List,0),MATCH(AR$10,CBECS_Elec_End_Uses,0))</f>
        <v>1.3</v>
      </c>
      <c r="AS11" s="270">
        <f t="shared" ca="1" si="23"/>
        <v>2.1</v>
      </c>
      <c r="AT11" s="270">
        <f t="shared" ca="1" si="23"/>
        <v>1.4</v>
      </c>
      <c r="AU11" s="270">
        <f t="shared" ca="1" si="23"/>
        <v>0.7</v>
      </c>
      <c r="AV11" s="270">
        <f t="shared" ca="1" si="23"/>
        <v>1.6</v>
      </c>
      <c r="AW11" s="270">
        <f t="shared" ca="1" si="23"/>
        <v>0.3</v>
      </c>
      <c r="AX11" s="270">
        <f t="shared" ca="1" si="23"/>
        <v>0.5</v>
      </c>
      <c r="AY11" s="270">
        <f t="shared" ca="1" si="23"/>
        <v>0.1</v>
      </c>
      <c r="AZ11" s="270">
        <f t="shared" ca="1" si="23"/>
        <v>0.7</v>
      </c>
      <c r="BA11" s="270">
        <f t="shared" ca="1" si="23"/>
        <v>2.2000000000000002</v>
      </c>
      <c r="BC11" s="283">
        <v>1</v>
      </c>
      <c r="BD11" s="290">
        <f t="shared" ref="BD11:BM11" ca="1" si="24">U11*AR11/AVERAGEIFS(AR$11:AR$34,$BC$11:$BC$34,$BC11)</f>
        <v>3.8549999999999999E-4</v>
      </c>
      <c r="BE11" s="269">
        <f t="shared" ca="1" si="24"/>
        <v>9.9000000000000001E-6</v>
      </c>
      <c r="BF11" s="269">
        <f t="shared" ca="1" si="24"/>
        <v>1.9479999999999996E-4</v>
      </c>
      <c r="BG11" s="269">
        <f t="shared" ca="1" si="24"/>
        <v>2.064E-4</v>
      </c>
      <c r="BH11" s="269">
        <f t="shared" ca="1" si="24"/>
        <v>1.7090000000000001E-4</v>
      </c>
      <c r="BI11" s="269">
        <f t="shared" ca="1" si="24"/>
        <v>1.3245454545454542E-5</v>
      </c>
      <c r="BJ11" s="269">
        <f t="shared" ca="1" si="24"/>
        <v>1.111E-4</v>
      </c>
      <c r="BK11" s="269">
        <f t="shared" ca="1" si="24"/>
        <v>4.1424242424242424E-6</v>
      </c>
      <c r="BL11" s="269">
        <f t="shared" ca="1" si="24"/>
        <v>4.1424242424242424E-6</v>
      </c>
      <c r="BM11" s="291">
        <f t="shared" ca="1" si="24"/>
        <v>2.8996969696969689E-5</v>
      </c>
      <c r="BN11" s="290">
        <f ca="1">AF11*AR11/AVERAGEIFS(AR$11:AR$34,$BC$11:$BC$34,$BC11)</f>
        <v>1.1399999999999999E-5</v>
      </c>
      <c r="BO11" s="269">
        <f t="shared" ref="BO11:BO34" ca="1" si="25">AG11*AS11/AVERAGEIFS(AS$11:AS$34,$BC$11:$BC$34,$BC11)</f>
        <v>5.4020000000000001E-4</v>
      </c>
      <c r="BP11" s="269">
        <f t="shared" ref="BP11:BP34" ca="1" si="26">AH11*AT11/AVERAGEIFS(AT$11:AT$34,$BC$11:$BC$34,$BC11)</f>
        <v>1.9570000000000001E-4</v>
      </c>
      <c r="BQ11" s="269">
        <f t="shared" ref="BQ11:BQ34" ca="1" si="27">AI11*AU11/AVERAGEIFS(AU$11:AU$34,$BC$11:$BC$34,$BC11)</f>
        <v>1.8100000000000001E-4</v>
      </c>
      <c r="BR11" s="269">
        <f t="shared" ref="BR11:BR34" ca="1" si="28">AJ11*AV11/AVERAGEIFS(AV$11:AV$34,$BC$11:$BC$34,$BC11)</f>
        <v>1.3689999999999999E-4</v>
      </c>
      <c r="BS11" s="269">
        <f t="shared" ref="BS11:BS34" ca="1" si="29">AK11*AW11/AVERAGEIFS(AW$11:AW$34,$BC$11:$BC$34,$BC11)</f>
        <v>1.2427272727272725E-5</v>
      </c>
      <c r="BT11" s="269">
        <f t="shared" ref="BT11:BT34" ca="1" si="30">AL11*AX11/AVERAGEIFS(AX$11:AX$34,$BC$11:$BC$34,$BC11)</f>
        <v>1.3530000000000001E-4</v>
      </c>
      <c r="BU11" s="269">
        <f t="shared" ref="BU11:BU34" ca="1" si="31">AM11*AY11/AVERAGEIFS(AY$11:AY$34,$BC$11:$BC$34,$BC11)</f>
        <v>1.2427272727272725E-5</v>
      </c>
      <c r="BV11" s="269">
        <f t="shared" ref="BV11:BV34" ca="1" si="32">AN11*AZ11/AVERAGEIFS(AZ$11:AZ$34,$BC$11:$BC$34,$BC11)</f>
        <v>4.1424242424242424E-6</v>
      </c>
      <c r="BW11" s="291">
        <f t="shared" ref="BW11:BW34" ca="1" si="33">AO11*BA11/AVERAGEIFS(BA$11:BA$34,$BC$11:$BC$34,$BC11)</f>
        <v>2.8996969696969689E-5</v>
      </c>
    </row>
    <row r="12" spans="1:75" x14ac:dyDescent="0.25">
      <c r="B12" s="267" t="str">
        <f ca="1"/>
        <v>Education, Secondary School</v>
      </c>
      <c r="C12" s="267" t="str" cm="1">
        <f t="array" aca="1" ref="C12" ca="1">_xlfn.XLOOKUP(B12,Lookups_Building_List_Workbook,Lookups_Building_List_CBECS,,0)</f>
        <v>Education</v>
      </c>
      <c r="D12" s="267" t="str" cm="1">
        <f t="array" aca="1" ref="D12" ca="1">_xlfn.XLOOKUP(B12,Lookups_Building_List_Workbook,Lookups_Building_List_NREL,,0)</f>
        <v>SecondarySchool</v>
      </c>
      <c r="E12" s="270">
        <f t="shared" ca="1" si="11"/>
        <v>0.3</v>
      </c>
      <c r="F12" s="270">
        <f t="shared" ca="1" si="11"/>
        <v>0.1</v>
      </c>
      <c r="G12" s="270">
        <f t="shared" ca="1" si="11"/>
        <v>0.7</v>
      </c>
      <c r="H12" s="270">
        <f t="shared" ca="1" si="11"/>
        <v>2.2000000000000002</v>
      </c>
      <c r="I12" s="271">
        <f t="shared" ca="1" si="12"/>
        <v>3.3000000000000003</v>
      </c>
      <c r="J12" s="268">
        <f t="shared" ca="1" si="13"/>
        <v>1.5100000000000001E-4</v>
      </c>
      <c r="K12" s="269">
        <f t="shared" ca="1" si="14"/>
        <v>1.3727272727272727E-5</v>
      </c>
      <c r="L12" s="269">
        <f t="shared" ca="1" si="15"/>
        <v>4.5757575757575755E-6</v>
      </c>
      <c r="M12" s="269">
        <f t="shared" ca="1" si="16"/>
        <v>3.2030303030303029E-5</v>
      </c>
      <c r="N12" s="269">
        <f t="shared" ca="1" si="17"/>
        <v>1.0066666666666667E-4</v>
      </c>
      <c r="O12" s="268">
        <f t="shared" ca="1" si="18"/>
        <v>9.5000000000000005E-5</v>
      </c>
      <c r="P12" s="269">
        <f t="shared" ca="1" si="19"/>
        <v>8.6363636363636353E-6</v>
      </c>
      <c r="Q12" s="269">
        <f t="shared" ca="1" si="20"/>
        <v>2.8787878787878789E-6</v>
      </c>
      <c r="R12" s="269">
        <f t="shared" ca="1" si="21"/>
        <v>2.0151515151515152E-5</v>
      </c>
      <c r="S12" s="269">
        <f t="shared" ca="1" si="22"/>
        <v>6.3333333333333346E-5</v>
      </c>
      <c r="U12" s="284" cm="1">
        <f t="array" aca="1" ref="U12" ca="1">INDEX(NREL_ETDF_Index,MATCH($D12,NREL_Building_List,0),MATCH(_xlfn.XLOOKUP(U$10,Lookups_End_Use_CBECS,Lookups_End_Use_NREL,,0)&amp;IF($U$9="Winter","w","s"),NREL_End_Use_ETDF,0))</f>
        <v>3.992E-4</v>
      </c>
      <c r="V12" s="268" cm="1">
        <f t="array" aca="1" ref="V12" ca="1">INDEX(NREL_ETDF_Index,MATCH($D12,NREL_Building_List,0),MATCH(_xlfn.XLOOKUP(V$10,Lookups_End_Use_CBECS,Lookups_End_Use_NREL,,0)&amp;IF($U$9="Winter","w","s"),NREL_End_Use_ETDF,0))</f>
        <v>7.6000000000000001E-6</v>
      </c>
      <c r="W12" s="268" cm="1">
        <f t="array" aca="1" ref="W12" ca="1">INDEX(NREL_ETDF_Index,MATCH($D12,NREL_Building_List,0),MATCH(_xlfn.XLOOKUP(W$10,Lookups_End_Use_CBECS,Lookups_End_Use_NREL,,0)&amp;IF($U$9="Winter","w","s"),NREL_End_Use_ETDF,0))</f>
        <v>1.4430000000000001E-4</v>
      </c>
      <c r="X12" s="268" cm="1">
        <f t="array" aca="1" ref="X12" ca="1">INDEX(NREL_ETDF_Index,MATCH($D12,NREL_Building_List,0),MATCH(_xlfn.XLOOKUP(X$10,Lookups_End_Use_CBECS,Lookups_End_Use_NREL,,0)&amp;IF($U$9="Winter","w","s"),NREL_End_Use_ETDF,0))</f>
        <v>2.1029999999999999E-4</v>
      </c>
      <c r="Y12" s="268" cm="1">
        <f t="array" aca="1" ref="Y12" ca="1">INDEX(NREL_ETDF_Index,MATCH($D12,NREL_Building_List,0),MATCH(_xlfn.XLOOKUP(Y$10,Lookups_End_Use_CBECS,Lookups_End_Use_NREL,,0)&amp;IF($U$9="Winter","w","s"),NREL_End_Use_ETDF,0))</f>
        <v>1.649E-4</v>
      </c>
      <c r="Z12" s="285">
        <f t="shared" ref="Z12:Z34" ca="1" si="34">K12</f>
        <v>1.3727272727272727E-5</v>
      </c>
      <c r="AA12" s="268" cm="1">
        <f t="array" aca="1" ref="AA12" ca="1">INDEX(NREL_ETDF_Index,MATCH($D12,NREL_Building_List,0),MATCH(_xlfn.XLOOKUP(AA$10,Lookups_End_Use_CBECS,Lookups_End_Use_NREL,,0)&amp;IF($U$9="Winter","w","s"),NREL_End_Use_ETDF,0))</f>
        <v>1.209E-4</v>
      </c>
      <c r="AB12" s="285">
        <f t="shared" ref="AB12:AB34" ca="1" si="35">Q12</f>
        <v>2.8787878787878789E-6</v>
      </c>
      <c r="AC12" s="285">
        <f t="shared" ref="AC12:AC34" ca="1" si="36">Q12</f>
        <v>2.8787878787878789E-6</v>
      </c>
      <c r="AD12" s="285">
        <f t="shared" ref="AD12:AD34" ca="1" si="37">R12</f>
        <v>2.0151515151515152E-5</v>
      </c>
      <c r="AE12" s="286">
        <f t="shared" ref="AE12:AE34" ca="1" si="38">S12</f>
        <v>6.3333333333333346E-5</v>
      </c>
      <c r="AF12" s="284" cm="1">
        <f t="array" aca="1" ref="AF12" ca="1">INDEX(NREL_ETDF_Index,MATCH($D12,NREL_Building_List,0),MATCH(_xlfn.XLOOKUP(AF$10,Lookups_End_Use_CBECS,Lookups_End_Use_NREL,,0)&amp;IF($AF$9="Winter","w","s"),NREL_End_Use_ETDF,0))</f>
        <v>2.9999999999999999E-7</v>
      </c>
      <c r="AG12" s="268" cm="1">
        <f t="array" aca="1" ref="AG12" ca="1">INDEX(NREL_ETDF_Index,MATCH($D12,NREL_Building_List,0),MATCH(_xlfn.XLOOKUP(AG$10,Lookups_End_Use_CBECS,Lookups_End_Use_NREL,,0)&amp;IF($AF$9="Winter","w","s"),NREL_End_Use_ETDF,0))</f>
        <v>5.5110000000000001E-4</v>
      </c>
      <c r="AH12" s="268" cm="1">
        <f t="array" aca="1" ref="AH12" ca="1">INDEX(NREL_ETDF_Index,MATCH($D12,NREL_Building_List,0),MATCH(_xlfn.XLOOKUP(AH$10,Lookups_End_Use_CBECS,Lookups_End_Use_NREL,,0)&amp;IF($AF$9="Winter","w","s"),NREL_End_Use_ETDF,0))</f>
        <v>1.63E-4</v>
      </c>
      <c r="AI12" s="268" cm="1">
        <f t="array" aca="1" ref="AI12" ca="1">INDEX(NREL_ETDF_Index,MATCH($D12,NREL_Building_List,0),MATCH(_xlfn.XLOOKUP(AI$10,Lookups_End_Use_CBECS,Lookups_End_Use_NREL,,0)&amp;IF($AF$9="Winter","w","s"),NREL_End_Use_ETDF,0))</f>
        <v>7.8899999999999993E-5</v>
      </c>
      <c r="AJ12" s="268" cm="1">
        <f t="array" aca="1" ref="AJ12" ca="1">INDEX(NREL_ETDF_Index,MATCH($D12,NREL_Building_List,0),MATCH(_xlfn.XLOOKUP(AJ$10,Lookups_End_Use_CBECS,Lookups_End_Use_NREL,,0)&amp;IF($AF$9="Winter","w","s"),NREL_End_Use_ETDF,0))</f>
        <v>1.0289999999999999E-4</v>
      </c>
      <c r="AK12" s="285">
        <f t="shared" ref="AK12:AK34" ca="1" si="39">P12</f>
        <v>8.6363636363636353E-6</v>
      </c>
      <c r="AL12" s="268" cm="1">
        <f t="array" aca="1" ref="AL12" ca="1">INDEX(NREL_ETDF_Index,MATCH($D12,NREL_Building_List,0),MATCH(_xlfn.XLOOKUP(AL$10,Lookups_End_Use_CBECS,Lookups_End_Use_NREL,,0)&amp;IF($AF$9="Winter","w","s"),NREL_End_Use_ETDF,0))</f>
        <v>1.5669999999999999E-4</v>
      </c>
      <c r="AM12" s="285">
        <f t="shared" ref="AM12:AM34" ca="1" si="40">P12</f>
        <v>8.6363636363636353E-6</v>
      </c>
      <c r="AN12" s="285">
        <f t="shared" ref="AN12:AN34" ca="1" si="41">Q12</f>
        <v>2.8787878787878789E-6</v>
      </c>
      <c r="AO12" s="285">
        <f t="shared" ref="AO12:AO34" ca="1" si="42">R12</f>
        <v>2.0151515151515152E-5</v>
      </c>
      <c r="AP12" s="286">
        <f t="shared" ref="AP12:AP34" ca="1" si="43">S12</f>
        <v>6.3333333333333346E-5</v>
      </c>
      <c r="AR12" s="270">
        <f t="shared" ca="1" si="23"/>
        <v>1.3</v>
      </c>
      <c r="AS12" s="270">
        <f t="shared" ca="1" si="23"/>
        <v>2.1</v>
      </c>
      <c r="AT12" s="270">
        <f t="shared" ca="1" si="23"/>
        <v>1.4</v>
      </c>
      <c r="AU12" s="270">
        <f t="shared" ca="1" si="23"/>
        <v>0.7</v>
      </c>
      <c r="AV12" s="270">
        <f t="shared" ca="1" si="23"/>
        <v>1.6</v>
      </c>
      <c r="AW12" s="270">
        <f t="shared" ca="1" si="23"/>
        <v>0.3</v>
      </c>
      <c r="AX12" s="270">
        <f t="shared" ca="1" si="23"/>
        <v>0.5</v>
      </c>
      <c r="AY12" s="270">
        <f t="shared" ca="1" si="23"/>
        <v>0.1</v>
      </c>
      <c r="AZ12" s="270">
        <f t="shared" ca="1" si="23"/>
        <v>0.7</v>
      </c>
      <c r="BA12" s="270">
        <f t="shared" ca="1" si="23"/>
        <v>2.2000000000000002</v>
      </c>
      <c r="BC12" s="283">
        <v>2</v>
      </c>
      <c r="BD12" s="290">
        <f t="shared" ref="BD12:BM34" ca="1" si="44">U12*AR12/AVERAGEIFS(AR$11:AR$34,$BC$11:$BC$34,$BC12)</f>
        <v>3.9920000000000005E-4</v>
      </c>
      <c r="BE12" s="269">
        <f t="shared" ca="1" si="44"/>
        <v>7.5999999999999992E-6</v>
      </c>
      <c r="BF12" s="269">
        <f t="shared" ca="1" si="44"/>
        <v>1.4430000000000001E-4</v>
      </c>
      <c r="BG12" s="269">
        <f t="shared" ca="1" si="44"/>
        <v>2.1030000000000002E-4</v>
      </c>
      <c r="BH12" s="269">
        <f t="shared" ca="1" si="44"/>
        <v>1.649E-4</v>
      </c>
      <c r="BI12" s="269">
        <f t="shared" ca="1" si="44"/>
        <v>1.3727272727272727E-5</v>
      </c>
      <c r="BJ12" s="269">
        <f t="shared" ca="1" si="44"/>
        <v>1.209E-4</v>
      </c>
      <c r="BK12" s="269">
        <f t="shared" ca="1" si="44"/>
        <v>2.8787878787878789E-6</v>
      </c>
      <c r="BL12" s="269">
        <f t="shared" ca="1" si="44"/>
        <v>2.8787878787878784E-6</v>
      </c>
      <c r="BM12" s="291">
        <f t="shared" ca="1" si="44"/>
        <v>2.0151515151515152E-5</v>
      </c>
      <c r="BN12" s="290">
        <f t="shared" ref="BN12:BN34" ca="1" si="45">AF12*AR12/AVERAGEIFS(AR$11:AR$34,$BC$11:$BC$34,$BC12)</f>
        <v>2.9999999999999999E-7</v>
      </c>
      <c r="BO12" s="269">
        <f t="shared" ca="1" si="25"/>
        <v>5.5110000000000001E-4</v>
      </c>
      <c r="BP12" s="269">
        <f t="shared" ca="1" si="26"/>
        <v>1.63E-4</v>
      </c>
      <c r="BQ12" s="269">
        <f t="shared" ca="1" si="27"/>
        <v>7.8899999999999993E-5</v>
      </c>
      <c r="BR12" s="269">
        <f t="shared" ca="1" si="28"/>
        <v>1.0289999999999999E-4</v>
      </c>
      <c r="BS12" s="269">
        <f t="shared" ca="1" si="29"/>
        <v>8.6363636363636353E-6</v>
      </c>
      <c r="BT12" s="269">
        <f t="shared" ca="1" si="30"/>
        <v>1.5669999999999999E-4</v>
      </c>
      <c r="BU12" s="269">
        <f t="shared" ca="1" si="31"/>
        <v>8.6363636363636353E-6</v>
      </c>
      <c r="BV12" s="269">
        <f t="shared" ca="1" si="32"/>
        <v>2.8787878787878784E-6</v>
      </c>
      <c r="BW12" s="291">
        <f t="shared" ca="1" si="33"/>
        <v>2.0151515151515152E-5</v>
      </c>
    </row>
    <row r="13" spans="1:75" x14ac:dyDescent="0.25">
      <c r="B13" s="267" t="str">
        <f ca="1"/>
        <v>Food Service, Restaurant</v>
      </c>
      <c r="C13" s="267" t="str" cm="1">
        <f t="array" aca="1" ref="C13" ca="1">_xlfn.XLOOKUP(B13,Lookups_Building_List_Workbook,Lookups_Building_List_CBECS,,0)</f>
        <v xml:space="preserve">Food service </v>
      </c>
      <c r="D13" s="267" t="str" cm="1">
        <f t="array" aca="1" ref="D13" ca="1">_xlfn.XLOOKUP(B13,Lookups_Building_List_Workbook,Lookups_Building_List_NREL,,0)</f>
        <v>FullServiceRestaurant</v>
      </c>
      <c r="E13" s="270">
        <f t="shared" ca="1" si="11"/>
        <v>12.4</v>
      </c>
      <c r="F13" s="270">
        <f t="shared" ca="1" si="11"/>
        <v>0.3</v>
      </c>
      <c r="G13" s="270">
        <f t="shared" ca="1" si="11"/>
        <v>0.3</v>
      </c>
      <c r="H13" s="270">
        <f t="shared" ca="1" si="11"/>
        <v>5.8</v>
      </c>
      <c r="I13" s="271">
        <f t="shared" ca="1" si="12"/>
        <v>18.8</v>
      </c>
      <c r="J13" s="268">
        <f t="shared" ca="1" si="13"/>
        <v>1.1790000000000001E-4</v>
      </c>
      <c r="K13" s="269">
        <f t="shared" ca="1" si="14"/>
        <v>7.7763829787234049E-5</v>
      </c>
      <c r="L13" s="269">
        <f t="shared" ca="1" si="15"/>
        <v>1.8813829787234042E-6</v>
      </c>
      <c r="M13" s="269">
        <f t="shared" ca="1" si="16"/>
        <v>1.8813829787234042E-6</v>
      </c>
      <c r="N13" s="269">
        <f t="shared" ca="1" si="17"/>
        <v>3.6373404255319146E-5</v>
      </c>
      <c r="O13" s="268">
        <f t="shared" ca="1" si="18"/>
        <v>1.8699999999999999E-4</v>
      </c>
      <c r="P13" s="269">
        <f t="shared" ca="1" si="19"/>
        <v>1.2334042553191488E-4</v>
      </c>
      <c r="Q13" s="269">
        <f t="shared" ca="1" si="20"/>
        <v>2.984042553191489E-6</v>
      </c>
      <c r="R13" s="269">
        <f t="shared" ca="1" si="21"/>
        <v>2.984042553191489E-6</v>
      </c>
      <c r="S13" s="269">
        <f t="shared" ca="1" si="22"/>
        <v>5.7691489361702128E-5</v>
      </c>
      <c r="U13" s="284" cm="1">
        <f t="array" aca="1" ref="U13" ca="1">INDEX(NREL_ETDF_Index,MATCH($D13,NREL_Building_List,0),MATCH(_xlfn.XLOOKUP(U$10,Lookups_End_Use_CBECS,Lookups_End_Use_NREL,,0)&amp;IF($U$9="Winter","w","s"),NREL_End_Use_ETDF,0))</f>
        <v>3.0259999999999998E-4</v>
      </c>
      <c r="V13" s="268" cm="1">
        <f t="array" aca="1" ref="V13" ca="1">INDEX(NREL_ETDF_Index,MATCH($D13,NREL_Building_List,0),MATCH(_xlfn.XLOOKUP(V$10,Lookups_End_Use_CBECS,Lookups_End_Use_NREL,,0)&amp;IF($U$9="Winter","w","s"),NREL_End_Use_ETDF,0))</f>
        <v>2.3499999999999999E-5</v>
      </c>
      <c r="W13" s="268" cm="1">
        <f t="array" aca="1" ref="W13" ca="1">INDEX(NREL_ETDF_Index,MATCH($D13,NREL_Building_List,0),MATCH(_xlfn.XLOOKUP(W$10,Lookups_End_Use_CBECS,Lookups_End_Use_NREL,,0)&amp;IF($U$9="Winter","w","s"),NREL_End_Use_ETDF,0))</f>
        <v>1.305E-4</v>
      </c>
      <c r="X13" s="268" cm="1">
        <f t="array" aca="1" ref="X13" ca="1">INDEX(NREL_ETDF_Index,MATCH($D13,NREL_Building_List,0),MATCH(_xlfn.XLOOKUP(X$10,Lookups_End_Use_CBECS,Lookups_End_Use_NREL,,0)&amp;IF($U$9="Winter","w","s"),NREL_End_Use_ETDF,0))</f>
        <v>1.5970000000000001E-4</v>
      </c>
      <c r="Y13" s="268" cm="1">
        <f t="array" aca="1" ref="Y13" ca="1">INDEX(NREL_ETDF_Index,MATCH($D13,NREL_Building_List,0),MATCH(_xlfn.XLOOKUP(Y$10,Lookups_End_Use_CBECS,Lookups_End_Use_NREL,,0)&amp;IF($U$9="Winter","w","s"),NREL_End_Use_ETDF,0))</f>
        <v>1.211E-4</v>
      </c>
      <c r="Z13" s="285">
        <f t="shared" ca="1" si="34"/>
        <v>7.7763829787234049E-5</v>
      </c>
      <c r="AA13" s="268" cm="1">
        <f t="array" aca="1" ref="AA13" ca="1">INDEX(NREL_ETDF_Index,MATCH($D13,NREL_Building_List,0),MATCH(_xlfn.XLOOKUP(AA$10,Lookups_End_Use_CBECS,Lookups_End_Use_NREL,,0)&amp;IF($U$9="Winter","w","s"),NREL_End_Use_ETDF,0))</f>
        <v>1.106E-4</v>
      </c>
      <c r="AB13" s="285">
        <f t="shared" ca="1" si="35"/>
        <v>2.984042553191489E-6</v>
      </c>
      <c r="AC13" s="285">
        <f t="shared" ca="1" si="36"/>
        <v>2.984042553191489E-6</v>
      </c>
      <c r="AD13" s="285">
        <f t="shared" ca="1" si="37"/>
        <v>2.984042553191489E-6</v>
      </c>
      <c r="AE13" s="286">
        <f t="shared" ca="1" si="38"/>
        <v>5.7691489361702128E-5</v>
      </c>
      <c r="AF13" s="284" cm="1">
        <f t="array" aca="1" ref="AF13" ca="1">INDEX(NREL_ETDF_Index,MATCH($D13,NREL_Building_List,0),MATCH(_xlfn.XLOOKUP(AF$10,Lookups_End_Use_CBECS,Lookups_End_Use_NREL,,0)&amp;IF($AF$9="Winter","w","s"),NREL_End_Use_ETDF,0))</f>
        <v>1.9999999999999999E-7</v>
      </c>
      <c r="AG13" s="268" cm="1">
        <f t="array" aca="1" ref="AG13" ca="1">INDEX(NREL_ETDF_Index,MATCH($D13,NREL_Building_List,0),MATCH(_xlfn.XLOOKUP(AG$10,Lookups_End_Use_CBECS,Lookups_End_Use_NREL,,0)&amp;IF($AF$9="Winter","w","s"),NREL_End_Use_ETDF,0))</f>
        <v>4.8490000000000002E-4</v>
      </c>
      <c r="AH13" s="268" cm="1">
        <f t="array" aca="1" ref="AH13" ca="1">INDEX(NREL_ETDF_Index,MATCH($D13,NREL_Building_List,0),MATCH(_xlfn.XLOOKUP(AH$10,Lookups_End_Use_CBECS,Lookups_End_Use_NREL,,0)&amp;IF($AF$9="Winter","w","s"),NREL_End_Use_ETDF,0))</f>
        <v>1.5650000000000001E-4</v>
      </c>
      <c r="AI13" s="268" cm="1">
        <f t="array" aca="1" ref="AI13" ca="1">INDEX(NREL_ETDF_Index,MATCH($D13,NREL_Building_List,0),MATCH(_xlfn.XLOOKUP(AI$10,Lookups_End_Use_CBECS,Lookups_End_Use_NREL,,0)&amp;IF($AF$9="Winter","w","s"),NREL_End_Use_ETDF,0))</f>
        <v>1.705E-4</v>
      </c>
      <c r="AJ13" s="268" cm="1">
        <f t="array" aca="1" ref="AJ13" ca="1">INDEX(NREL_ETDF_Index,MATCH($D13,NREL_Building_List,0),MATCH(_xlfn.XLOOKUP(AJ$10,Lookups_End_Use_CBECS,Lookups_End_Use_NREL,,0)&amp;IF($AF$9="Winter","w","s"),NREL_End_Use_ETDF,0))</f>
        <v>1.5310000000000001E-4</v>
      </c>
      <c r="AK13" s="285">
        <f t="shared" ca="1" si="39"/>
        <v>1.2334042553191488E-4</v>
      </c>
      <c r="AL13" s="268" cm="1">
        <f t="array" aca="1" ref="AL13" ca="1">INDEX(NREL_ETDF_Index,MATCH($D13,NREL_Building_List,0),MATCH(_xlfn.XLOOKUP(AL$10,Lookups_End_Use_CBECS,Lookups_End_Use_NREL,,0)&amp;IF($AF$9="Winter","w","s"),NREL_End_Use_ETDF,0))</f>
        <v>1.3990000000000001E-4</v>
      </c>
      <c r="AM13" s="285">
        <f t="shared" ca="1" si="40"/>
        <v>1.2334042553191488E-4</v>
      </c>
      <c r="AN13" s="285">
        <f t="shared" ca="1" si="41"/>
        <v>2.984042553191489E-6</v>
      </c>
      <c r="AO13" s="285">
        <f t="shared" ca="1" si="42"/>
        <v>2.984042553191489E-6</v>
      </c>
      <c r="AP13" s="286">
        <f t="shared" ca="1" si="43"/>
        <v>5.7691489361702128E-5</v>
      </c>
      <c r="AR13" s="270">
        <f t="shared" ca="1" si="23"/>
        <v>5.5</v>
      </c>
      <c r="AS13" s="270">
        <f t="shared" ca="1" si="23"/>
        <v>5.6</v>
      </c>
      <c r="AT13" s="270">
        <f t="shared" ca="1" si="23"/>
        <v>4.9000000000000004</v>
      </c>
      <c r="AU13" s="270">
        <f t="shared" ca="1" si="23"/>
        <v>5.3</v>
      </c>
      <c r="AV13" s="270">
        <f t="shared" ca="1" si="23"/>
        <v>3.2</v>
      </c>
      <c r="AW13" s="270">
        <f t="shared" ca="1" si="23"/>
        <v>12.4</v>
      </c>
      <c r="AX13" s="270">
        <f t="shared" ca="1" si="23"/>
        <v>11.9</v>
      </c>
      <c r="AY13" s="270">
        <f t="shared" ca="1" si="23"/>
        <v>0.3</v>
      </c>
      <c r="AZ13" s="270">
        <f t="shared" ca="1" si="23"/>
        <v>0.3</v>
      </c>
      <c r="BA13" s="270">
        <f t="shared" ca="1" si="23"/>
        <v>5.8</v>
      </c>
      <c r="BC13" s="283">
        <v>3</v>
      </c>
      <c r="BD13" s="290">
        <f t="shared" ca="1" si="44"/>
        <v>3.0259999999999998E-4</v>
      </c>
      <c r="BE13" s="269">
        <f t="shared" ca="1" si="44"/>
        <v>2.3499999999999995E-5</v>
      </c>
      <c r="BF13" s="269">
        <f t="shared" ca="1" si="44"/>
        <v>1.305E-4</v>
      </c>
      <c r="BG13" s="269">
        <f t="shared" ca="1" si="44"/>
        <v>1.5970000000000001E-4</v>
      </c>
      <c r="BH13" s="269">
        <f t="shared" ca="1" si="44"/>
        <v>1.211E-4</v>
      </c>
      <c r="BI13" s="269">
        <f t="shared" ca="1" si="44"/>
        <v>7.7763829787234049E-5</v>
      </c>
      <c r="BJ13" s="269">
        <f t="shared" ca="1" si="44"/>
        <v>1.106E-4</v>
      </c>
      <c r="BK13" s="269">
        <f t="shared" ca="1" si="44"/>
        <v>2.984042553191489E-6</v>
      </c>
      <c r="BL13" s="269">
        <f t="shared" ca="1" si="44"/>
        <v>2.984042553191489E-6</v>
      </c>
      <c r="BM13" s="291">
        <f t="shared" ca="1" si="44"/>
        <v>2.984042553191489E-6</v>
      </c>
      <c r="BN13" s="290">
        <f t="shared" ca="1" si="45"/>
        <v>2.0000000000000002E-7</v>
      </c>
      <c r="BO13" s="269">
        <f t="shared" ca="1" si="25"/>
        <v>4.8490000000000002E-4</v>
      </c>
      <c r="BP13" s="269">
        <f t="shared" ca="1" si="26"/>
        <v>1.5650000000000001E-4</v>
      </c>
      <c r="BQ13" s="269">
        <f t="shared" ca="1" si="27"/>
        <v>1.705E-4</v>
      </c>
      <c r="BR13" s="269">
        <f t="shared" ca="1" si="28"/>
        <v>1.5310000000000001E-4</v>
      </c>
      <c r="BS13" s="269">
        <f t="shared" ca="1" si="29"/>
        <v>1.2334042553191488E-4</v>
      </c>
      <c r="BT13" s="269">
        <f t="shared" ca="1" si="30"/>
        <v>1.3990000000000001E-4</v>
      </c>
      <c r="BU13" s="269">
        <f t="shared" ca="1" si="31"/>
        <v>1.2334042553191488E-4</v>
      </c>
      <c r="BV13" s="269">
        <f t="shared" ca="1" si="32"/>
        <v>2.984042553191489E-6</v>
      </c>
      <c r="BW13" s="291">
        <f t="shared" ca="1" si="33"/>
        <v>2.984042553191489E-6</v>
      </c>
    </row>
    <row r="14" spans="1:75" x14ac:dyDescent="0.25">
      <c r="B14" s="267" t="str">
        <f ca="1"/>
        <v>Food Service, Quick-Service</v>
      </c>
      <c r="C14" s="267" t="str" cm="1">
        <f t="array" aca="1" ref="C14" ca="1">_xlfn.XLOOKUP(B14,Lookups_Building_List_Workbook,Lookups_Building_List_CBECS,,0)</f>
        <v xml:space="preserve">Food service </v>
      </c>
      <c r="D14" s="267" t="str" cm="1">
        <f t="array" aca="1" ref="D14" ca="1">_xlfn.XLOOKUP(B14,Lookups_Building_List_Workbook,Lookups_Building_List_NREL,,0)</f>
        <v>QuickServiceRestaurant</v>
      </c>
      <c r="E14" s="270">
        <f t="shared" ca="1" si="11"/>
        <v>12.4</v>
      </c>
      <c r="F14" s="270">
        <f t="shared" ca="1" si="11"/>
        <v>0.3</v>
      </c>
      <c r="G14" s="270">
        <f t="shared" ca="1" si="11"/>
        <v>0.3</v>
      </c>
      <c r="H14" s="270">
        <f t="shared" ca="1" si="11"/>
        <v>5.8</v>
      </c>
      <c r="I14" s="271">
        <f t="shared" ca="1" si="12"/>
        <v>18.8</v>
      </c>
      <c r="J14" s="268">
        <f t="shared" ca="1" si="13"/>
        <v>1.295E-4</v>
      </c>
      <c r="K14" s="269">
        <f t="shared" ca="1" si="14"/>
        <v>8.5414893617021274E-5</v>
      </c>
      <c r="L14" s="269">
        <f t="shared" ca="1" si="15"/>
        <v>2.0664893617021275E-6</v>
      </c>
      <c r="M14" s="269">
        <f t="shared" ca="1" si="16"/>
        <v>2.0664893617021275E-6</v>
      </c>
      <c r="N14" s="269">
        <f t="shared" ca="1" si="17"/>
        <v>3.9952127659574467E-5</v>
      </c>
      <c r="O14" s="268">
        <f t="shared" ca="1" si="18"/>
        <v>1.8110000000000001E-4</v>
      </c>
      <c r="P14" s="269">
        <f t="shared" ca="1" si="19"/>
        <v>1.1944893617021277E-4</v>
      </c>
      <c r="Q14" s="269">
        <f t="shared" ca="1" si="20"/>
        <v>2.8898936170212767E-6</v>
      </c>
      <c r="R14" s="269">
        <f t="shared" ca="1" si="21"/>
        <v>2.8898936170212767E-6</v>
      </c>
      <c r="S14" s="269">
        <f t="shared" ca="1" si="22"/>
        <v>5.5871276595744681E-5</v>
      </c>
      <c r="U14" s="284" cm="1">
        <f t="array" aca="1" ref="U14" ca="1">INDEX(NREL_ETDF_Index,MATCH($D14,NREL_Building_List,0),MATCH(_xlfn.XLOOKUP(U$10,Lookups_End_Use_CBECS,Lookups_End_Use_NREL,,0)&amp;IF($U$9="Winter","w","s"),NREL_End_Use_ETDF,0))</f>
        <v>3.3480000000000001E-4</v>
      </c>
      <c r="V14" s="268" cm="1">
        <f t="array" aca="1" ref="V14" ca="1">INDEX(NREL_ETDF_Index,MATCH($D14,NREL_Building_List,0),MATCH(_xlfn.XLOOKUP(V$10,Lookups_End_Use_CBECS,Lookups_End_Use_NREL,,0)&amp;IF($U$9="Winter","w","s"),NREL_End_Use_ETDF,0))</f>
        <v>4.9400000000000001E-5</v>
      </c>
      <c r="W14" s="268" cm="1">
        <f t="array" aca="1" ref="W14" ca="1">INDEX(NREL_ETDF_Index,MATCH($D14,NREL_Building_List,0),MATCH(_xlfn.XLOOKUP(W$10,Lookups_End_Use_CBECS,Lookups_End_Use_NREL,,0)&amp;IF($U$9="Winter","w","s"),NREL_End_Use_ETDF,0))</f>
        <v>1.339E-4</v>
      </c>
      <c r="X14" s="268" cm="1">
        <f t="array" aca="1" ref="X14" ca="1">INDEX(NREL_ETDF_Index,MATCH($D14,NREL_Building_List,0),MATCH(_xlfn.XLOOKUP(X$10,Lookups_End_Use_CBECS,Lookups_End_Use_NREL,,0)&amp;IF($U$9="Winter","w","s"),NREL_End_Use_ETDF,0))</f>
        <v>1.9039999999999999E-4</v>
      </c>
      <c r="Y14" s="268" cm="1">
        <f t="array" aca="1" ref="Y14" ca="1">INDEX(NREL_ETDF_Index,MATCH($D14,NREL_Building_List,0),MATCH(_xlfn.XLOOKUP(Y$10,Lookups_End_Use_CBECS,Lookups_End_Use_NREL,,0)&amp;IF($U$9="Winter","w","s"),NREL_End_Use_ETDF,0))</f>
        <v>1.214E-4</v>
      </c>
      <c r="Z14" s="285">
        <f t="shared" ca="1" si="34"/>
        <v>8.5414893617021274E-5</v>
      </c>
      <c r="AA14" s="268" cm="1">
        <f t="array" aca="1" ref="AA14" ca="1">INDEX(NREL_ETDF_Index,MATCH($D14,NREL_Building_List,0),MATCH(_xlfn.XLOOKUP(AA$10,Lookups_End_Use_CBECS,Lookups_End_Use_NREL,,0)&amp;IF($U$9="Winter","w","s"),NREL_End_Use_ETDF,0))</f>
        <v>1.109E-4</v>
      </c>
      <c r="AB14" s="285">
        <f t="shared" ca="1" si="35"/>
        <v>2.8898936170212767E-6</v>
      </c>
      <c r="AC14" s="285">
        <f t="shared" ca="1" si="36"/>
        <v>2.8898936170212767E-6</v>
      </c>
      <c r="AD14" s="285">
        <f t="shared" ca="1" si="37"/>
        <v>2.8898936170212767E-6</v>
      </c>
      <c r="AE14" s="286">
        <f t="shared" ca="1" si="38"/>
        <v>5.5871276595744681E-5</v>
      </c>
      <c r="AF14" s="284" cm="1">
        <f t="array" aca="1" ref="AF14" ca="1">INDEX(NREL_ETDF_Index,MATCH($D14,NREL_Building_List,0),MATCH(_xlfn.XLOOKUP(AF$10,Lookups_End_Use_CBECS,Lookups_End_Use_NREL,,0)&amp;IF($AF$9="Winter","w","s"),NREL_End_Use_ETDF,0))</f>
        <v>1.9999999999999999E-6</v>
      </c>
      <c r="AG14" s="268" cm="1">
        <f t="array" aca="1" ref="AG14" ca="1">INDEX(NREL_ETDF_Index,MATCH($D14,NREL_Building_List,0),MATCH(_xlfn.XLOOKUP(AG$10,Lookups_End_Use_CBECS,Lookups_End_Use_NREL,,0)&amp;IF($AF$9="Winter","w","s"),NREL_End_Use_ETDF,0))</f>
        <v>3.59E-4</v>
      </c>
      <c r="AH14" s="268" cm="1">
        <f t="array" aca="1" ref="AH14" ca="1">INDEX(NREL_ETDF_Index,MATCH($D14,NREL_Building_List,0),MATCH(_xlfn.XLOOKUP(AH$10,Lookups_End_Use_CBECS,Lookups_End_Use_NREL,,0)&amp;IF($AF$9="Winter","w","s"),NREL_End_Use_ETDF,0))</f>
        <v>1.572E-4</v>
      </c>
      <c r="AI14" s="268" cm="1">
        <f t="array" aca="1" ref="AI14" ca="1">INDEX(NREL_ETDF_Index,MATCH($D14,NREL_Building_List,0),MATCH(_xlfn.XLOOKUP(AI$10,Lookups_End_Use_CBECS,Lookups_End_Use_NREL,,0)&amp;IF($AF$9="Winter","w","s"),NREL_End_Use_ETDF,0))</f>
        <v>1.682E-4</v>
      </c>
      <c r="AJ14" s="268" cm="1">
        <f t="array" aca="1" ref="AJ14" ca="1">INDEX(NREL_ETDF_Index,MATCH($D14,NREL_Building_List,0),MATCH(_xlfn.XLOOKUP(AJ$10,Lookups_End_Use_CBECS,Lookups_End_Use_NREL,,0)&amp;IF($AF$9="Winter","w","s"),NREL_End_Use_ETDF,0))</f>
        <v>1.548E-4</v>
      </c>
      <c r="AK14" s="285">
        <f t="shared" ca="1" si="39"/>
        <v>1.1944893617021277E-4</v>
      </c>
      <c r="AL14" s="268" cm="1">
        <f t="array" aca="1" ref="AL14" ca="1">INDEX(NREL_ETDF_Index,MATCH($D14,NREL_Building_List,0),MATCH(_xlfn.XLOOKUP(AL$10,Lookups_End_Use_CBECS,Lookups_End_Use_NREL,,0)&amp;IF($AF$9="Winter","w","s"),NREL_End_Use_ETDF,0))</f>
        <v>1.3850000000000001E-4</v>
      </c>
      <c r="AM14" s="285">
        <f t="shared" ca="1" si="40"/>
        <v>1.1944893617021277E-4</v>
      </c>
      <c r="AN14" s="285">
        <f t="shared" ca="1" si="41"/>
        <v>2.8898936170212767E-6</v>
      </c>
      <c r="AO14" s="285">
        <f t="shared" ca="1" si="42"/>
        <v>2.8898936170212767E-6</v>
      </c>
      <c r="AP14" s="286">
        <f t="shared" ca="1" si="43"/>
        <v>5.5871276595744681E-5</v>
      </c>
      <c r="AR14" s="270">
        <f t="shared" ca="1" si="23"/>
        <v>5.5</v>
      </c>
      <c r="AS14" s="270">
        <f t="shared" ca="1" si="23"/>
        <v>5.6</v>
      </c>
      <c r="AT14" s="270">
        <f t="shared" ca="1" si="23"/>
        <v>4.9000000000000004</v>
      </c>
      <c r="AU14" s="270">
        <f t="shared" ca="1" si="23"/>
        <v>5.3</v>
      </c>
      <c r="AV14" s="270">
        <f t="shared" ca="1" si="23"/>
        <v>3.2</v>
      </c>
      <c r="AW14" s="270">
        <f t="shared" ca="1" si="23"/>
        <v>12.4</v>
      </c>
      <c r="AX14" s="270">
        <f t="shared" ca="1" si="23"/>
        <v>11.9</v>
      </c>
      <c r="AY14" s="270">
        <f t="shared" ca="1" si="23"/>
        <v>0.3</v>
      </c>
      <c r="AZ14" s="270">
        <f t="shared" ca="1" si="23"/>
        <v>0.3</v>
      </c>
      <c r="BA14" s="270">
        <f t="shared" ca="1" si="23"/>
        <v>5.8</v>
      </c>
      <c r="BC14" s="283">
        <v>4</v>
      </c>
      <c r="BD14" s="290">
        <f t="shared" ca="1" si="44"/>
        <v>3.3480000000000001E-4</v>
      </c>
      <c r="BE14" s="269">
        <f t="shared" ca="1" si="44"/>
        <v>4.9400000000000001E-5</v>
      </c>
      <c r="BF14" s="269">
        <f t="shared" ca="1" si="44"/>
        <v>1.339E-4</v>
      </c>
      <c r="BG14" s="269">
        <f t="shared" ca="1" si="44"/>
        <v>1.9039999999999997E-4</v>
      </c>
      <c r="BH14" s="269">
        <f t="shared" ca="1" si="44"/>
        <v>1.214E-4</v>
      </c>
      <c r="BI14" s="269">
        <f t="shared" ca="1" si="44"/>
        <v>8.5414893617021274E-5</v>
      </c>
      <c r="BJ14" s="269">
        <f t="shared" ca="1" si="44"/>
        <v>1.109E-4</v>
      </c>
      <c r="BK14" s="269">
        <f t="shared" ca="1" si="44"/>
        <v>2.8898936170212767E-6</v>
      </c>
      <c r="BL14" s="269">
        <f t="shared" ca="1" si="44"/>
        <v>2.8898936170212767E-6</v>
      </c>
      <c r="BM14" s="291">
        <f t="shared" ca="1" si="44"/>
        <v>2.8898936170212767E-6</v>
      </c>
      <c r="BN14" s="290">
        <f t="shared" ca="1" si="45"/>
        <v>1.9999999999999999E-6</v>
      </c>
      <c r="BO14" s="269">
        <f t="shared" ca="1" si="25"/>
        <v>3.59E-4</v>
      </c>
      <c r="BP14" s="269">
        <f t="shared" ca="1" si="26"/>
        <v>1.572E-4</v>
      </c>
      <c r="BQ14" s="269">
        <f t="shared" ca="1" si="27"/>
        <v>1.682E-4</v>
      </c>
      <c r="BR14" s="269">
        <f t="shared" ca="1" si="28"/>
        <v>1.548E-4</v>
      </c>
      <c r="BS14" s="269">
        <f t="shared" ca="1" si="29"/>
        <v>1.1944893617021276E-4</v>
      </c>
      <c r="BT14" s="269">
        <f t="shared" ca="1" si="30"/>
        <v>1.3850000000000001E-4</v>
      </c>
      <c r="BU14" s="269">
        <f t="shared" ca="1" si="31"/>
        <v>1.1944893617021277E-4</v>
      </c>
      <c r="BV14" s="269">
        <f t="shared" ca="1" si="32"/>
        <v>2.8898936170212767E-6</v>
      </c>
      <c r="BW14" s="291">
        <f t="shared" ca="1" si="33"/>
        <v>2.8898936170212767E-6</v>
      </c>
    </row>
    <row r="15" spans="1:75" x14ac:dyDescent="0.25">
      <c r="B15" s="267" t="str">
        <f ca="1"/>
        <v>Health, Inpatient</v>
      </c>
      <c r="C15" s="267" t="str" cm="1">
        <f t="array" aca="1" ref="C15" ca="1">_xlfn.XLOOKUP(B15,Lookups_Building_List_Workbook,Lookups_Building_List_CBECS,,0)</f>
        <v xml:space="preserve">Inpatient </v>
      </c>
      <c r="D15" s="267" t="str" cm="1">
        <f t="array" aca="1" ref="D15" ca="1">_xlfn.XLOOKUP(B15,Lookups_Building_List_Workbook,Lookups_Building_List_NREL,,0)</f>
        <v>Hospital</v>
      </c>
      <c r="E15" s="270">
        <f t="shared" ca="1" si="11"/>
        <v>1.2</v>
      </c>
      <c r="F15" s="270">
        <f t="shared" ca="1" si="11"/>
        <v>0.3</v>
      </c>
      <c r="G15" s="270">
        <f t="shared" ca="1" si="11"/>
        <v>2.1</v>
      </c>
      <c r="H15" s="270">
        <f t="shared" ca="1" si="11"/>
        <v>8.3000000000000007</v>
      </c>
      <c r="I15" s="271">
        <f t="shared" ca="1" si="12"/>
        <v>11.9</v>
      </c>
      <c r="J15" s="268">
        <f t="shared" ca="1" si="13"/>
        <v>9.6100000000000005E-5</v>
      </c>
      <c r="K15" s="269">
        <f t="shared" ca="1" si="14"/>
        <v>9.6907563025210088E-6</v>
      </c>
      <c r="L15" s="269">
        <f t="shared" ca="1" si="15"/>
        <v>2.4226890756302522E-6</v>
      </c>
      <c r="M15" s="269">
        <f t="shared" ca="1" si="16"/>
        <v>1.6958823529411768E-5</v>
      </c>
      <c r="N15" s="269">
        <f t="shared" ca="1" si="17"/>
        <v>6.7027731092436977E-5</v>
      </c>
      <c r="O15" s="268">
        <f t="shared" ca="1" si="18"/>
        <v>1.031E-4</v>
      </c>
      <c r="P15" s="269">
        <f t="shared" ca="1" si="19"/>
        <v>1.0396638655462184E-5</v>
      </c>
      <c r="Q15" s="269">
        <f t="shared" ca="1" si="20"/>
        <v>2.5991596638655461E-6</v>
      </c>
      <c r="R15" s="269">
        <f t="shared" ca="1" si="21"/>
        <v>1.8194117647058822E-5</v>
      </c>
      <c r="S15" s="269">
        <f t="shared" ca="1" si="22"/>
        <v>7.191008403361345E-5</v>
      </c>
      <c r="U15" s="284" cm="1">
        <f t="array" aca="1" ref="U15" ca="1">INDEX(NREL_ETDF_Index,MATCH($D15,NREL_Building_List,0),MATCH(_xlfn.XLOOKUP(U$10,Lookups_End_Use_CBECS,Lookups_End_Use_NREL,,0)&amp;IF($U$9="Winter","w","s"),NREL_End_Use_ETDF,0))</f>
        <v>2.9530000000000002E-4</v>
      </c>
      <c r="V15" s="268" cm="1">
        <f t="array" aca="1" ref="V15" ca="1">INDEX(NREL_ETDF_Index,MATCH($D15,NREL_Building_List,0),MATCH(_xlfn.XLOOKUP(V$10,Lookups_End_Use_CBECS,Lookups_End_Use_NREL,,0)&amp;IF($U$9="Winter","w","s"),NREL_End_Use_ETDF,0))</f>
        <v>1.15E-5</v>
      </c>
      <c r="W15" s="268" cm="1">
        <f t="array" aca="1" ref="W15" ca="1">INDEX(NREL_ETDF_Index,MATCH($D15,NREL_Building_List,0),MATCH(_xlfn.XLOOKUP(W$10,Lookups_End_Use_CBECS,Lookups_End_Use_NREL,,0)&amp;IF($U$9="Winter","w","s"),NREL_End_Use_ETDF,0))</f>
        <v>1.036E-4</v>
      </c>
      <c r="X15" s="268" cm="1">
        <f t="array" aca="1" ref="X15" ca="1">INDEX(NREL_ETDF_Index,MATCH($D15,NREL_Building_List,0),MATCH(_xlfn.XLOOKUP(X$10,Lookups_End_Use_CBECS,Lookups_End_Use_NREL,,0)&amp;IF($U$9="Winter","w","s"),NREL_End_Use_ETDF,0))</f>
        <v>1.3200000000000001E-4</v>
      </c>
      <c r="Y15" s="268" cm="1">
        <f t="array" aca="1" ref="Y15" ca="1">INDEX(NREL_ETDF_Index,MATCH($D15,NREL_Building_List,0),MATCH(_xlfn.XLOOKUP(Y$10,Lookups_End_Use_CBECS,Lookups_End_Use_NREL,,0)&amp;IF($U$9="Winter","w","s"),NREL_End_Use_ETDF,0))</f>
        <v>9.0699999999999996E-5</v>
      </c>
      <c r="Z15" s="285">
        <f t="shared" ca="1" si="34"/>
        <v>9.6907563025210088E-6</v>
      </c>
      <c r="AA15" s="268" cm="1">
        <f t="array" aca="1" ref="AA15" ca="1">INDEX(NREL_ETDF_Index,MATCH($D15,NREL_Building_List,0),MATCH(_xlfn.XLOOKUP(AA$10,Lookups_End_Use_CBECS,Lookups_End_Use_NREL,,0)&amp;IF($U$9="Winter","w","s"),NREL_End_Use_ETDF,0))</f>
        <v>1.147E-4</v>
      </c>
      <c r="AB15" s="285">
        <f t="shared" ca="1" si="35"/>
        <v>2.5991596638655461E-6</v>
      </c>
      <c r="AC15" s="285">
        <f t="shared" ca="1" si="36"/>
        <v>2.5991596638655461E-6</v>
      </c>
      <c r="AD15" s="285">
        <f t="shared" ca="1" si="37"/>
        <v>1.8194117647058822E-5</v>
      </c>
      <c r="AE15" s="286">
        <f t="shared" ca="1" si="38"/>
        <v>7.191008403361345E-5</v>
      </c>
      <c r="AF15" s="284" cm="1">
        <f t="array" aca="1" ref="AF15" ca="1">INDEX(NREL_ETDF_Index,MATCH($D15,NREL_Building_List,0),MATCH(_xlfn.XLOOKUP(AF$10,Lookups_End_Use_CBECS,Lookups_End_Use_NREL,,0)&amp;IF($AF$9="Winter","w","s"),NREL_End_Use_ETDF,0))</f>
        <v>4.4000000000000002E-6</v>
      </c>
      <c r="AG15" s="268" cm="1">
        <f t="array" aca="1" ref="AG15" ca="1">INDEX(NREL_ETDF_Index,MATCH($D15,NREL_Building_List,0),MATCH(_xlfn.XLOOKUP(AG$10,Lookups_End_Use_CBECS,Lookups_End_Use_NREL,,0)&amp;IF($AF$9="Winter","w","s"),NREL_End_Use_ETDF,0))</f>
        <v>3.0229999999999998E-4</v>
      </c>
      <c r="AH15" s="268" cm="1">
        <f t="array" aca="1" ref="AH15" ca="1">INDEX(NREL_ETDF_Index,MATCH($D15,NREL_Building_List,0),MATCH(_xlfn.XLOOKUP(AH$10,Lookups_End_Use_CBECS,Lookups_End_Use_NREL,,0)&amp;IF($AF$9="Winter","w","s"),NREL_End_Use_ETDF,0))</f>
        <v>1.2219999999999999E-4</v>
      </c>
      <c r="AI15" s="268" cm="1">
        <f t="array" aca="1" ref="AI15" ca="1">INDEX(NREL_ETDF_Index,MATCH($D15,NREL_Building_List,0),MATCH(_xlfn.XLOOKUP(AI$10,Lookups_End_Use_CBECS,Lookups_End_Use_NREL,,0)&amp;IF($AF$9="Winter","w","s"),NREL_End_Use_ETDF,0))</f>
        <v>1.047E-4</v>
      </c>
      <c r="AJ15" s="268" cm="1">
        <f t="array" aca="1" ref="AJ15" ca="1">INDEX(NREL_ETDF_Index,MATCH($D15,NREL_Building_List,0),MATCH(_xlfn.XLOOKUP(AJ$10,Lookups_End_Use_CBECS,Lookups_End_Use_NREL,,0)&amp;IF($AF$9="Winter","w","s"),NREL_End_Use_ETDF,0))</f>
        <v>1.3430000000000001E-4</v>
      </c>
      <c r="AK15" s="285">
        <f t="shared" ca="1" si="39"/>
        <v>1.0396638655462184E-5</v>
      </c>
      <c r="AL15" s="268" cm="1">
        <f t="array" aca="1" ref="AL15" ca="1">INDEX(NREL_ETDF_Index,MATCH($D15,NREL_Building_List,0),MATCH(_xlfn.XLOOKUP(AL$10,Lookups_End_Use_CBECS,Lookups_End_Use_NREL,,0)&amp;IF($AF$9="Winter","w","s"),NREL_End_Use_ETDF,0))</f>
        <v>1.5449999999999999E-4</v>
      </c>
      <c r="AM15" s="285">
        <f t="shared" ca="1" si="40"/>
        <v>1.0396638655462184E-5</v>
      </c>
      <c r="AN15" s="285">
        <f t="shared" ca="1" si="41"/>
        <v>2.5991596638655461E-6</v>
      </c>
      <c r="AO15" s="285">
        <f t="shared" ca="1" si="42"/>
        <v>1.8194117647058822E-5</v>
      </c>
      <c r="AP15" s="286">
        <f t="shared" ca="1" si="43"/>
        <v>7.191008403361345E-5</v>
      </c>
      <c r="AR15" s="270">
        <f t="shared" ca="1" si="23"/>
        <v>1.3</v>
      </c>
      <c r="AS15" s="270">
        <f t="shared" ca="1" si="23"/>
        <v>3.8</v>
      </c>
      <c r="AT15" s="270">
        <f t="shared" ca="1" si="23"/>
        <v>8.4</v>
      </c>
      <c r="AU15" s="270">
        <f t="shared" ca="1" si="23"/>
        <v>1.4</v>
      </c>
      <c r="AV15" s="270">
        <f t="shared" ca="1" si="23"/>
        <v>3.5</v>
      </c>
      <c r="AW15" s="270">
        <f t="shared" ca="1" si="23"/>
        <v>1.2</v>
      </c>
      <c r="AX15" s="270">
        <f t="shared" ca="1" si="23"/>
        <v>1.2</v>
      </c>
      <c r="AY15" s="270">
        <f t="shared" ca="1" si="23"/>
        <v>0.3</v>
      </c>
      <c r="AZ15" s="270">
        <f t="shared" ca="1" si="23"/>
        <v>2.1</v>
      </c>
      <c r="BA15" s="270">
        <f t="shared" ca="1" si="23"/>
        <v>8.3000000000000007</v>
      </c>
      <c r="BC15" s="283">
        <v>5</v>
      </c>
      <c r="BD15" s="290">
        <f t="shared" ca="1" si="44"/>
        <v>2.9530000000000002E-4</v>
      </c>
      <c r="BE15" s="269">
        <f t="shared" ca="1" si="44"/>
        <v>1.15E-5</v>
      </c>
      <c r="BF15" s="269">
        <f t="shared" ca="1" si="44"/>
        <v>1.036E-4</v>
      </c>
      <c r="BG15" s="269">
        <f t="shared" ca="1" si="44"/>
        <v>1.3200000000000001E-4</v>
      </c>
      <c r="BH15" s="269">
        <f t="shared" ca="1" si="44"/>
        <v>9.0699999999999996E-5</v>
      </c>
      <c r="BI15" s="269">
        <f t="shared" ca="1" si="44"/>
        <v>9.6907563025210088E-6</v>
      </c>
      <c r="BJ15" s="269">
        <f t="shared" ca="1" si="44"/>
        <v>1.147E-4</v>
      </c>
      <c r="BK15" s="269">
        <f t="shared" ca="1" si="44"/>
        <v>2.5991596638655461E-6</v>
      </c>
      <c r="BL15" s="269">
        <f t="shared" ca="1" si="44"/>
        <v>2.5991596638655461E-6</v>
      </c>
      <c r="BM15" s="291">
        <f t="shared" ca="1" si="44"/>
        <v>1.8194117647058822E-5</v>
      </c>
      <c r="BN15" s="290">
        <f t="shared" ca="1" si="45"/>
        <v>4.4000000000000002E-6</v>
      </c>
      <c r="BO15" s="269">
        <f t="shared" ca="1" si="25"/>
        <v>3.0229999999999998E-4</v>
      </c>
      <c r="BP15" s="269">
        <f t="shared" ca="1" si="26"/>
        <v>1.2219999999999999E-4</v>
      </c>
      <c r="BQ15" s="269">
        <f t="shared" ca="1" si="27"/>
        <v>1.047E-4</v>
      </c>
      <c r="BR15" s="269">
        <f t="shared" ca="1" si="28"/>
        <v>1.3430000000000001E-4</v>
      </c>
      <c r="BS15" s="269">
        <f t="shared" ca="1" si="29"/>
        <v>1.0396638655462184E-5</v>
      </c>
      <c r="BT15" s="269">
        <f t="shared" ca="1" si="30"/>
        <v>1.5449999999999999E-4</v>
      </c>
      <c r="BU15" s="269">
        <f t="shared" ca="1" si="31"/>
        <v>1.0396638655462184E-5</v>
      </c>
      <c r="BV15" s="269">
        <f t="shared" ca="1" si="32"/>
        <v>2.5991596638655461E-6</v>
      </c>
      <c r="BW15" s="291">
        <f t="shared" ca="1" si="33"/>
        <v>1.8194117647058822E-5</v>
      </c>
    </row>
    <row r="16" spans="1:75" x14ac:dyDescent="0.25">
      <c r="B16" s="267" t="str">
        <f ca="1"/>
        <v>Health, Outpatient</v>
      </c>
      <c r="C16" s="267" t="str" cm="1">
        <f t="array" aca="1" ref="C16" ca="1">_xlfn.XLOOKUP(B16,Lookups_Building_List_Workbook,Lookups_Building_List_CBECS,,0)</f>
        <v xml:space="preserve">Outpatient </v>
      </c>
      <c r="D16" s="267" t="str" cm="1">
        <f t="array" aca="1" ref="D16" ca="1">_xlfn.XLOOKUP(B16,Lookups_Building_List_Workbook,Lookups_Building_List_NREL,,0)</f>
        <v>Outpatient</v>
      </c>
      <c r="E16" s="270">
        <f t="shared" ca="1" si="11"/>
        <v>0.6</v>
      </c>
      <c r="F16" s="270">
        <f t="shared" ca="1" si="11"/>
        <v>0.3</v>
      </c>
      <c r="G16" s="270">
        <f t="shared" ca="1" si="11"/>
        <v>1.1000000000000001</v>
      </c>
      <c r="H16" s="270">
        <f t="shared" ca="1" si="11"/>
        <v>4.0999999999999996</v>
      </c>
      <c r="I16" s="271">
        <f t="shared" ca="1" si="12"/>
        <v>6.1</v>
      </c>
      <c r="J16" s="268">
        <f t="shared" ca="1" si="13"/>
        <v>1.3520000000000001E-4</v>
      </c>
      <c r="K16" s="269">
        <f t="shared" ca="1" si="14"/>
        <v>1.3298360655737705E-5</v>
      </c>
      <c r="L16" s="269">
        <f t="shared" ca="1" si="15"/>
        <v>6.6491803278688526E-6</v>
      </c>
      <c r="M16" s="269">
        <f t="shared" ca="1" si="16"/>
        <v>2.4380327868852463E-5</v>
      </c>
      <c r="N16" s="269">
        <f t="shared" ca="1" si="17"/>
        <v>9.0872131147540981E-5</v>
      </c>
      <c r="O16" s="268">
        <f t="shared" ca="1" si="18"/>
        <v>1.418E-4</v>
      </c>
      <c r="P16" s="269">
        <f t="shared" ca="1" si="19"/>
        <v>1.3947540983606559E-5</v>
      </c>
      <c r="Q16" s="269">
        <f t="shared" ca="1" si="20"/>
        <v>6.9737704918032793E-6</v>
      </c>
      <c r="R16" s="269">
        <f t="shared" ca="1" si="21"/>
        <v>2.5570491803278692E-5</v>
      </c>
      <c r="S16" s="269">
        <f t="shared" ca="1" si="22"/>
        <v>9.5308196721311471E-5</v>
      </c>
      <c r="U16" s="284" cm="1">
        <f t="array" aca="1" ref="U16" ca="1">INDEX(NREL_ETDF_Index,MATCH($D16,NREL_Building_List,0),MATCH(_xlfn.XLOOKUP(U$10,Lookups_End_Use_CBECS,Lookups_End_Use_NREL,,0)&amp;IF($U$9="Winter","w","s"),NREL_End_Use_ETDF,0))</f>
        <v>3.1809999999999998E-4</v>
      </c>
      <c r="V16" s="268" cm="1">
        <f t="array" aca="1" ref="V16" ca="1">INDEX(NREL_ETDF_Index,MATCH($D16,NREL_Building_List,0),MATCH(_xlfn.XLOOKUP(V$10,Lookups_End_Use_CBECS,Lookups_End_Use_NREL,,0)&amp;IF($U$9="Winter","w","s"),NREL_End_Use_ETDF,0))</f>
        <v>1.77E-5</v>
      </c>
      <c r="W16" s="268" cm="1">
        <f t="array" aca="1" ref="W16" ca="1">INDEX(NREL_ETDF_Index,MATCH($D16,NREL_Building_List,0),MATCH(_xlfn.XLOOKUP(W$10,Lookups_End_Use_CBECS,Lookups_End_Use_NREL,,0)&amp;IF($U$9="Winter","w","s"),NREL_End_Use_ETDF,0))</f>
        <v>1.2659999999999999E-4</v>
      </c>
      <c r="X16" s="268" cm="1">
        <f t="array" aca="1" ref="X16" ca="1">INDEX(NREL_ETDF_Index,MATCH($D16,NREL_Building_List,0),MATCH(_xlfn.XLOOKUP(X$10,Lookups_End_Use_CBECS,Lookups_End_Use_NREL,,0)&amp;IF($U$9="Winter","w","s"),NREL_End_Use_ETDF,0))</f>
        <v>1.22E-4</v>
      </c>
      <c r="Y16" s="268" cm="1">
        <f t="array" aca="1" ref="Y16" ca="1">INDEX(NREL_ETDF_Index,MATCH($D16,NREL_Building_List,0),MATCH(_xlfn.XLOOKUP(Y$10,Lookups_End_Use_CBECS,Lookups_End_Use_NREL,,0)&amp;IF($U$9="Winter","w","s"),NREL_End_Use_ETDF,0))</f>
        <v>1.4750000000000001E-4</v>
      </c>
      <c r="Z16" s="285">
        <f t="shared" ca="1" si="34"/>
        <v>1.3298360655737705E-5</v>
      </c>
      <c r="AA16" s="268" cm="1">
        <f t="array" aca="1" ref="AA16" ca="1">INDEX(NREL_ETDF_Index,MATCH($D16,NREL_Building_List,0),MATCH(_xlfn.XLOOKUP(AA$10,Lookups_End_Use_CBECS,Lookups_End_Use_NREL,,0)&amp;IF($U$9="Winter","w","s"),NREL_End_Use_ETDF,0))</f>
        <v>0</v>
      </c>
      <c r="AB16" s="285">
        <f t="shared" ca="1" si="35"/>
        <v>6.9737704918032793E-6</v>
      </c>
      <c r="AC16" s="285">
        <f t="shared" ca="1" si="36"/>
        <v>6.9737704918032793E-6</v>
      </c>
      <c r="AD16" s="285">
        <f t="shared" ca="1" si="37"/>
        <v>2.5570491803278692E-5</v>
      </c>
      <c r="AE16" s="286">
        <f t="shared" ca="1" si="38"/>
        <v>9.5308196721311471E-5</v>
      </c>
      <c r="AF16" s="284" cm="1">
        <f t="array" aca="1" ref="AF16" ca="1">INDEX(NREL_ETDF_Index,MATCH($D16,NREL_Building_List,0),MATCH(_xlfn.XLOOKUP(AF$10,Lookups_End_Use_CBECS,Lookups_End_Use_NREL,,0)&amp;IF($AF$9="Winter","w","s"),NREL_End_Use_ETDF,0))</f>
        <v>1.1999999999999999E-6</v>
      </c>
      <c r="AG16" s="268" cm="1">
        <f t="array" aca="1" ref="AG16" ca="1">INDEX(NREL_ETDF_Index,MATCH($D16,NREL_Building_List,0),MATCH(_xlfn.XLOOKUP(AG$10,Lookups_End_Use_CBECS,Lookups_End_Use_NREL,,0)&amp;IF($AF$9="Winter","w","s"),NREL_End_Use_ETDF,0))</f>
        <v>3.904E-4</v>
      </c>
      <c r="AH16" s="268" cm="1">
        <f t="array" aca="1" ref="AH16" ca="1">INDEX(NREL_ETDF_Index,MATCH($D16,NREL_Building_List,0),MATCH(_xlfn.XLOOKUP(AH$10,Lookups_End_Use_CBECS,Lookups_End_Use_NREL,,0)&amp;IF($AF$9="Winter","w","s"),NREL_End_Use_ETDF,0))</f>
        <v>1.5090000000000001E-4</v>
      </c>
      <c r="AI16" s="268" cm="1">
        <f t="array" aca="1" ref="AI16" ca="1">INDEX(NREL_ETDF_Index,MATCH($D16,NREL_Building_List,0),MATCH(_xlfn.XLOOKUP(AI$10,Lookups_End_Use_CBECS,Lookups_End_Use_NREL,,0)&amp;IF($AF$9="Winter","w","s"),NREL_End_Use_ETDF,0))</f>
        <v>1.393E-4</v>
      </c>
      <c r="AJ16" s="268" cm="1">
        <f t="array" aca="1" ref="AJ16" ca="1">INDEX(NREL_ETDF_Index,MATCH($D16,NREL_Building_List,0),MATCH(_xlfn.XLOOKUP(AJ$10,Lookups_End_Use_CBECS,Lookups_End_Use_NREL,,0)&amp;IF($AF$9="Winter","w","s"),NREL_End_Use_ETDF,0))</f>
        <v>1.7019999999999999E-4</v>
      </c>
      <c r="AK16" s="285">
        <f t="shared" ca="1" si="39"/>
        <v>1.3947540983606559E-5</v>
      </c>
      <c r="AL16" s="268" cm="1">
        <f t="array" aca="1" ref="AL16" ca="1">INDEX(NREL_ETDF_Index,MATCH($D16,NREL_Building_List,0),MATCH(_xlfn.XLOOKUP(AL$10,Lookups_End_Use_CBECS,Lookups_End_Use_NREL,,0)&amp;IF($AF$9="Winter","w","s"),NREL_End_Use_ETDF,0))</f>
        <v>0</v>
      </c>
      <c r="AM16" s="285">
        <f t="shared" ca="1" si="40"/>
        <v>1.3947540983606559E-5</v>
      </c>
      <c r="AN16" s="285">
        <f t="shared" ca="1" si="41"/>
        <v>6.9737704918032793E-6</v>
      </c>
      <c r="AO16" s="285">
        <f t="shared" ca="1" si="42"/>
        <v>2.5570491803278692E-5</v>
      </c>
      <c r="AP16" s="286">
        <f t="shared" ca="1" si="43"/>
        <v>9.5308196721311471E-5</v>
      </c>
      <c r="AR16" s="270">
        <f t="shared" ca="1" si="23"/>
        <v>1.3</v>
      </c>
      <c r="AS16" s="270">
        <f t="shared" ca="1" si="23"/>
        <v>1.4</v>
      </c>
      <c r="AT16" s="270">
        <f t="shared" ca="1" si="23"/>
        <v>5.6</v>
      </c>
      <c r="AU16" s="270">
        <f t="shared" ca="1" si="23"/>
        <v>0.1</v>
      </c>
      <c r="AV16" s="270">
        <f t="shared" ca="1" si="23"/>
        <v>3.7</v>
      </c>
      <c r="AW16" s="270">
        <f t="shared" ca="1" si="23"/>
        <v>0.6</v>
      </c>
      <c r="AX16" s="270">
        <f t="shared" ca="1" si="23"/>
        <v>0.5</v>
      </c>
      <c r="AY16" s="270">
        <f t="shared" ca="1" si="23"/>
        <v>0.3</v>
      </c>
      <c r="AZ16" s="270">
        <f t="shared" ca="1" si="23"/>
        <v>1.1000000000000001</v>
      </c>
      <c r="BA16" s="270">
        <f t="shared" ca="1" si="23"/>
        <v>4.0999999999999996</v>
      </c>
      <c r="BC16" s="283">
        <v>6</v>
      </c>
      <c r="BD16" s="290">
        <f t="shared" ca="1" si="44"/>
        <v>3.1809999999999998E-4</v>
      </c>
      <c r="BE16" s="269">
        <f t="shared" ca="1" si="44"/>
        <v>1.1800000000000002E-5</v>
      </c>
      <c r="BF16" s="269">
        <f t="shared" ca="1" si="44"/>
        <v>1.1077499999999998E-4</v>
      </c>
      <c r="BG16" s="269">
        <f t="shared" ca="1" si="44"/>
        <v>3.4857142857142858E-5</v>
      </c>
      <c r="BH16" s="269">
        <f t="shared" ca="1" si="44"/>
        <v>1.4952054794520548E-4</v>
      </c>
      <c r="BI16" s="269">
        <f t="shared" ca="1" si="44"/>
        <v>9.3870781099324964E-6</v>
      </c>
      <c r="BJ16" s="269">
        <f t="shared" ca="1" si="44"/>
        <v>0</v>
      </c>
      <c r="BK16" s="269">
        <f t="shared" ca="1" si="44"/>
        <v>6.9737704918032793E-6</v>
      </c>
      <c r="BL16" s="269">
        <f t="shared" ca="1" si="44"/>
        <v>5.4793911007025773E-6</v>
      </c>
      <c r="BM16" s="291">
        <f t="shared" ca="1" si="44"/>
        <v>1.9780946489328797E-5</v>
      </c>
      <c r="BN16" s="290">
        <f t="shared" ca="1" si="45"/>
        <v>1.1999999999999999E-6</v>
      </c>
      <c r="BO16" s="269">
        <f t="shared" ca="1" si="25"/>
        <v>2.6026666666666669E-4</v>
      </c>
      <c r="BP16" s="269">
        <f t="shared" ca="1" si="26"/>
        <v>1.320375E-4</v>
      </c>
      <c r="BQ16" s="269">
        <f t="shared" ca="1" si="27"/>
        <v>3.9800000000000005E-5</v>
      </c>
      <c r="BR16" s="269">
        <f t="shared" ca="1" si="28"/>
        <v>1.7253150684931503E-4</v>
      </c>
      <c r="BS16" s="269">
        <f t="shared" ca="1" si="29"/>
        <v>9.8453230472516872E-6</v>
      </c>
      <c r="BT16" s="269">
        <f t="shared" ca="1" si="30"/>
        <v>0</v>
      </c>
      <c r="BU16" s="269">
        <f t="shared" ca="1" si="31"/>
        <v>1.3947540983606559E-5</v>
      </c>
      <c r="BV16" s="269">
        <f t="shared" ca="1" si="32"/>
        <v>5.4793911007025773E-6</v>
      </c>
      <c r="BW16" s="291">
        <f t="shared" ca="1" si="33"/>
        <v>1.9780946489328797E-5</v>
      </c>
    </row>
    <row r="17" spans="2:75" x14ac:dyDescent="0.25">
      <c r="B17" s="267" t="str">
        <f ca="1"/>
        <v>Health, Other</v>
      </c>
      <c r="C17" s="267" t="str" cm="1">
        <f t="array" aca="1" ref="C17" ca="1">_xlfn.XLOOKUP(B17,Lookups_Building_List_Workbook,Lookups_Building_List_CBECS,,0)</f>
        <v xml:space="preserve">Health care </v>
      </c>
      <c r="D17" s="267" t="str" cm="1">
        <f t="array" aca="1" ref="D17" ca="1">_xlfn.XLOOKUP(B17,Lookups_Building_List_Workbook,Lookups_Building_List_NREL,,0)</f>
        <v>Outpatient</v>
      </c>
      <c r="E17" s="270">
        <f t="shared" ca="1" si="11"/>
        <v>1.1000000000000001</v>
      </c>
      <c r="F17" s="270">
        <f t="shared" ca="1" si="11"/>
        <v>0.3</v>
      </c>
      <c r="G17" s="270">
        <f t="shared" ca="1" si="11"/>
        <v>1.7</v>
      </c>
      <c r="H17" s="270">
        <f t="shared" ca="1" si="11"/>
        <v>6.5</v>
      </c>
      <c r="I17" s="271">
        <f t="shared" ca="1" si="12"/>
        <v>9.6</v>
      </c>
      <c r="J17" s="268">
        <f t="shared" ca="1" si="13"/>
        <v>1.3520000000000001E-4</v>
      </c>
      <c r="K17" s="269">
        <f t="shared" ca="1" si="14"/>
        <v>1.5491666666666669E-5</v>
      </c>
      <c r="L17" s="269">
        <f t="shared" ca="1" si="15"/>
        <v>4.2250000000000002E-6</v>
      </c>
      <c r="M17" s="269">
        <f t="shared" ca="1" si="16"/>
        <v>2.3941666666666668E-5</v>
      </c>
      <c r="N17" s="269">
        <f t="shared" ca="1" si="17"/>
        <v>9.1541666666666665E-5</v>
      </c>
      <c r="O17" s="268">
        <f t="shared" ca="1" si="18"/>
        <v>1.418E-4</v>
      </c>
      <c r="P17" s="269">
        <f t="shared" ca="1" si="19"/>
        <v>1.6247916666666667E-5</v>
      </c>
      <c r="Q17" s="269">
        <f t="shared" ca="1" si="20"/>
        <v>4.4312500000000001E-6</v>
      </c>
      <c r="R17" s="269">
        <f t="shared" ca="1" si="21"/>
        <v>2.5110416666666666E-5</v>
      </c>
      <c r="S17" s="269">
        <f t="shared" ca="1" si="22"/>
        <v>9.6010416666666675E-5</v>
      </c>
      <c r="U17" s="284" cm="1">
        <f t="array" aca="1" ref="U17" ca="1">INDEX(NREL_ETDF_Index,MATCH($D17,NREL_Building_List,0),MATCH(_xlfn.XLOOKUP(U$10,Lookups_End_Use_CBECS,Lookups_End_Use_NREL,,0)&amp;IF($U$9="Winter","w","s"),NREL_End_Use_ETDF,0))</f>
        <v>3.1809999999999998E-4</v>
      </c>
      <c r="V17" s="268" cm="1">
        <f t="array" aca="1" ref="V17" ca="1">INDEX(NREL_ETDF_Index,MATCH($D17,NREL_Building_List,0),MATCH(_xlfn.XLOOKUP(V$10,Lookups_End_Use_CBECS,Lookups_End_Use_NREL,,0)&amp;IF($U$9="Winter","w","s"),NREL_End_Use_ETDF,0))</f>
        <v>1.77E-5</v>
      </c>
      <c r="W17" s="268" cm="1">
        <f t="array" aca="1" ref="W17" ca="1">INDEX(NREL_ETDF_Index,MATCH($D17,NREL_Building_List,0),MATCH(_xlfn.XLOOKUP(W$10,Lookups_End_Use_CBECS,Lookups_End_Use_NREL,,0)&amp;IF($U$9="Winter","w","s"),NREL_End_Use_ETDF,0))</f>
        <v>1.2659999999999999E-4</v>
      </c>
      <c r="X17" s="268" cm="1">
        <f t="array" aca="1" ref="X17" ca="1">INDEX(NREL_ETDF_Index,MATCH($D17,NREL_Building_List,0),MATCH(_xlfn.XLOOKUP(X$10,Lookups_End_Use_CBECS,Lookups_End_Use_NREL,,0)&amp;IF($U$9="Winter","w","s"),NREL_End_Use_ETDF,0))</f>
        <v>1.22E-4</v>
      </c>
      <c r="Y17" s="268" cm="1">
        <f t="array" aca="1" ref="Y17" ca="1">INDEX(NREL_ETDF_Index,MATCH($D17,NREL_Building_List,0),MATCH(_xlfn.XLOOKUP(Y$10,Lookups_End_Use_CBECS,Lookups_End_Use_NREL,,0)&amp;IF($U$9="Winter","w","s"),NREL_End_Use_ETDF,0))</f>
        <v>1.4750000000000001E-4</v>
      </c>
      <c r="Z17" s="285">
        <f t="shared" ca="1" si="34"/>
        <v>1.5491666666666669E-5</v>
      </c>
      <c r="AA17" s="268" cm="1">
        <f t="array" aca="1" ref="AA17" ca="1">INDEX(NREL_ETDF_Index,MATCH($D17,NREL_Building_List,0),MATCH(_xlfn.XLOOKUP(AA$10,Lookups_End_Use_CBECS,Lookups_End_Use_NREL,,0)&amp;IF($U$9="Winter","w","s"),NREL_End_Use_ETDF,0))</f>
        <v>0</v>
      </c>
      <c r="AB17" s="285">
        <f t="shared" ca="1" si="35"/>
        <v>4.4312500000000001E-6</v>
      </c>
      <c r="AC17" s="285">
        <f t="shared" ca="1" si="36"/>
        <v>4.4312500000000001E-6</v>
      </c>
      <c r="AD17" s="285">
        <f t="shared" ca="1" si="37"/>
        <v>2.5110416666666666E-5</v>
      </c>
      <c r="AE17" s="286">
        <f t="shared" ca="1" si="38"/>
        <v>9.6010416666666675E-5</v>
      </c>
      <c r="AF17" s="284" cm="1">
        <f t="array" aca="1" ref="AF17" ca="1">INDEX(NREL_ETDF_Index,MATCH($D17,NREL_Building_List,0),MATCH(_xlfn.XLOOKUP(AF$10,Lookups_End_Use_CBECS,Lookups_End_Use_NREL,,0)&amp;IF($AF$9="Winter","w","s"),NREL_End_Use_ETDF,0))</f>
        <v>1.1999999999999999E-6</v>
      </c>
      <c r="AG17" s="268" cm="1">
        <f t="array" aca="1" ref="AG17" ca="1">INDEX(NREL_ETDF_Index,MATCH($D17,NREL_Building_List,0),MATCH(_xlfn.XLOOKUP(AG$10,Lookups_End_Use_CBECS,Lookups_End_Use_NREL,,0)&amp;IF($AF$9="Winter","w","s"),NREL_End_Use_ETDF,0))</f>
        <v>3.904E-4</v>
      </c>
      <c r="AH17" s="268" cm="1">
        <f t="array" aca="1" ref="AH17" ca="1">INDEX(NREL_ETDF_Index,MATCH($D17,NREL_Building_List,0),MATCH(_xlfn.XLOOKUP(AH$10,Lookups_End_Use_CBECS,Lookups_End_Use_NREL,,0)&amp;IF($AF$9="Winter","w","s"),NREL_End_Use_ETDF,0))</f>
        <v>1.5090000000000001E-4</v>
      </c>
      <c r="AI17" s="268" cm="1">
        <f t="array" aca="1" ref="AI17" ca="1">INDEX(NREL_ETDF_Index,MATCH($D17,NREL_Building_List,0),MATCH(_xlfn.XLOOKUP(AI$10,Lookups_End_Use_CBECS,Lookups_End_Use_NREL,,0)&amp;IF($AF$9="Winter","w","s"),NREL_End_Use_ETDF,0))</f>
        <v>1.393E-4</v>
      </c>
      <c r="AJ17" s="268" cm="1">
        <f t="array" aca="1" ref="AJ17" ca="1">INDEX(NREL_ETDF_Index,MATCH($D17,NREL_Building_List,0),MATCH(_xlfn.XLOOKUP(AJ$10,Lookups_End_Use_CBECS,Lookups_End_Use_NREL,,0)&amp;IF($AF$9="Winter","w","s"),NREL_End_Use_ETDF,0))</f>
        <v>1.7019999999999999E-4</v>
      </c>
      <c r="AK17" s="285">
        <f t="shared" ca="1" si="39"/>
        <v>1.6247916666666667E-5</v>
      </c>
      <c r="AL17" s="268" cm="1">
        <f t="array" aca="1" ref="AL17" ca="1">INDEX(NREL_ETDF_Index,MATCH($D17,NREL_Building_List,0),MATCH(_xlfn.XLOOKUP(AL$10,Lookups_End_Use_CBECS,Lookups_End_Use_NREL,,0)&amp;IF($AF$9="Winter","w","s"),NREL_End_Use_ETDF,0))</f>
        <v>0</v>
      </c>
      <c r="AM17" s="285">
        <f t="shared" ca="1" si="40"/>
        <v>1.6247916666666667E-5</v>
      </c>
      <c r="AN17" s="285">
        <f t="shared" ca="1" si="41"/>
        <v>4.4312500000000001E-6</v>
      </c>
      <c r="AO17" s="285">
        <f t="shared" ca="1" si="42"/>
        <v>2.5110416666666666E-5</v>
      </c>
      <c r="AP17" s="286">
        <f t="shared" ca="1" si="43"/>
        <v>9.6010416666666675E-5</v>
      </c>
      <c r="AR17" s="270">
        <f t="shared" ca="1" si="23"/>
        <v>1.3</v>
      </c>
      <c r="AS17" s="270">
        <f t="shared" ca="1" si="23"/>
        <v>2.8</v>
      </c>
      <c r="AT17" s="270">
        <f t="shared" ca="1" si="23"/>
        <v>7.2</v>
      </c>
      <c r="AU17" s="270">
        <f t="shared" ca="1" si="23"/>
        <v>0.6</v>
      </c>
      <c r="AV17" s="270">
        <f t="shared" ca="1" si="23"/>
        <v>3.6</v>
      </c>
      <c r="AW17" s="270">
        <f t="shared" ca="1" si="23"/>
        <v>1.1000000000000001</v>
      </c>
      <c r="AX17" s="270">
        <f t="shared" ca="1" si="23"/>
        <v>0.9</v>
      </c>
      <c r="AY17" s="270">
        <f t="shared" ca="1" si="23"/>
        <v>0.3</v>
      </c>
      <c r="AZ17" s="270">
        <f t="shared" ca="1" si="23"/>
        <v>1.7</v>
      </c>
      <c r="BA17" s="270">
        <f t="shared" ca="1" si="23"/>
        <v>6.5</v>
      </c>
      <c r="BC17" s="283">
        <v>6</v>
      </c>
      <c r="BD17" s="290">
        <f t="shared" ca="1" si="44"/>
        <v>3.1809999999999998E-4</v>
      </c>
      <c r="BE17" s="269">
        <f t="shared" ca="1" si="44"/>
        <v>2.3600000000000004E-5</v>
      </c>
      <c r="BF17" s="269">
        <f t="shared" ca="1" si="44"/>
        <v>1.4242499999999998E-4</v>
      </c>
      <c r="BG17" s="269">
        <f t="shared" ca="1" si="44"/>
        <v>2.0914285714285712E-4</v>
      </c>
      <c r="BH17" s="269">
        <f t="shared" ca="1" si="44"/>
        <v>1.4547945205479451E-4</v>
      </c>
      <c r="BI17" s="269">
        <f t="shared" ca="1" si="44"/>
        <v>2.0048039215686279E-5</v>
      </c>
      <c r="BJ17" s="269">
        <f t="shared" ca="1" si="44"/>
        <v>0</v>
      </c>
      <c r="BK17" s="269">
        <f t="shared" ca="1" si="44"/>
        <v>4.4312500000000001E-6</v>
      </c>
      <c r="BL17" s="269">
        <f t="shared" ca="1" si="44"/>
        <v>5.3808035714285721E-6</v>
      </c>
      <c r="BM17" s="291">
        <f t="shared" ca="1" si="44"/>
        <v>3.0795794025157229E-5</v>
      </c>
      <c r="BN17" s="290">
        <f t="shared" ca="1" si="45"/>
        <v>1.1999999999999999E-6</v>
      </c>
      <c r="BO17" s="269">
        <f t="shared" ca="1" si="25"/>
        <v>5.2053333333333337E-4</v>
      </c>
      <c r="BP17" s="269">
        <f t="shared" ca="1" si="26"/>
        <v>1.6976250000000001E-4</v>
      </c>
      <c r="BQ17" s="269">
        <f t="shared" ca="1" si="27"/>
        <v>2.388E-4</v>
      </c>
      <c r="BR17" s="269">
        <f t="shared" ca="1" si="28"/>
        <v>1.6786849315068492E-4</v>
      </c>
      <c r="BS17" s="269">
        <f t="shared" ca="1" si="29"/>
        <v>2.1026715686274507E-5</v>
      </c>
      <c r="BT17" s="269">
        <f t="shared" ca="1" si="30"/>
        <v>0</v>
      </c>
      <c r="BU17" s="269">
        <f t="shared" ca="1" si="31"/>
        <v>1.6247916666666667E-5</v>
      </c>
      <c r="BV17" s="269">
        <f t="shared" ca="1" si="32"/>
        <v>5.3808035714285721E-6</v>
      </c>
      <c r="BW17" s="291">
        <f t="shared" ca="1" si="33"/>
        <v>3.0795794025157229E-5</v>
      </c>
    </row>
    <row r="18" spans="2:75" x14ac:dyDescent="0.25">
      <c r="B18" s="267" t="str">
        <f ca="1"/>
        <v>Industrial/Manufacturing</v>
      </c>
      <c r="C18" s="267" t="str" cm="1">
        <f t="array" aca="1" ref="C18" ca="1">_xlfn.XLOOKUP(B18,Lookups_Building_List_Workbook,Lookups_Building_List_CBECS,,0)</f>
        <v xml:space="preserve">Other </v>
      </c>
      <c r="D18" s="267" t="str" cm="1">
        <f t="array" aca="1" ref="D18" ca="1">_xlfn.XLOOKUP(B18,Lookups_Building_List_Workbook,Lookups_Building_List_NREL,,0)</f>
        <v>Warehouse</v>
      </c>
      <c r="E18" s="270">
        <f t="shared" ca="1" si="11"/>
        <v>0.6</v>
      </c>
      <c r="F18" s="270">
        <f t="shared" ca="1" si="11"/>
        <v>0.1</v>
      </c>
      <c r="G18" s="270">
        <f t="shared" ca="1" si="11"/>
        <v>9.6999999999999993</v>
      </c>
      <c r="H18" s="270">
        <f t="shared" ca="1" si="11"/>
        <v>9.6999999999999993</v>
      </c>
      <c r="I18" s="271">
        <f t="shared" ca="1" si="12"/>
        <v>20.099999999999998</v>
      </c>
      <c r="J18" s="268">
        <f t="shared" ca="1" si="13"/>
        <v>1.37E-4</v>
      </c>
      <c r="K18" s="269">
        <f t="shared" ca="1" si="14"/>
        <v>4.08955223880597E-6</v>
      </c>
      <c r="L18" s="269">
        <f t="shared" ca="1" si="15"/>
        <v>6.8159203980099511E-7</v>
      </c>
      <c r="M18" s="269">
        <f t="shared" ca="1" si="16"/>
        <v>6.6114427860696509E-5</v>
      </c>
      <c r="N18" s="269">
        <f t="shared" ca="1" si="17"/>
        <v>6.6114427860696509E-5</v>
      </c>
      <c r="O18" s="268">
        <f t="shared" ca="1" si="18"/>
        <v>1.7679999999999999E-4</v>
      </c>
      <c r="P18" s="269">
        <f t="shared" ca="1" si="19"/>
        <v>5.2776119402985077E-6</v>
      </c>
      <c r="Q18" s="269">
        <f t="shared" ca="1" si="20"/>
        <v>8.7960199004975136E-7</v>
      </c>
      <c r="R18" s="269">
        <f t="shared" ca="1" si="21"/>
        <v>8.5321393034825868E-5</v>
      </c>
      <c r="S18" s="269">
        <f t="shared" ca="1" si="22"/>
        <v>8.5321393034825868E-5</v>
      </c>
      <c r="U18" s="284" cm="1">
        <f t="array" aca="1" ref="U18" ca="1">INDEX(NREL_ETDF_Index,MATCH($D18,NREL_Building_List,0),MATCH(_xlfn.XLOOKUP(U$10,Lookups_End_Use_CBECS,Lookups_End_Use_NREL,,0)&amp;IF($U$9="Winter","w","s"),NREL_End_Use_ETDF,0))</f>
        <v>3.7859999999999999E-4</v>
      </c>
      <c r="V18" s="268" cm="1">
        <f t="array" aca="1" ref="V18" ca="1">INDEX(NREL_ETDF_Index,MATCH($D18,NREL_Building_List,0),MATCH(_xlfn.XLOOKUP(V$10,Lookups_End_Use_CBECS,Lookups_End_Use_NREL,,0)&amp;IF($U$9="Winter","w","s"),NREL_End_Use_ETDF,0))</f>
        <v>3.9999999999999998E-6</v>
      </c>
      <c r="W18" s="268" cm="1">
        <f t="array" aca="1" ref="W18" ca="1">INDEX(NREL_ETDF_Index,MATCH($D18,NREL_Building_List,0),MATCH(_xlfn.XLOOKUP(W$10,Lookups_End_Use_CBECS,Lookups_End_Use_NREL,,0)&amp;IF($U$9="Winter","w","s"),NREL_End_Use_ETDF,0))</f>
        <v>1.2679999999999999E-4</v>
      </c>
      <c r="X18" s="268" cm="1">
        <f t="array" aca="1" ref="X18" ca="1">INDEX(NREL_ETDF_Index,MATCH($D18,NREL_Building_List,0),MATCH(_xlfn.XLOOKUP(X$10,Lookups_End_Use_CBECS,Lookups_End_Use_NREL,,0)&amp;IF($U$9="Winter","w","s"),NREL_End_Use_ETDF,0))</f>
        <v>0</v>
      </c>
      <c r="Y18" s="268" cm="1">
        <f t="array" aca="1" ref="Y18" ca="1">INDEX(NREL_ETDF_Index,MATCH($D18,NREL_Building_List,0),MATCH(_xlfn.XLOOKUP(Y$10,Lookups_End_Use_CBECS,Lookups_End_Use_NREL,,0)&amp;IF($U$9="Winter","w","s"),NREL_End_Use_ETDF,0))</f>
        <v>1.5689999999999999E-4</v>
      </c>
      <c r="Z18" s="285">
        <f t="shared" ca="1" si="34"/>
        <v>4.08955223880597E-6</v>
      </c>
      <c r="AA18" s="268" cm="1">
        <f t="array" aca="1" ref="AA18" ca="1">INDEX(NREL_ETDF_Index,MATCH($D18,NREL_Building_List,0),MATCH(_xlfn.XLOOKUP(AA$10,Lookups_End_Use_CBECS,Lookups_End_Use_NREL,,0)&amp;IF($U$9="Winter","w","s"),NREL_End_Use_ETDF,0))</f>
        <v>0</v>
      </c>
      <c r="AB18" s="285">
        <f t="shared" ca="1" si="35"/>
        <v>8.7960199004975136E-7</v>
      </c>
      <c r="AC18" s="285">
        <f t="shared" ca="1" si="36"/>
        <v>8.7960199004975136E-7</v>
      </c>
      <c r="AD18" s="285">
        <f t="shared" ca="1" si="37"/>
        <v>8.5321393034825868E-5</v>
      </c>
      <c r="AE18" s="286">
        <f t="shared" ca="1" si="38"/>
        <v>8.5321393034825868E-5</v>
      </c>
      <c r="AF18" s="284" cm="1">
        <f t="array" aca="1" ref="AF18" ca="1">INDEX(NREL_ETDF_Index,MATCH($D18,NREL_Building_List,0),MATCH(_xlfn.XLOOKUP(AF$10,Lookups_End_Use_CBECS,Lookups_End_Use_NREL,,0)&amp;IF($AF$9="Winter","w","s"),NREL_End_Use_ETDF,0))</f>
        <v>0</v>
      </c>
      <c r="AG18" s="268" cm="1">
        <f t="array" aca="1" ref="AG18" ca="1">INDEX(NREL_ETDF_Index,MATCH($D18,NREL_Building_List,0),MATCH(_xlfn.XLOOKUP(AG$10,Lookups_End_Use_CBECS,Lookups_End_Use_NREL,,0)&amp;IF($AF$9="Winter","w","s"),NREL_End_Use_ETDF,0))</f>
        <v>6.2839999999999999E-4</v>
      </c>
      <c r="AH18" s="268" cm="1">
        <f t="array" aca="1" ref="AH18" ca="1">INDEX(NREL_ETDF_Index,MATCH($D18,NREL_Building_List,0),MATCH(_xlfn.XLOOKUP(AH$10,Lookups_End_Use_CBECS,Lookups_End_Use_NREL,,0)&amp;IF($AF$9="Winter","w","s"),NREL_End_Use_ETDF,0))</f>
        <v>1.95E-4</v>
      </c>
      <c r="AI18" s="268" cm="1">
        <f t="array" aca="1" ref="AI18" ca="1">INDEX(NREL_ETDF_Index,MATCH($D18,NREL_Building_List,0),MATCH(_xlfn.XLOOKUP(AI$10,Lookups_End_Use_CBECS,Lookups_End_Use_NREL,,0)&amp;IF($AF$9="Winter","w","s"),NREL_End_Use_ETDF,0))</f>
        <v>0</v>
      </c>
      <c r="AJ18" s="268" cm="1">
        <f t="array" aca="1" ref="AJ18" ca="1">INDEX(NREL_ETDF_Index,MATCH($D18,NREL_Building_List,0),MATCH(_xlfn.XLOOKUP(AJ$10,Lookups_End_Use_CBECS,Lookups_End_Use_NREL,,0)&amp;IF($AF$9="Winter","w","s"),NREL_End_Use_ETDF,0))</f>
        <v>2.039E-4</v>
      </c>
      <c r="AK18" s="285">
        <f t="shared" ca="1" si="39"/>
        <v>5.2776119402985077E-6</v>
      </c>
      <c r="AL18" s="268" cm="1">
        <f t="array" aca="1" ref="AL18" ca="1">INDEX(NREL_ETDF_Index,MATCH($D18,NREL_Building_List,0),MATCH(_xlfn.XLOOKUP(AL$10,Lookups_End_Use_CBECS,Lookups_End_Use_NREL,,0)&amp;IF($AF$9="Winter","w","s"),NREL_End_Use_ETDF,0))</f>
        <v>0</v>
      </c>
      <c r="AM18" s="285">
        <f t="shared" ca="1" si="40"/>
        <v>5.2776119402985077E-6</v>
      </c>
      <c r="AN18" s="285">
        <f t="shared" ca="1" si="41"/>
        <v>8.7960199004975136E-7</v>
      </c>
      <c r="AO18" s="285">
        <f t="shared" ca="1" si="42"/>
        <v>8.5321393034825868E-5</v>
      </c>
      <c r="AP18" s="286">
        <f t="shared" ca="1" si="43"/>
        <v>8.5321393034825868E-5</v>
      </c>
      <c r="AR18" s="270">
        <f t="shared" ca="1" si="23"/>
        <v>1.5</v>
      </c>
      <c r="AS18" s="270">
        <f t="shared" ca="1" si="23"/>
        <v>4</v>
      </c>
      <c r="AT18" s="270">
        <f t="shared" ca="1" si="23"/>
        <v>2.2000000000000002</v>
      </c>
      <c r="AU18" s="270">
        <f t="shared" ca="1" si="23"/>
        <v>0.1</v>
      </c>
      <c r="AV18" s="270">
        <f t="shared" ca="1" si="23"/>
        <v>3.7</v>
      </c>
      <c r="AW18" s="270">
        <f t="shared" ca="1" si="23"/>
        <v>0.6</v>
      </c>
      <c r="AX18" s="270">
        <f t="shared" ca="1" si="23"/>
        <v>0.7</v>
      </c>
      <c r="AY18" s="270">
        <f t="shared" ca="1" si="23"/>
        <v>0.1</v>
      </c>
      <c r="AZ18" s="270">
        <f t="shared" ca="1" si="23"/>
        <v>9.6999999999999993</v>
      </c>
      <c r="BA18" s="270">
        <f t="shared" ca="1" si="23"/>
        <v>9.6999999999999993</v>
      </c>
      <c r="BC18" s="283">
        <v>7</v>
      </c>
      <c r="BD18" s="290">
        <f t="shared" ca="1" si="44"/>
        <v>3.7859999999999999E-4</v>
      </c>
      <c r="BE18" s="269">
        <f t="shared" ca="1" si="44"/>
        <v>3.9999999999999998E-6</v>
      </c>
      <c r="BF18" s="269">
        <f t="shared" ca="1" si="44"/>
        <v>1.2679999999999999E-4</v>
      </c>
      <c r="BG18" s="269">
        <f t="shared" ca="1" si="44"/>
        <v>0</v>
      </c>
      <c r="BH18" s="269">
        <f t="shared" ca="1" si="44"/>
        <v>1.5689999999999999E-4</v>
      </c>
      <c r="BI18" s="269">
        <f t="shared" ca="1" si="44"/>
        <v>4.08955223880597E-6</v>
      </c>
      <c r="BJ18" s="269">
        <f t="shared" ca="1" si="44"/>
        <v>0</v>
      </c>
      <c r="BK18" s="269">
        <f t="shared" ca="1" si="44"/>
        <v>8.7960199004975136E-7</v>
      </c>
      <c r="BL18" s="269">
        <f t="shared" ca="1" si="44"/>
        <v>8.7960199004975126E-7</v>
      </c>
      <c r="BM18" s="291">
        <f t="shared" ca="1" si="44"/>
        <v>8.5321393034825868E-5</v>
      </c>
      <c r="BN18" s="290">
        <f t="shared" ca="1" si="45"/>
        <v>0</v>
      </c>
      <c r="BO18" s="269">
        <f t="shared" ca="1" si="25"/>
        <v>6.2839999999999999E-4</v>
      </c>
      <c r="BP18" s="269">
        <f t="shared" ca="1" si="26"/>
        <v>1.95E-4</v>
      </c>
      <c r="BQ18" s="269">
        <f t="shared" ca="1" si="27"/>
        <v>0</v>
      </c>
      <c r="BR18" s="269">
        <f t="shared" ca="1" si="28"/>
        <v>2.039E-4</v>
      </c>
      <c r="BS18" s="269">
        <f t="shared" ca="1" si="29"/>
        <v>5.2776119402985077E-6</v>
      </c>
      <c r="BT18" s="269">
        <f t="shared" ca="1" si="30"/>
        <v>0</v>
      </c>
      <c r="BU18" s="269">
        <f t="shared" ca="1" si="31"/>
        <v>5.2776119402985077E-6</v>
      </c>
      <c r="BV18" s="269">
        <f t="shared" ca="1" si="32"/>
        <v>8.7960199004975126E-7</v>
      </c>
      <c r="BW18" s="291">
        <f t="shared" ca="1" si="33"/>
        <v>8.5321393034825868E-5</v>
      </c>
    </row>
    <row r="19" spans="2:75" ht="15" customHeight="1" x14ac:dyDescent="0.25">
      <c r="B19" s="267" t="str">
        <f ca="1"/>
        <v>Institutional/Public Service</v>
      </c>
      <c r="C19" s="267" t="str" cm="1">
        <f t="array" aca="1" ref="C19" ca="1">_xlfn.XLOOKUP(B19,Lookups_Building_List_Workbook,Lookups_Building_List_CBECS,,0)</f>
        <v xml:space="preserve">Public order and safety </v>
      </c>
      <c r="D19" s="267" t="str" cm="1">
        <f t="array" aca="1" ref="D19" ca="1">_xlfn.XLOOKUP(B19,Lookups_Building_List_Workbook,Lookups_Building_List_NREL,,0)</f>
        <v>MediumOffice</v>
      </c>
      <c r="E19" s="270">
        <f t="shared" ca="1" si="11"/>
        <v>0.5</v>
      </c>
      <c r="F19" s="270">
        <f t="shared" ca="1" si="11"/>
        <v>0.2</v>
      </c>
      <c r="G19" s="270">
        <f t="shared" ca="1" si="11"/>
        <v>0.8</v>
      </c>
      <c r="H19" s="270">
        <f t="shared" ca="1" si="11"/>
        <v>3.1</v>
      </c>
      <c r="I19" s="271">
        <f t="shared" ca="1" si="12"/>
        <v>4.5999999999999996</v>
      </c>
      <c r="J19" s="268">
        <f t="shared" ca="1" si="13"/>
        <v>1.2459999999999999E-4</v>
      </c>
      <c r="K19" s="269">
        <f t="shared" ca="1" si="14"/>
        <v>1.3543478260869566E-5</v>
      </c>
      <c r="L19" s="269">
        <f t="shared" ca="1" si="15"/>
        <v>5.4173913043478263E-6</v>
      </c>
      <c r="M19" s="269">
        <f t="shared" ca="1" si="16"/>
        <v>2.1669565217391305E-5</v>
      </c>
      <c r="N19" s="269">
        <f t="shared" ca="1" si="17"/>
        <v>8.3969565217391305E-5</v>
      </c>
      <c r="O19" s="268">
        <f t="shared" ca="1" si="18"/>
        <v>1.164E-4</v>
      </c>
      <c r="P19" s="269">
        <f t="shared" ca="1" si="19"/>
        <v>1.2652173913043479E-5</v>
      </c>
      <c r="Q19" s="269">
        <f t="shared" ca="1" si="20"/>
        <v>5.0608695652173916E-6</v>
      </c>
      <c r="R19" s="269">
        <f t="shared" ca="1" si="21"/>
        <v>2.0243478260869566E-5</v>
      </c>
      <c r="S19" s="269">
        <f t="shared" ca="1" si="22"/>
        <v>7.8443478260869582E-5</v>
      </c>
      <c r="U19" s="284" cm="1">
        <f t="array" aca="1" ref="U19" ca="1">INDEX(NREL_ETDF_Index,MATCH($D19,NREL_Building_List,0),MATCH(_xlfn.XLOOKUP(U$10,Lookups_End_Use_CBECS,Lookups_End_Use_NREL,,0)&amp;IF($U$9="Winter","w","s"),NREL_End_Use_ETDF,0))</f>
        <v>3.5940000000000001E-4</v>
      </c>
      <c r="V19" s="268" cm="1">
        <f t="array" aca="1" ref="V19" ca="1">INDEX(NREL_ETDF_Index,MATCH($D19,NREL_Building_List,0),MATCH(_xlfn.XLOOKUP(V$10,Lookups_End_Use_CBECS,Lookups_End_Use_NREL,,0)&amp;IF($U$9="Winter","w","s"),NREL_End_Use_ETDF,0))</f>
        <v>2.0299999999999999E-5</v>
      </c>
      <c r="W19" s="268" cm="1">
        <f t="array" aca="1" ref="W19" ca="1">INDEX(NREL_ETDF_Index,MATCH($D19,NREL_Building_List,0),MATCH(_xlfn.XLOOKUP(W$10,Lookups_End_Use_CBECS,Lookups_End_Use_NREL,,0)&amp;IF($U$9="Winter","w","s"),NREL_End_Use_ETDF,0))</f>
        <v>1.2439999999999999E-4</v>
      </c>
      <c r="X19" s="268" cm="1">
        <f t="array" aca="1" ref="X19" ca="1">INDEX(NREL_ETDF_Index,MATCH($D19,NREL_Building_List,0),MATCH(_xlfn.XLOOKUP(X$10,Lookups_End_Use_CBECS,Lookups_End_Use_NREL,,0)&amp;IF($U$9="Winter","w","s"),NREL_End_Use_ETDF,0))</f>
        <v>1.5890000000000001E-4</v>
      </c>
      <c r="Y19" s="268" cm="1">
        <f t="array" aca="1" ref="Y19" ca="1">INDEX(NREL_ETDF_Index,MATCH($D19,NREL_Building_List,0),MATCH(_xlfn.XLOOKUP(Y$10,Lookups_End_Use_CBECS,Lookups_End_Use_NREL,,0)&amp;IF($U$9="Winter","w","s"),NREL_End_Use_ETDF,0))</f>
        <v>1.5779999999999999E-4</v>
      </c>
      <c r="Z19" s="285">
        <f t="shared" ca="1" si="34"/>
        <v>1.3543478260869566E-5</v>
      </c>
      <c r="AA19" s="268" cm="1">
        <f t="array" aca="1" ref="AA19" ca="1">INDEX(NREL_ETDF_Index,MATCH($D19,NREL_Building_List,0),MATCH(_xlfn.XLOOKUP(AA$10,Lookups_End_Use_CBECS,Lookups_End_Use_NREL,,0)&amp;IF($U$9="Winter","w","s"),NREL_End_Use_ETDF,0))</f>
        <v>0</v>
      </c>
      <c r="AB19" s="285">
        <f t="shared" ca="1" si="35"/>
        <v>5.0608695652173916E-6</v>
      </c>
      <c r="AC19" s="285">
        <f t="shared" ca="1" si="36"/>
        <v>5.0608695652173916E-6</v>
      </c>
      <c r="AD19" s="285">
        <f t="shared" ca="1" si="37"/>
        <v>2.0243478260869566E-5</v>
      </c>
      <c r="AE19" s="286">
        <f t="shared" ca="1" si="38"/>
        <v>7.8443478260869582E-5</v>
      </c>
      <c r="AF19" s="284" cm="1">
        <f t="array" aca="1" ref="AF19" ca="1">INDEX(NREL_ETDF_Index,MATCH($D19,NREL_Building_List,0),MATCH(_xlfn.XLOOKUP(AF$10,Lookups_End_Use_CBECS,Lookups_End_Use_NREL,,0)&amp;IF($AF$9="Winter","w","s"),NREL_End_Use_ETDF,0))</f>
        <v>1.9999999999999999E-7</v>
      </c>
      <c r="AG19" s="268" cm="1">
        <f t="array" aca="1" ref="AG19" ca="1">INDEX(NREL_ETDF_Index,MATCH($D19,NREL_Building_List,0),MATCH(_xlfn.XLOOKUP(AG$10,Lookups_End_Use_CBECS,Lookups_End_Use_NREL,,0)&amp;IF($AF$9="Winter","w","s"),NREL_End_Use_ETDF,0))</f>
        <v>4.2719999999999998E-4</v>
      </c>
      <c r="AH19" s="268" cm="1">
        <f t="array" aca="1" ref="AH19" ca="1">INDEX(NREL_ETDF_Index,MATCH($D19,NREL_Building_List,0),MATCH(_xlfn.XLOOKUP(AH$10,Lookups_End_Use_CBECS,Lookups_End_Use_NREL,,0)&amp;IF($AF$9="Winter","w","s"),NREL_End_Use_ETDF,0))</f>
        <v>1.56E-4</v>
      </c>
      <c r="AI19" s="268" cm="1">
        <f t="array" aca="1" ref="AI19" ca="1">INDEX(NREL_ETDF_Index,MATCH($D19,NREL_Building_List,0),MATCH(_xlfn.XLOOKUP(AI$10,Lookups_End_Use_CBECS,Lookups_End_Use_NREL,,0)&amp;IF($AF$9="Winter","w","s"),NREL_End_Use_ETDF,0))</f>
        <v>1.3650000000000001E-4</v>
      </c>
      <c r="AJ19" s="268" cm="1">
        <f t="array" aca="1" ref="AJ19" ca="1">INDEX(NREL_ETDF_Index,MATCH($D19,NREL_Building_List,0),MATCH(_xlfn.XLOOKUP(AJ$10,Lookups_End_Use_CBECS,Lookups_End_Use_NREL,,0)&amp;IF($AF$9="Winter","w","s"),NREL_End_Use_ETDF,0))</f>
        <v>1.227E-4</v>
      </c>
      <c r="AK19" s="285">
        <f t="shared" ca="1" si="39"/>
        <v>1.2652173913043479E-5</v>
      </c>
      <c r="AL19" s="268" cm="1">
        <f t="array" aca="1" ref="AL19" ca="1">INDEX(NREL_ETDF_Index,MATCH($D19,NREL_Building_List,0),MATCH(_xlfn.XLOOKUP(AL$10,Lookups_End_Use_CBECS,Lookups_End_Use_NREL,,0)&amp;IF($AF$9="Winter","w","s"),NREL_End_Use_ETDF,0))</f>
        <v>0</v>
      </c>
      <c r="AM19" s="285">
        <f t="shared" ca="1" si="40"/>
        <v>1.2652173913043479E-5</v>
      </c>
      <c r="AN19" s="285">
        <f t="shared" ca="1" si="41"/>
        <v>5.0608695652173916E-6</v>
      </c>
      <c r="AO19" s="285">
        <f t="shared" ca="1" si="42"/>
        <v>2.0243478260869566E-5</v>
      </c>
      <c r="AP19" s="286">
        <f t="shared" ca="1" si="43"/>
        <v>7.8443478260869582E-5</v>
      </c>
      <c r="AR19" s="270">
        <f t="shared" ca="1" si="23"/>
        <v>2</v>
      </c>
      <c r="AS19" s="270">
        <f t="shared" ca="1" si="23"/>
        <v>2.7</v>
      </c>
      <c r="AT19" s="270">
        <f t="shared" ca="1" si="23"/>
        <v>1.8</v>
      </c>
      <c r="AU19" s="270">
        <f t="shared" ca="1" si="23"/>
        <v>1.9</v>
      </c>
      <c r="AV19" s="270">
        <f t="shared" ca="1" si="23"/>
        <v>3.4</v>
      </c>
      <c r="AW19" s="270">
        <f t="shared" ca="1" si="23"/>
        <v>0.5</v>
      </c>
      <c r="AX19" s="270">
        <f t="shared" ca="1" si="23"/>
        <v>0.6</v>
      </c>
      <c r="AY19" s="270">
        <f t="shared" ca="1" si="23"/>
        <v>0.2</v>
      </c>
      <c r="AZ19" s="270">
        <f t="shared" ca="1" si="23"/>
        <v>0.8</v>
      </c>
      <c r="BA19" s="270">
        <f t="shared" ca="1" si="23"/>
        <v>3.1</v>
      </c>
      <c r="BC19" s="283">
        <v>8</v>
      </c>
      <c r="BD19" s="290">
        <f t="shared" ca="1" si="44"/>
        <v>4.549367088607595E-4</v>
      </c>
      <c r="BE19" s="269">
        <f t="shared" ca="1" si="44"/>
        <v>2.2648760330578514E-5</v>
      </c>
      <c r="BF19" s="269">
        <f t="shared" ca="1" si="44"/>
        <v>1.473157894736842E-4</v>
      </c>
      <c r="BG19" s="269">
        <f t="shared" ca="1" si="44"/>
        <v>3.6818292682926833E-4</v>
      </c>
      <c r="BH19" s="269">
        <f t="shared" ca="1" si="44"/>
        <v>1.9439130434782605E-4</v>
      </c>
      <c r="BI19" s="269">
        <f t="shared" ca="1" si="44"/>
        <v>1.5390316205533596E-5</v>
      </c>
      <c r="BJ19" s="269">
        <f t="shared" ca="1" si="44"/>
        <v>0</v>
      </c>
      <c r="BK19" s="269">
        <f t="shared" ca="1" si="44"/>
        <v>7.229813664596275E-6</v>
      </c>
      <c r="BL19" s="269">
        <f t="shared" ca="1" si="44"/>
        <v>1.7451274362818593E-6</v>
      </c>
      <c r="BM19" s="291">
        <f t="shared" ca="1" si="44"/>
        <v>1.6690101757631826E-5</v>
      </c>
      <c r="BN19" s="290">
        <f t="shared" ca="1" si="45"/>
        <v>2.5316455696202527E-7</v>
      </c>
      <c r="BO19" s="269">
        <f t="shared" ca="1" si="25"/>
        <v>4.7662809917355369E-4</v>
      </c>
      <c r="BP19" s="269">
        <f t="shared" ca="1" si="26"/>
        <v>1.8473684210526314E-4</v>
      </c>
      <c r="BQ19" s="269">
        <f t="shared" ca="1" si="27"/>
        <v>3.1628048780487803E-4</v>
      </c>
      <c r="BR19" s="269">
        <f t="shared" ca="1" si="28"/>
        <v>1.5115217391304346E-4</v>
      </c>
      <c r="BS19" s="269">
        <f t="shared" ca="1" si="29"/>
        <v>1.4377470355731224E-5</v>
      </c>
      <c r="BT19" s="269">
        <f t="shared" ca="1" si="30"/>
        <v>0</v>
      </c>
      <c r="BU19" s="269">
        <f t="shared" ca="1" si="31"/>
        <v>1.8074534161490685E-5</v>
      </c>
      <c r="BV19" s="269">
        <f t="shared" ca="1" si="32"/>
        <v>1.7451274362818593E-6</v>
      </c>
      <c r="BW19" s="291">
        <f t="shared" ca="1" si="33"/>
        <v>1.6690101757631826E-5</v>
      </c>
    </row>
    <row r="20" spans="2:75" x14ac:dyDescent="0.25">
      <c r="B20" s="267" t="str">
        <f ca="1"/>
        <v>Lodging, Large</v>
      </c>
      <c r="C20" s="267" t="str" cm="1">
        <f t="array" aca="1" ref="C20" ca="1">_xlfn.XLOOKUP(B20,Lookups_Building_List_Workbook,Lookups_Building_List_CBECS,,0)</f>
        <v xml:space="preserve">Lodging </v>
      </c>
      <c r="D20" s="267" t="str" cm="1">
        <f t="array" aca="1" ref="D20" ca="1">_xlfn.XLOOKUP(B20,Lookups_Building_List_Workbook,Lookups_Building_List_NREL,,0)</f>
        <v>LargeHotel</v>
      </c>
      <c r="E20" s="270">
        <f t="shared" ca="1" si="11"/>
        <v>1.2</v>
      </c>
      <c r="F20" s="270">
        <f t="shared" ca="1" si="11"/>
        <v>0.1</v>
      </c>
      <c r="G20" s="270">
        <f t="shared" ca="1" si="11"/>
        <v>0.4</v>
      </c>
      <c r="H20" s="270">
        <f t="shared" ca="1" si="11"/>
        <v>3.1</v>
      </c>
      <c r="I20" s="271">
        <f t="shared" ca="1" si="12"/>
        <v>4.8000000000000007</v>
      </c>
      <c r="J20" s="268">
        <f t="shared" ca="1" si="13"/>
        <v>1.238E-4</v>
      </c>
      <c r="K20" s="269">
        <f t="shared" ca="1" si="14"/>
        <v>3.0949999999999993E-5</v>
      </c>
      <c r="L20" s="269">
        <f t="shared" ca="1" si="15"/>
        <v>2.5791666666666664E-6</v>
      </c>
      <c r="M20" s="269">
        <f t="shared" ca="1" si="16"/>
        <v>1.0316666666666666E-5</v>
      </c>
      <c r="N20" s="269">
        <f t="shared" ca="1" si="17"/>
        <v>7.9954166666666661E-5</v>
      </c>
      <c r="O20" s="268">
        <f t="shared" ca="1" si="18"/>
        <v>1.093E-4</v>
      </c>
      <c r="P20" s="269">
        <f t="shared" ca="1" si="19"/>
        <v>2.7324999999999993E-5</v>
      </c>
      <c r="Q20" s="269">
        <f t="shared" ca="1" si="20"/>
        <v>2.2770833333333331E-6</v>
      </c>
      <c r="R20" s="269">
        <f t="shared" ca="1" si="21"/>
        <v>9.1083333333333322E-6</v>
      </c>
      <c r="S20" s="269">
        <f t="shared" ca="1" si="22"/>
        <v>7.0589583333333336E-5</v>
      </c>
      <c r="U20" s="284" cm="1">
        <f t="array" aca="1" ref="U20" ca="1">INDEX(NREL_ETDF_Index,MATCH($D20,NREL_Building_List,0),MATCH(_xlfn.XLOOKUP(U$10,Lookups_End_Use_CBECS,Lookups_End_Use_NREL,,0)&amp;IF($U$9="Winter","w","s"),NREL_End_Use_ETDF,0))</f>
        <v>3.7579999999999997E-4</v>
      </c>
      <c r="V20" s="268" cm="1">
        <f t="array" aca="1" ref="V20" ca="1">INDEX(NREL_ETDF_Index,MATCH($D20,NREL_Building_List,0),MATCH(_xlfn.XLOOKUP(V$10,Lookups_End_Use_CBECS,Lookups_End_Use_NREL,,0)&amp;IF($U$9="Winter","w","s"),NREL_End_Use_ETDF,0))</f>
        <v>4.7200000000000002E-5</v>
      </c>
      <c r="W20" s="268" cm="1">
        <f t="array" aca="1" ref="W20" ca="1">INDEX(NREL_ETDF_Index,MATCH($D20,NREL_Building_List,0),MATCH(_xlfn.XLOOKUP(W$10,Lookups_End_Use_CBECS,Lookups_End_Use_NREL,,0)&amp;IF($U$9="Winter","w","s"),NREL_End_Use_ETDF,0))</f>
        <v>1.175E-4</v>
      </c>
      <c r="X20" s="268" cm="1">
        <f t="array" aca="1" ref="X20" ca="1">INDEX(NREL_ETDF_Index,MATCH($D20,NREL_Building_List,0),MATCH(_xlfn.XLOOKUP(X$10,Lookups_End_Use_CBECS,Lookups_End_Use_NREL,,0)&amp;IF($U$9="Winter","w","s"),NREL_End_Use_ETDF,0))</f>
        <v>1.131E-4</v>
      </c>
      <c r="Y20" s="268" cm="1">
        <f t="array" aca="1" ref="Y20" ca="1">INDEX(NREL_ETDF_Index,MATCH($D20,NREL_Building_List,0),MATCH(_xlfn.XLOOKUP(Y$10,Lookups_End_Use_CBECS,Lookups_End_Use_NREL,,0)&amp;IF($U$9="Winter","w","s"),NREL_End_Use_ETDF,0))</f>
        <v>8.2200000000000006E-5</v>
      </c>
      <c r="Z20" s="285">
        <f t="shared" ca="1" si="34"/>
        <v>3.0949999999999993E-5</v>
      </c>
      <c r="AA20" s="268" cm="1">
        <f t="array" aca="1" ref="AA20" ca="1">INDEX(NREL_ETDF_Index,MATCH($D20,NREL_Building_List,0),MATCH(_xlfn.XLOOKUP(AA$10,Lookups_End_Use_CBECS,Lookups_End_Use_NREL,,0)&amp;IF($U$9="Winter","w","s"),NREL_End_Use_ETDF,0))</f>
        <v>1.132E-4</v>
      </c>
      <c r="AB20" s="285">
        <f t="shared" ca="1" si="35"/>
        <v>2.2770833333333331E-6</v>
      </c>
      <c r="AC20" s="285">
        <f t="shared" ca="1" si="36"/>
        <v>2.2770833333333331E-6</v>
      </c>
      <c r="AD20" s="285">
        <f t="shared" ca="1" si="37"/>
        <v>9.1083333333333322E-6</v>
      </c>
      <c r="AE20" s="286">
        <f t="shared" ca="1" si="38"/>
        <v>7.0589583333333336E-5</v>
      </c>
      <c r="AF20" s="284" cm="1">
        <f t="array" aca="1" ref="AF20" ca="1">INDEX(NREL_ETDF_Index,MATCH($D20,NREL_Building_List,0),MATCH(_xlfn.XLOOKUP(AF$10,Lookups_End_Use_CBECS,Lookups_End_Use_NREL,,0)&amp;IF($AF$9="Winter","w","s"),NREL_End_Use_ETDF,0))</f>
        <v>1.9999999999999999E-6</v>
      </c>
      <c r="AG20" s="268" cm="1">
        <f t="array" aca="1" ref="AG20" ca="1">INDEX(NREL_ETDF_Index,MATCH($D20,NREL_Building_List,0),MATCH(_xlfn.XLOOKUP(AG$10,Lookups_End_Use_CBECS,Lookups_End_Use_NREL,,0)&amp;IF($AF$9="Winter","w","s"),NREL_End_Use_ETDF,0))</f>
        <v>2.9490000000000001E-4</v>
      </c>
      <c r="AH20" s="268" cm="1">
        <f t="array" aca="1" ref="AH20" ca="1">INDEX(NREL_ETDF_Index,MATCH($D20,NREL_Building_List,0),MATCH(_xlfn.XLOOKUP(AH$10,Lookups_End_Use_CBECS,Lookups_End_Use_NREL,,0)&amp;IF($AF$9="Winter","w","s"),NREL_End_Use_ETDF,0))</f>
        <v>1.8469999999999999E-4</v>
      </c>
      <c r="AI20" s="268" cm="1">
        <f t="array" aca="1" ref="AI20" ca="1">INDEX(NREL_ETDF_Index,MATCH($D20,NREL_Building_List,0),MATCH(_xlfn.XLOOKUP(AI$10,Lookups_End_Use_CBECS,Lookups_End_Use_NREL,,0)&amp;IF($AF$9="Winter","w","s"),NREL_End_Use_ETDF,0))</f>
        <v>9.1799999999999995E-5</v>
      </c>
      <c r="AJ20" s="268" cm="1">
        <f t="array" aca="1" ref="AJ20" ca="1">INDEX(NREL_ETDF_Index,MATCH($D20,NREL_Building_List,0),MATCH(_xlfn.XLOOKUP(AJ$10,Lookups_End_Use_CBECS,Lookups_End_Use_NREL,,0)&amp;IF($AF$9="Winter","w","s"),NREL_End_Use_ETDF,0))</f>
        <v>5.6199999999999997E-5</v>
      </c>
      <c r="AK20" s="285">
        <f t="shared" ca="1" si="39"/>
        <v>2.7324999999999993E-5</v>
      </c>
      <c r="AL20" s="268" cm="1">
        <f t="array" aca="1" ref="AL20" ca="1">INDEX(NREL_ETDF_Index,MATCH($D20,NREL_Building_List,0),MATCH(_xlfn.XLOOKUP(AL$10,Lookups_End_Use_CBECS,Lookups_End_Use_NREL,,0)&amp;IF($AF$9="Winter","w","s"),NREL_End_Use_ETDF,0))</f>
        <v>1.3549999999999999E-4</v>
      </c>
      <c r="AM20" s="285">
        <f t="shared" ca="1" si="40"/>
        <v>2.7324999999999993E-5</v>
      </c>
      <c r="AN20" s="285">
        <f t="shared" ca="1" si="41"/>
        <v>2.2770833333333331E-6</v>
      </c>
      <c r="AO20" s="285">
        <f t="shared" ca="1" si="42"/>
        <v>9.1083333333333322E-6</v>
      </c>
      <c r="AP20" s="286">
        <f t="shared" ca="1" si="43"/>
        <v>7.0589583333333336E-5</v>
      </c>
      <c r="AR20" s="270">
        <f t="shared" ca="1" si="23"/>
        <v>1.4</v>
      </c>
      <c r="AS20" s="270">
        <f t="shared" ca="1" si="23"/>
        <v>1.7</v>
      </c>
      <c r="AT20" s="270">
        <f t="shared" ca="1" si="23"/>
        <v>3.7</v>
      </c>
      <c r="AU20" s="270">
        <f t="shared" ca="1" si="23"/>
        <v>2.5</v>
      </c>
      <c r="AV20" s="270">
        <f t="shared" ca="1" si="23"/>
        <v>2.1</v>
      </c>
      <c r="AW20" s="270">
        <f t="shared" ca="1" si="23"/>
        <v>1.2</v>
      </c>
      <c r="AX20" s="270">
        <f t="shared" ca="1" si="23"/>
        <v>1.2</v>
      </c>
      <c r="AY20" s="270">
        <f t="shared" ca="1" si="23"/>
        <v>0.1</v>
      </c>
      <c r="AZ20" s="270">
        <f t="shared" ca="1" si="23"/>
        <v>0.4</v>
      </c>
      <c r="BA20" s="270">
        <f t="shared" ca="1" si="23"/>
        <v>3.1</v>
      </c>
      <c r="BC20" s="283">
        <v>9</v>
      </c>
      <c r="BD20" s="290">
        <f t="shared" ca="1" si="44"/>
        <v>3.7579999999999997E-4</v>
      </c>
      <c r="BE20" s="269">
        <f t="shared" ca="1" si="44"/>
        <v>4.7200000000000002E-5</v>
      </c>
      <c r="BF20" s="269">
        <f t="shared" ca="1" si="44"/>
        <v>1.175E-4</v>
      </c>
      <c r="BG20" s="269">
        <f t="shared" ca="1" si="44"/>
        <v>1.1310000000000001E-4</v>
      </c>
      <c r="BH20" s="269">
        <f t="shared" ca="1" si="44"/>
        <v>8.2200000000000006E-5</v>
      </c>
      <c r="BI20" s="269">
        <f t="shared" ca="1" si="44"/>
        <v>3.0949999999999993E-5</v>
      </c>
      <c r="BJ20" s="269">
        <f t="shared" ca="1" si="44"/>
        <v>1.132E-4</v>
      </c>
      <c r="BK20" s="269">
        <f t="shared" ca="1" si="44"/>
        <v>2.2770833333333331E-6</v>
      </c>
      <c r="BL20" s="269">
        <f t="shared" ca="1" si="44"/>
        <v>2.2770833333333331E-6</v>
      </c>
      <c r="BM20" s="291">
        <f t="shared" ca="1" si="44"/>
        <v>9.1083333333333322E-6</v>
      </c>
      <c r="BN20" s="290">
        <f t="shared" ca="1" si="45"/>
        <v>1.9999999999999999E-6</v>
      </c>
      <c r="BO20" s="269">
        <f t="shared" ca="1" si="25"/>
        <v>2.9490000000000001E-4</v>
      </c>
      <c r="BP20" s="269">
        <f t="shared" ca="1" si="26"/>
        <v>1.8469999999999999E-4</v>
      </c>
      <c r="BQ20" s="269">
        <f t="shared" ca="1" si="27"/>
        <v>9.1799999999999995E-5</v>
      </c>
      <c r="BR20" s="269">
        <f t="shared" ca="1" si="28"/>
        <v>5.6199999999999997E-5</v>
      </c>
      <c r="BS20" s="269">
        <f t="shared" ca="1" si="29"/>
        <v>2.7324999999999993E-5</v>
      </c>
      <c r="BT20" s="269">
        <f t="shared" ca="1" si="30"/>
        <v>1.3549999999999999E-4</v>
      </c>
      <c r="BU20" s="269">
        <f t="shared" ca="1" si="31"/>
        <v>2.7324999999999997E-5</v>
      </c>
      <c r="BV20" s="269">
        <f t="shared" ca="1" si="32"/>
        <v>2.2770833333333331E-6</v>
      </c>
      <c r="BW20" s="291">
        <f t="shared" ca="1" si="33"/>
        <v>9.1083333333333322E-6</v>
      </c>
    </row>
    <row r="21" spans="2:75" x14ac:dyDescent="0.25">
      <c r="B21" s="267" t="str">
        <f ca="1"/>
        <v>Lodging, Small</v>
      </c>
      <c r="C21" s="267" t="str" cm="1">
        <f t="array" aca="1" ref="C21" ca="1">_xlfn.XLOOKUP(B21,Lookups_Building_List_Workbook,Lookups_Building_List_CBECS,,0)</f>
        <v xml:space="preserve">Lodging </v>
      </c>
      <c r="D21" s="267" t="str" cm="1">
        <f t="array" aca="1" ref="D21" ca="1">_xlfn.XLOOKUP(B21,Lookups_Building_List_Workbook,Lookups_Building_List_NREL,,0)</f>
        <v>SmallHotel</v>
      </c>
      <c r="E21" s="270">
        <f t="shared" ca="1" si="11"/>
        <v>1.2</v>
      </c>
      <c r="F21" s="270">
        <f t="shared" ca="1" si="11"/>
        <v>0.1</v>
      </c>
      <c r="G21" s="270">
        <f t="shared" ca="1" si="11"/>
        <v>0.4</v>
      </c>
      <c r="H21" s="270">
        <f t="shared" ca="1" si="11"/>
        <v>3.1</v>
      </c>
      <c r="I21" s="271">
        <f t="shared" ca="1" si="12"/>
        <v>4.8000000000000007</v>
      </c>
      <c r="J21" s="268">
        <f t="shared" ca="1" si="13"/>
        <v>1.1620000000000001E-4</v>
      </c>
      <c r="K21" s="269">
        <f t="shared" ca="1" si="14"/>
        <v>2.9049999999999998E-5</v>
      </c>
      <c r="L21" s="269">
        <f t="shared" ca="1" si="15"/>
        <v>2.4208333333333332E-6</v>
      </c>
      <c r="M21" s="269">
        <f t="shared" ca="1" si="16"/>
        <v>9.6833333333333327E-6</v>
      </c>
      <c r="N21" s="269">
        <f t="shared" ca="1" si="17"/>
        <v>7.5045833333333326E-5</v>
      </c>
      <c r="O21" s="268">
        <f t="shared" ca="1" si="18"/>
        <v>6.9200000000000002E-5</v>
      </c>
      <c r="P21" s="269">
        <f t="shared" ca="1" si="19"/>
        <v>1.7299999999999997E-5</v>
      </c>
      <c r="Q21" s="269">
        <f t="shared" ca="1" si="20"/>
        <v>1.4416666666666665E-6</v>
      </c>
      <c r="R21" s="269">
        <f t="shared" ca="1" si="21"/>
        <v>5.7666666666666659E-6</v>
      </c>
      <c r="S21" s="269">
        <f t="shared" ca="1" si="22"/>
        <v>4.4691666666666657E-5</v>
      </c>
      <c r="U21" s="284" cm="1">
        <f t="array" aca="1" ref="U21" ca="1">INDEX(NREL_ETDF_Index,MATCH($D21,NREL_Building_List,0),MATCH(_xlfn.XLOOKUP(U$10,Lookups_End_Use_CBECS,Lookups_End_Use_NREL,,0)&amp;IF($U$9="Winter","w","s"),NREL_End_Use_ETDF,0))</f>
        <v>4.1120000000000002E-4</v>
      </c>
      <c r="V21" s="268" cm="1">
        <f t="array" aca="1" ref="V21" ca="1">INDEX(NREL_ETDF_Index,MATCH($D21,NREL_Building_List,0),MATCH(_xlfn.XLOOKUP(V$10,Lookups_End_Use_CBECS,Lookups_End_Use_NREL,,0)&amp;IF($U$9="Winter","w","s"),NREL_End_Use_ETDF,0))</f>
        <v>4.3999999999999999E-5</v>
      </c>
      <c r="W21" s="268" cm="1">
        <f t="array" aca="1" ref="W21" ca="1">INDEX(NREL_ETDF_Index,MATCH($D21,NREL_Building_List,0),MATCH(_xlfn.XLOOKUP(W$10,Lookups_End_Use_CBECS,Lookups_End_Use_NREL,,0)&amp;IF($U$9="Winter","w","s"),NREL_End_Use_ETDF,0))</f>
        <v>1.1E-4</v>
      </c>
      <c r="X21" s="268" cm="1">
        <f t="array" aca="1" ref="X21" ca="1">INDEX(NREL_ETDF_Index,MATCH($D21,NREL_Building_List,0),MATCH(_xlfn.XLOOKUP(X$10,Lookups_End_Use_CBECS,Lookups_End_Use_NREL,,0)&amp;IF($U$9="Winter","w","s"),NREL_End_Use_ETDF,0))</f>
        <v>1.2970000000000001E-4</v>
      </c>
      <c r="Y21" s="268" cm="1">
        <f t="array" aca="1" ref="Y21" ca="1">INDEX(NREL_ETDF_Index,MATCH($D21,NREL_Building_List,0),MATCH(_xlfn.XLOOKUP(Y$10,Lookups_End_Use_CBECS,Lookups_End_Use_NREL,,0)&amp;IF($U$9="Winter","w","s"),NREL_End_Use_ETDF,0))</f>
        <v>1.072E-4</v>
      </c>
      <c r="Z21" s="285">
        <f t="shared" ca="1" si="34"/>
        <v>2.9049999999999998E-5</v>
      </c>
      <c r="AA21" s="268" cm="1">
        <f t="array" aca="1" ref="AA21" ca="1">INDEX(NREL_ETDF_Index,MATCH($D21,NREL_Building_List,0),MATCH(_xlfn.XLOOKUP(AA$10,Lookups_End_Use_CBECS,Lookups_End_Use_NREL,,0)&amp;IF($U$9="Winter","w","s"),NREL_End_Use_ETDF,0))</f>
        <v>0</v>
      </c>
      <c r="AB21" s="285">
        <f t="shared" ca="1" si="35"/>
        <v>1.4416666666666665E-6</v>
      </c>
      <c r="AC21" s="285">
        <f t="shared" ca="1" si="36"/>
        <v>1.4416666666666665E-6</v>
      </c>
      <c r="AD21" s="285">
        <f t="shared" ca="1" si="37"/>
        <v>5.7666666666666659E-6</v>
      </c>
      <c r="AE21" s="286">
        <f t="shared" ca="1" si="38"/>
        <v>4.4691666666666657E-5</v>
      </c>
      <c r="AF21" s="284" cm="1">
        <f t="array" aca="1" ref="AF21" ca="1">INDEX(NREL_ETDF_Index,MATCH($D21,NREL_Building_List,0),MATCH(_xlfn.XLOOKUP(AF$10,Lookups_End_Use_CBECS,Lookups_End_Use_NREL,,0)&amp;IF($AF$9="Winter","w","s"),NREL_End_Use_ETDF,0))</f>
        <v>0</v>
      </c>
      <c r="AG21" s="268" cm="1">
        <f t="array" aca="1" ref="AG21" ca="1">INDEX(NREL_ETDF_Index,MATCH($D21,NREL_Building_List,0),MATCH(_xlfn.XLOOKUP(AG$10,Lookups_End_Use_CBECS,Lookups_End_Use_NREL,,0)&amp;IF($AF$9="Winter","w","s"),NREL_End_Use_ETDF,0))</f>
        <v>2.474E-4</v>
      </c>
      <c r="AH21" s="268" cm="1">
        <f t="array" aca="1" ref="AH21" ca="1">INDEX(NREL_ETDF_Index,MATCH($D21,NREL_Building_List,0),MATCH(_xlfn.XLOOKUP(AH$10,Lookups_End_Use_CBECS,Lookups_End_Use_NREL,,0)&amp;IF($AF$9="Winter","w","s"),NREL_End_Use_ETDF,0))</f>
        <v>1.8369999999999999E-4</v>
      </c>
      <c r="AI21" s="268" cm="1">
        <f t="array" aca="1" ref="AI21" ca="1">INDEX(NREL_ETDF_Index,MATCH($D21,NREL_Building_List,0),MATCH(_xlfn.XLOOKUP(AI$10,Lookups_End_Use_CBECS,Lookups_End_Use_NREL,,0)&amp;IF($AF$9="Winter","w","s"),NREL_End_Use_ETDF,0))</f>
        <v>6.41E-5</v>
      </c>
      <c r="AJ21" s="268" cm="1">
        <f t="array" aca="1" ref="AJ21" ca="1">INDEX(NREL_ETDF_Index,MATCH($D21,NREL_Building_List,0),MATCH(_xlfn.XLOOKUP(AJ$10,Lookups_End_Use_CBECS,Lookups_End_Use_NREL,,0)&amp;IF($AF$9="Winter","w","s"),NREL_End_Use_ETDF,0))</f>
        <v>6.2700000000000006E-5</v>
      </c>
      <c r="AK21" s="285">
        <f t="shared" ca="1" si="39"/>
        <v>1.7299999999999997E-5</v>
      </c>
      <c r="AL21" s="268" cm="1">
        <f t="array" aca="1" ref="AL21" ca="1">INDEX(NREL_ETDF_Index,MATCH($D21,NREL_Building_List,0),MATCH(_xlfn.XLOOKUP(AL$10,Lookups_End_Use_CBECS,Lookups_End_Use_NREL,,0)&amp;IF($AF$9="Winter","w","s"),NREL_End_Use_ETDF,0))</f>
        <v>0</v>
      </c>
      <c r="AM21" s="285">
        <f t="shared" ca="1" si="40"/>
        <v>1.7299999999999997E-5</v>
      </c>
      <c r="AN21" s="285">
        <f t="shared" ca="1" si="41"/>
        <v>1.4416666666666665E-6</v>
      </c>
      <c r="AO21" s="285">
        <f t="shared" ca="1" si="42"/>
        <v>5.7666666666666659E-6</v>
      </c>
      <c r="AP21" s="286">
        <f t="shared" ca="1" si="43"/>
        <v>4.4691666666666657E-5</v>
      </c>
      <c r="AR21" s="270">
        <f t="shared" ref="AR21:BA34" ca="1" si="46">INDEX(CBECS_Elec_Building_List_Index,MATCH($C21,CBECS_Elec_Building_List,0),MATCH(AR$10,CBECS_Elec_End_Uses,0))</f>
        <v>1.4</v>
      </c>
      <c r="AS21" s="270">
        <f t="shared" ca="1" si="46"/>
        <v>1.7</v>
      </c>
      <c r="AT21" s="270">
        <f t="shared" ca="1" si="46"/>
        <v>3.7</v>
      </c>
      <c r="AU21" s="270">
        <f t="shared" ca="1" si="46"/>
        <v>2.5</v>
      </c>
      <c r="AV21" s="270">
        <f t="shared" ca="1" si="46"/>
        <v>2.1</v>
      </c>
      <c r="AW21" s="270">
        <f t="shared" ca="1" si="46"/>
        <v>1.2</v>
      </c>
      <c r="AX21" s="270">
        <f t="shared" ca="1" si="46"/>
        <v>1.2</v>
      </c>
      <c r="AY21" s="270">
        <f t="shared" ca="1" si="46"/>
        <v>0.1</v>
      </c>
      <c r="AZ21" s="270">
        <f t="shared" ca="1" si="46"/>
        <v>0.4</v>
      </c>
      <c r="BA21" s="270">
        <f t="shared" ca="1" si="46"/>
        <v>3.1</v>
      </c>
      <c r="BC21" s="283">
        <v>9</v>
      </c>
      <c r="BD21" s="290">
        <f t="shared" ca="1" si="44"/>
        <v>4.1120000000000002E-4</v>
      </c>
      <c r="BE21" s="269">
        <f t="shared" ca="1" si="44"/>
        <v>4.4000000000000006E-5</v>
      </c>
      <c r="BF21" s="269">
        <f t="shared" ca="1" si="44"/>
        <v>1.1E-4</v>
      </c>
      <c r="BG21" s="269">
        <f t="shared" ca="1" si="44"/>
        <v>1.2970000000000001E-4</v>
      </c>
      <c r="BH21" s="269">
        <f t="shared" ca="1" si="44"/>
        <v>1.072E-4</v>
      </c>
      <c r="BI21" s="269">
        <f t="shared" ca="1" si="44"/>
        <v>2.9049999999999998E-5</v>
      </c>
      <c r="BJ21" s="269">
        <f t="shared" ca="1" si="44"/>
        <v>0</v>
      </c>
      <c r="BK21" s="269">
        <f t="shared" ca="1" si="44"/>
        <v>1.4416666666666665E-6</v>
      </c>
      <c r="BL21" s="269">
        <f t="shared" ca="1" si="44"/>
        <v>1.4416666666666665E-6</v>
      </c>
      <c r="BM21" s="291">
        <f t="shared" ca="1" si="44"/>
        <v>5.7666666666666659E-6</v>
      </c>
      <c r="BN21" s="290">
        <f t="shared" ca="1" si="45"/>
        <v>0</v>
      </c>
      <c r="BO21" s="269">
        <f t="shared" ca="1" si="25"/>
        <v>2.474E-4</v>
      </c>
      <c r="BP21" s="269">
        <f t="shared" ca="1" si="26"/>
        <v>1.8369999999999999E-4</v>
      </c>
      <c r="BQ21" s="269">
        <f t="shared" ca="1" si="27"/>
        <v>6.41E-5</v>
      </c>
      <c r="BR21" s="269">
        <f t="shared" ca="1" si="28"/>
        <v>6.2700000000000006E-5</v>
      </c>
      <c r="BS21" s="269">
        <f t="shared" ca="1" si="29"/>
        <v>1.7299999999999997E-5</v>
      </c>
      <c r="BT21" s="269">
        <f t="shared" ca="1" si="30"/>
        <v>0</v>
      </c>
      <c r="BU21" s="269">
        <f t="shared" ca="1" si="31"/>
        <v>1.7299999999999997E-5</v>
      </c>
      <c r="BV21" s="269">
        <f t="shared" ca="1" si="32"/>
        <v>1.4416666666666665E-6</v>
      </c>
      <c r="BW21" s="291">
        <f t="shared" ca="1" si="33"/>
        <v>5.7666666666666659E-6</v>
      </c>
    </row>
    <row r="22" spans="2:75" x14ac:dyDescent="0.25">
      <c r="B22" s="267" t="str">
        <f ca="1"/>
        <v>Miscellaneous/Other</v>
      </c>
      <c r="C22" s="267" t="str" cm="1">
        <f t="array" aca="1" ref="C22" ca="1">_xlfn.XLOOKUP(B22,Lookups_Building_List_Workbook,Lookups_Building_List_CBECS,,0)</f>
        <v xml:space="preserve">Other </v>
      </c>
      <c r="D22" s="267" t="str" cm="1">
        <f t="array" aca="1" ref="D22" ca="1">_xlfn.XLOOKUP(B22,Lookups_Building_List_Workbook,Lookups_Building_List_NREL,,0)</f>
        <v>MediumOffice</v>
      </c>
      <c r="E22" s="270">
        <f t="shared" ca="1" si="11"/>
        <v>0.6</v>
      </c>
      <c r="F22" s="270">
        <f t="shared" ca="1" si="11"/>
        <v>0.1</v>
      </c>
      <c r="G22" s="270">
        <f t="shared" ca="1" si="11"/>
        <v>9.6999999999999993</v>
      </c>
      <c r="H22" s="270">
        <f t="shared" ca="1" si="11"/>
        <v>9.6999999999999993</v>
      </c>
      <c r="I22" s="271">
        <f t="shared" ca="1" si="12"/>
        <v>20.099999999999998</v>
      </c>
      <c r="J22" s="268">
        <f t="shared" ca="1" si="13"/>
        <v>1.2459999999999999E-4</v>
      </c>
      <c r="K22" s="269">
        <f t="shared" ca="1" si="14"/>
        <v>3.719402985074627E-6</v>
      </c>
      <c r="L22" s="269">
        <f t="shared" ca="1" si="15"/>
        <v>6.1990049751243788E-7</v>
      </c>
      <c r="M22" s="269">
        <f t="shared" ca="1" si="16"/>
        <v>6.0130348258706468E-5</v>
      </c>
      <c r="N22" s="269">
        <f t="shared" ca="1" si="17"/>
        <v>6.0130348258706468E-5</v>
      </c>
      <c r="O22" s="268">
        <f t="shared" ca="1" si="18"/>
        <v>1.164E-4</v>
      </c>
      <c r="P22" s="269">
        <f t="shared" ca="1" si="19"/>
        <v>3.4746268656716417E-6</v>
      </c>
      <c r="Q22" s="269">
        <f t="shared" ca="1" si="20"/>
        <v>5.7910447761194036E-7</v>
      </c>
      <c r="R22" s="269">
        <f t="shared" ca="1" si="21"/>
        <v>5.6173134328358216E-5</v>
      </c>
      <c r="S22" s="269">
        <f t="shared" ca="1" si="22"/>
        <v>5.6173134328358216E-5</v>
      </c>
      <c r="U22" s="284" cm="1">
        <f t="array" aca="1" ref="U22" ca="1">INDEX(NREL_ETDF_Index,MATCH($D22,NREL_Building_List,0),MATCH(_xlfn.XLOOKUP(U$10,Lookups_End_Use_CBECS,Lookups_End_Use_NREL,,0)&amp;IF($U$9="Winter","w","s"),NREL_End_Use_ETDF,0))</f>
        <v>3.5940000000000001E-4</v>
      </c>
      <c r="V22" s="268" cm="1">
        <f t="array" aca="1" ref="V22" ca="1">INDEX(NREL_ETDF_Index,MATCH($D22,NREL_Building_List,0),MATCH(_xlfn.XLOOKUP(V$10,Lookups_End_Use_CBECS,Lookups_End_Use_NREL,,0)&amp;IF($U$9="Winter","w","s"),NREL_End_Use_ETDF,0))</f>
        <v>2.0299999999999999E-5</v>
      </c>
      <c r="W22" s="268" cm="1">
        <f t="array" aca="1" ref="W22" ca="1">INDEX(NREL_ETDF_Index,MATCH($D22,NREL_Building_List,0),MATCH(_xlfn.XLOOKUP(W$10,Lookups_End_Use_CBECS,Lookups_End_Use_NREL,,0)&amp;IF($U$9="Winter","w","s"),NREL_End_Use_ETDF,0))</f>
        <v>1.2439999999999999E-4</v>
      </c>
      <c r="X22" s="268" cm="1">
        <f t="array" aca="1" ref="X22" ca="1">INDEX(NREL_ETDF_Index,MATCH($D22,NREL_Building_List,0),MATCH(_xlfn.XLOOKUP(X$10,Lookups_End_Use_CBECS,Lookups_End_Use_NREL,,0)&amp;IF($U$9="Winter","w","s"),NREL_End_Use_ETDF,0))</f>
        <v>1.5890000000000001E-4</v>
      </c>
      <c r="Y22" s="268" cm="1">
        <f t="array" aca="1" ref="Y22" ca="1">INDEX(NREL_ETDF_Index,MATCH($D22,NREL_Building_List,0),MATCH(_xlfn.XLOOKUP(Y$10,Lookups_End_Use_CBECS,Lookups_End_Use_NREL,,0)&amp;IF($U$9="Winter","w","s"),NREL_End_Use_ETDF,0))</f>
        <v>1.5779999999999999E-4</v>
      </c>
      <c r="Z22" s="285">
        <f t="shared" ca="1" si="34"/>
        <v>3.719402985074627E-6</v>
      </c>
      <c r="AA22" s="268" cm="1">
        <f t="array" aca="1" ref="AA22" ca="1">INDEX(NREL_ETDF_Index,MATCH($D22,NREL_Building_List,0),MATCH(_xlfn.XLOOKUP(AA$10,Lookups_End_Use_CBECS,Lookups_End_Use_NREL,,0)&amp;IF($U$9="Winter","w","s"),NREL_End_Use_ETDF,0))</f>
        <v>0</v>
      </c>
      <c r="AB22" s="285">
        <f t="shared" ca="1" si="35"/>
        <v>5.7910447761194036E-7</v>
      </c>
      <c r="AC22" s="285">
        <f t="shared" ca="1" si="36"/>
        <v>5.7910447761194036E-7</v>
      </c>
      <c r="AD22" s="285">
        <f t="shared" ca="1" si="37"/>
        <v>5.6173134328358216E-5</v>
      </c>
      <c r="AE22" s="286">
        <f t="shared" ca="1" si="38"/>
        <v>5.6173134328358216E-5</v>
      </c>
      <c r="AF22" s="284" cm="1">
        <f t="array" aca="1" ref="AF22" ca="1">INDEX(NREL_ETDF_Index,MATCH($D22,NREL_Building_List,0),MATCH(_xlfn.XLOOKUP(AF$10,Lookups_End_Use_CBECS,Lookups_End_Use_NREL,,0)&amp;IF($AF$9="Winter","w","s"),NREL_End_Use_ETDF,0))</f>
        <v>1.9999999999999999E-7</v>
      </c>
      <c r="AG22" s="268" cm="1">
        <f t="array" aca="1" ref="AG22" ca="1">INDEX(NREL_ETDF_Index,MATCH($D22,NREL_Building_List,0),MATCH(_xlfn.XLOOKUP(AG$10,Lookups_End_Use_CBECS,Lookups_End_Use_NREL,,0)&amp;IF($AF$9="Winter","w","s"),NREL_End_Use_ETDF,0))</f>
        <v>4.2719999999999998E-4</v>
      </c>
      <c r="AH22" s="268" cm="1">
        <f t="array" aca="1" ref="AH22" ca="1">INDEX(NREL_ETDF_Index,MATCH($D22,NREL_Building_List,0),MATCH(_xlfn.XLOOKUP(AH$10,Lookups_End_Use_CBECS,Lookups_End_Use_NREL,,0)&amp;IF($AF$9="Winter","w","s"),NREL_End_Use_ETDF,0))</f>
        <v>1.56E-4</v>
      </c>
      <c r="AI22" s="268" cm="1">
        <f t="array" aca="1" ref="AI22" ca="1">INDEX(NREL_ETDF_Index,MATCH($D22,NREL_Building_List,0),MATCH(_xlfn.XLOOKUP(AI$10,Lookups_End_Use_CBECS,Lookups_End_Use_NREL,,0)&amp;IF($AF$9="Winter","w","s"),NREL_End_Use_ETDF,0))</f>
        <v>1.3650000000000001E-4</v>
      </c>
      <c r="AJ22" s="268" cm="1">
        <f t="array" aca="1" ref="AJ22" ca="1">INDEX(NREL_ETDF_Index,MATCH($D22,NREL_Building_List,0),MATCH(_xlfn.XLOOKUP(AJ$10,Lookups_End_Use_CBECS,Lookups_End_Use_NREL,,0)&amp;IF($AF$9="Winter","w","s"),NREL_End_Use_ETDF,0))</f>
        <v>1.227E-4</v>
      </c>
      <c r="AK22" s="285">
        <f t="shared" ca="1" si="39"/>
        <v>3.4746268656716417E-6</v>
      </c>
      <c r="AL22" s="268" cm="1">
        <f t="array" aca="1" ref="AL22" ca="1">INDEX(NREL_ETDF_Index,MATCH($D22,NREL_Building_List,0),MATCH(_xlfn.XLOOKUP(AL$10,Lookups_End_Use_CBECS,Lookups_End_Use_NREL,,0)&amp;IF($AF$9="Winter","w","s"),NREL_End_Use_ETDF,0))</f>
        <v>0</v>
      </c>
      <c r="AM22" s="285">
        <f t="shared" ca="1" si="40"/>
        <v>3.4746268656716417E-6</v>
      </c>
      <c r="AN22" s="285">
        <f t="shared" ca="1" si="41"/>
        <v>5.7910447761194036E-7</v>
      </c>
      <c r="AO22" s="285">
        <f t="shared" ca="1" si="42"/>
        <v>5.6173134328358216E-5</v>
      </c>
      <c r="AP22" s="286">
        <f t="shared" ca="1" si="43"/>
        <v>5.6173134328358216E-5</v>
      </c>
      <c r="AR22" s="270">
        <f t="shared" ca="1" si="46"/>
        <v>1.5</v>
      </c>
      <c r="AS22" s="270">
        <f t="shared" ca="1" si="46"/>
        <v>4</v>
      </c>
      <c r="AT22" s="270">
        <f t="shared" ca="1" si="46"/>
        <v>2.2000000000000002</v>
      </c>
      <c r="AU22" s="270">
        <f t="shared" ca="1" si="46"/>
        <v>0.1</v>
      </c>
      <c r="AV22" s="270">
        <f t="shared" ca="1" si="46"/>
        <v>3.7</v>
      </c>
      <c r="AW22" s="270">
        <f t="shared" ca="1" si="46"/>
        <v>0.6</v>
      </c>
      <c r="AX22" s="270">
        <f t="shared" ca="1" si="46"/>
        <v>0.7</v>
      </c>
      <c r="AY22" s="270">
        <f t="shared" ca="1" si="46"/>
        <v>0.1</v>
      </c>
      <c r="AZ22" s="270">
        <f t="shared" ca="1" si="46"/>
        <v>9.6999999999999993</v>
      </c>
      <c r="BA22" s="270">
        <f t="shared" ca="1" si="46"/>
        <v>9.6999999999999993</v>
      </c>
      <c r="BC22" s="283">
        <v>8</v>
      </c>
      <c r="BD22" s="290">
        <f t="shared" ca="1" si="44"/>
        <v>3.4120253164556961E-4</v>
      </c>
      <c r="BE22" s="269">
        <f t="shared" ca="1" si="44"/>
        <v>3.3553719008264462E-5</v>
      </c>
      <c r="BF22" s="269">
        <f t="shared" ca="1" si="44"/>
        <v>1.8005263157894736E-4</v>
      </c>
      <c r="BG22" s="269">
        <f t="shared" ca="1" si="44"/>
        <v>1.9378048780487807E-5</v>
      </c>
      <c r="BH22" s="269">
        <f t="shared" ca="1" si="44"/>
        <v>2.1154347826086954E-4</v>
      </c>
      <c r="BI22" s="269">
        <f t="shared" ca="1" si="44"/>
        <v>5.0719131614654E-6</v>
      </c>
      <c r="BJ22" s="269">
        <f t="shared" ca="1" si="44"/>
        <v>0</v>
      </c>
      <c r="BK22" s="269">
        <f t="shared" ca="1" si="44"/>
        <v>4.1364605543710033E-7</v>
      </c>
      <c r="BL22" s="269">
        <f t="shared" ca="1" si="44"/>
        <v>2.4212557900154401E-6</v>
      </c>
      <c r="BM22" s="291">
        <f t="shared" ca="1" si="44"/>
        <v>1.4491473483645604E-4</v>
      </c>
      <c r="BN22" s="290">
        <f t="shared" ca="1" si="45"/>
        <v>1.8987341772151897E-7</v>
      </c>
      <c r="BO22" s="269">
        <f t="shared" ca="1" si="25"/>
        <v>7.061157024793388E-4</v>
      </c>
      <c r="BP22" s="269">
        <f t="shared" ca="1" si="26"/>
        <v>2.2578947368421057E-4</v>
      </c>
      <c r="BQ22" s="269">
        <f t="shared" ca="1" si="27"/>
        <v>1.6646341463414638E-5</v>
      </c>
      <c r="BR22" s="269">
        <f t="shared" ca="1" si="28"/>
        <v>1.6448913043478261E-4</v>
      </c>
      <c r="BS22" s="269">
        <f t="shared" ca="1" si="29"/>
        <v>4.7381275440976929E-6</v>
      </c>
      <c r="BT22" s="269">
        <f t="shared" ca="1" si="30"/>
        <v>0</v>
      </c>
      <c r="BU22" s="269">
        <f t="shared" ca="1" si="31"/>
        <v>2.4818763326226014E-6</v>
      </c>
      <c r="BV22" s="269">
        <f t="shared" ca="1" si="32"/>
        <v>2.4212557900154401E-6</v>
      </c>
      <c r="BW22" s="291">
        <f t="shared" ca="1" si="33"/>
        <v>1.4491473483645604E-4</v>
      </c>
    </row>
    <row r="23" spans="2:75" x14ac:dyDescent="0.25">
      <c r="B23" s="267" t="str">
        <f ca="1"/>
        <v>Office, Large</v>
      </c>
      <c r="C23" s="267" t="str" cm="1">
        <f t="array" aca="1" ref="C23" ca="1">_xlfn.XLOOKUP(B23,Lookups_Building_List_Workbook,Lookups_Building_List_CBECS,,0)</f>
        <v xml:space="preserve">Office </v>
      </c>
      <c r="D23" s="267" t="str" cm="1">
        <f t="array" aca="1" ref="D23" ca="1">_xlfn.XLOOKUP(B23,Lookups_Building_List_Workbook,Lookups_Building_List_NREL,,0)</f>
        <v>LargeOffice</v>
      </c>
      <c r="E23" s="270">
        <f t="shared" ca="1" si="11"/>
        <v>0.2</v>
      </c>
      <c r="F23" s="270">
        <f t="shared" ca="1" si="11"/>
        <v>0.2</v>
      </c>
      <c r="G23" s="270">
        <f t="shared" ca="1" si="11"/>
        <v>1.5</v>
      </c>
      <c r="H23" s="270">
        <f t="shared" ca="1" si="11"/>
        <v>3.1</v>
      </c>
      <c r="I23" s="271">
        <f t="shared" ca="1" si="12"/>
        <v>5</v>
      </c>
      <c r="J23" s="268">
        <f t="shared" ca="1" si="13"/>
        <v>1.247E-4</v>
      </c>
      <c r="K23" s="269">
        <f t="shared" ca="1" si="14"/>
        <v>4.9880000000000004E-6</v>
      </c>
      <c r="L23" s="269">
        <f t="shared" ca="1" si="15"/>
        <v>4.9880000000000004E-6</v>
      </c>
      <c r="M23" s="269">
        <f t="shared" ca="1" si="16"/>
        <v>3.7409999999999996E-5</v>
      </c>
      <c r="N23" s="269">
        <f t="shared" ca="1" si="17"/>
        <v>7.7313999999999999E-5</v>
      </c>
      <c r="O23" s="268">
        <f t="shared" ca="1" si="18"/>
        <v>1.154E-4</v>
      </c>
      <c r="P23" s="269">
        <f t="shared" ca="1" si="19"/>
        <v>4.6160000000000004E-6</v>
      </c>
      <c r="Q23" s="269">
        <f t="shared" ca="1" si="20"/>
        <v>4.6160000000000004E-6</v>
      </c>
      <c r="R23" s="269">
        <f t="shared" ca="1" si="21"/>
        <v>3.4620000000000004E-5</v>
      </c>
      <c r="S23" s="269">
        <f t="shared" ca="1" si="22"/>
        <v>7.1548E-5</v>
      </c>
      <c r="U23" s="284" cm="1">
        <f t="array" aca="1" ref="U23" ca="1">INDEX(NREL_ETDF_Index,MATCH($D23,NREL_Building_List,0),MATCH(_xlfn.XLOOKUP(U$10,Lookups_End_Use_CBECS,Lookups_End_Use_NREL,,0)&amp;IF($U$9="Winter","w","s"),NREL_End_Use_ETDF,0))</f>
        <v>3.0640000000000002E-4</v>
      </c>
      <c r="V23" s="268" cm="1">
        <f t="array" aca="1" ref="V23" ca="1">INDEX(NREL_ETDF_Index,MATCH($D23,NREL_Building_List,0),MATCH(_xlfn.XLOOKUP(V$10,Lookups_End_Use_CBECS,Lookups_End_Use_NREL,,0)&amp;IF($U$9="Winter","w","s"),NREL_End_Use_ETDF,0))</f>
        <v>3.5500000000000002E-5</v>
      </c>
      <c r="W23" s="268" cm="1">
        <f t="array" aca="1" ref="W23" ca="1">INDEX(NREL_ETDF_Index,MATCH($D23,NREL_Building_List,0),MATCH(_xlfn.XLOOKUP(W$10,Lookups_End_Use_CBECS,Lookups_End_Use_NREL,,0)&amp;IF($U$9="Winter","w","s"),NREL_End_Use_ETDF,0))</f>
        <v>1.136E-4</v>
      </c>
      <c r="X23" s="268" cm="1">
        <f t="array" aca="1" ref="X23" ca="1">INDEX(NREL_ETDF_Index,MATCH($D23,NREL_Building_List,0),MATCH(_xlfn.XLOOKUP(X$10,Lookups_End_Use_CBECS,Lookups_End_Use_NREL,,0)&amp;IF($U$9="Winter","w","s"),NREL_End_Use_ETDF,0))</f>
        <v>1.515E-4</v>
      </c>
      <c r="Y23" s="268" cm="1">
        <f t="array" aca="1" ref="Y23" ca="1">INDEX(NREL_ETDF_Index,MATCH($D23,NREL_Building_List,0),MATCH(_xlfn.XLOOKUP(Y$10,Lookups_End_Use_CBECS,Lookups_End_Use_NREL,,0)&amp;IF($U$9="Winter","w","s"),NREL_End_Use_ETDF,0))</f>
        <v>1.7110000000000001E-4</v>
      </c>
      <c r="Z23" s="285">
        <f t="shared" ca="1" si="34"/>
        <v>4.9880000000000004E-6</v>
      </c>
      <c r="AA23" s="268" cm="1">
        <f t="array" aca="1" ref="AA23" ca="1">INDEX(NREL_ETDF_Index,MATCH($D23,NREL_Building_List,0),MATCH(_xlfn.XLOOKUP(AA$10,Lookups_End_Use_CBECS,Lookups_End_Use_NREL,,0)&amp;IF($U$9="Winter","w","s"),NREL_End_Use_ETDF,0))</f>
        <v>0</v>
      </c>
      <c r="AB23" s="285">
        <f t="shared" ca="1" si="35"/>
        <v>4.6160000000000004E-6</v>
      </c>
      <c r="AC23" s="285">
        <f t="shared" ca="1" si="36"/>
        <v>4.6160000000000004E-6</v>
      </c>
      <c r="AD23" s="285">
        <f t="shared" ca="1" si="37"/>
        <v>3.4620000000000004E-5</v>
      </c>
      <c r="AE23" s="286">
        <f t="shared" ca="1" si="38"/>
        <v>7.1548E-5</v>
      </c>
      <c r="AF23" s="284" cm="1">
        <f t="array" aca="1" ref="AF23" ca="1">INDEX(NREL_ETDF_Index,MATCH($D23,NREL_Building_List,0),MATCH(_xlfn.XLOOKUP(AF$10,Lookups_End_Use_CBECS,Lookups_End_Use_NREL,,0)&amp;IF($AF$9="Winter","w","s"),NREL_End_Use_ETDF,0))</f>
        <v>1.1999999999999999E-6</v>
      </c>
      <c r="AG23" s="268" cm="1">
        <f t="array" aca="1" ref="AG23" ca="1">INDEX(NREL_ETDF_Index,MATCH($D23,NREL_Building_List,0),MATCH(_xlfn.XLOOKUP(AG$10,Lookups_End_Use_CBECS,Lookups_End_Use_NREL,,0)&amp;IF($AF$9="Winter","w","s"),NREL_End_Use_ETDF,0))</f>
        <v>3.1639999999999999E-4</v>
      </c>
      <c r="AH23" s="268" cm="1">
        <f t="array" aca="1" ref="AH23" ca="1">INDEX(NREL_ETDF_Index,MATCH($D23,NREL_Building_List,0),MATCH(_xlfn.XLOOKUP(AH$10,Lookups_End_Use_CBECS,Lookups_End_Use_NREL,,0)&amp;IF($AF$9="Winter","w","s"),NREL_End_Use_ETDF,0))</f>
        <v>1.674E-4</v>
      </c>
      <c r="AI23" s="268" cm="1">
        <f t="array" aca="1" ref="AI23" ca="1">INDEX(NREL_ETDF_Index,MATCH($D23,NREL_Building_List,0),MATCH(_xlfn.XLOOKUP(AI$10,Lookups_End_Use_CBECS,Lookups_End_Use_NREL,,0)&amp;IF($AF$9="Winter","w","s"),NREL_End_Use_ETDF,0))</f>
        <v>1.3100000000000001E-4</v>
      </c>
      <c r="AJ23" s="268" cm="1">
        <f t="array" aca="1" ref="AJ23" ca="1">INDEX(NREL_ETDF_Index,MATCH($D23,NREL_Building_List,0),MATCH(_xlfn.XLOOKUP(AJ$10,Lookups_End_Use_CBECS,Lookups_End_Use_NREL,,0)&amp;IF($AF$9="Winter","w","s"),NREL_End_Use_ETDF,0))</f>
        <v>1.259E-4</v>
      </c>
      <c r="AK23" s="285">
        <f t="shared" ca="1" si="39"/>
        <v>4.6160000000000004E-6</v>
      </c>
      <c r="AL23" s="268" cm="1">
        <f t="array" aca="1" ref="AL23" ca="1">INDEX(NREL_ETDF_Index,MATCH($D23,NREL_Building_List,0),MATCH(_xlfn.XLOOKUP(AL$10,Lookups_End_Use_CBECS,Lookups_End_Use_NREL,,0)&amp;IF($AF$9="Winter","w","s"),NREL_End_Use_ETDF,0))</f>
        <v>0</v>
      </c>
      <c r="AM23" s="285">
        <f t="shared" ca="1" si="40"/>
        <v>4.6160000000000004E-6</v>
      </c>
      <c r="AN23" s="285">
        <f t="shared" ca="1" si="41"/>
        <v>4.6160000000000004E-6</v>
      </c>
      <c r="AO23" s="285">
        <f t="shared" ca="1" si="42"/>
        <v>3.4620000000000004E-5</v>
      </c>
      <c r="AP23" s="286">
        <f t="shared" ca="1" si="43"/>
        <v>7.1548E-5</v>
      </c>
      <c r="AR23" s="270">
        <f t="shared" ca="1" si="46"/>
        <v>1.5</v>
      </c>
      <c r="AS23" s="270">
        <f t="shared" ca="1" si="46"/>
        <v>1.5</v>
      </c>
      <c r="AT23" s="270">
        <f t="shared" ca="1" si="46"/>
        <v>3.8</v>
      </c>
      <c r="AU23" s="270">
        <f t="shared" ca="1" si="46"/>
        <v>0.2</v>
      </c>
      <c r="AV23" s="270">
        <f t="shared" ca="1" si="46"/>
        <v>2.2999999999999998</v>
      </c>
      <c r="AW23" s="270">
        <f t="shared" ca="1" si="46"/>
        <v>0.2</v>
      </c>
      <c r="AX23" s="270">
        <f t="shared" ca="1" si="46"/>
        <v>0.5</v>
      </c>
      <c r="AY23" s="270">
        <f t="shared" ca="1" si="46"/>
        <v>0.2</v>
      </c>
      <c r="AZ23" s="270">
        <f t="shared" ca="1" si="46"/>
        <v>1.5</v>
      </c>
      <c r="BA23" s="270">
        <f t="shared" ca="1" si="46"/>
        <v>3.1</v>
      </c>
      <c r="BC23" s="283">
        <v>10</v>
      </c>
      <c r="BD23" s="290">
        <f t="shared" ca="1" si="44"/>
        <v>3.0640000000000002E-4</v>
      </c>
      <c r="BE23" s="269">
        <f t="shared" ca="1" si="44"/>
        <v>3.5500000000000002E-5</v>
      </c>
      <c r="BF23" s="269">
        <f t="shared" ca="1" si="44"/>
        <v>1.136E-4</v>
      </c>
      <c r="BG23" s="269">
        <f t="shared" ca="1" si="44"/>
        <v>1.515E-4</v>
      </c>
      <c r="BH23" s="269">
        <f t="shared" ca="1" si="44"/>
        <v>1.7110000000000001E-4</v>
      </c>
      <c r="BI23" s="269">
        <f t="shared" ca="1" si="44"/>
        <v>4.9880000000000004E-6</v>
      </c>
      <c r="BJ23" s="269">
        <f t="shared" ca="1" si="44"/>
        <v>0</v>
      </c>
      <c r="BK23" s="269">
        <f t="shared" ca="1" si="44"/>
        <v>4.6160000000000004E-6</v>
      </c>
      <c r="BL23" s="269">
        <f t="shared" ca="1" si="44"/>
        <v>4.6160000000000004E-6</v>
      </c>
      <c r="BM23" s="291">
        <f t="shared" ca="1" si="44"/>
        <v>3.4620000000000004E-5</v>
      </c>
      <c r="BN23" s="290">
        <f t="shared" ca="1" si="45"/>
        <v>1.1999999999999999E-6</v>
      </c>
      <c r="BO23" s="269">
        <f t="shared" ca="1" si="25"/>
        <v>3.1639999999999999E-4</v>
      </c>
      <c r="BP23" s="269">
        <f t="shared" ca="1" si="26"/>
        <v>1.674E-4</v>
      </c>
      <c r="BQ23" s="269">
        <f t="shared" ca="1" si="27"/>
        <v>1.3100000000000001E-4</v>
      </c>
      <c r="BR23" s="269">
        <f t="shared" ca="1" si="28"/>
        <v>1.259E-4</v>
      </c>
      <c r="BS23" s="269">
        <f t="shared" ca="1" si="29"/>
        <v>4.6160000000000004E-6</v>
      </c>
      <c r="BT23" s="269">
        <f t="shared" ca="1" si="30"/>
        <v>0</v>
      </c>
      <c r="BU23" s="269">
        <f t="shared" ca="1" si="31"/>
        <v>4.6160000000000004E-6</v>
      </c>
      <c r="BV23" s="269">
        <f t="shared" ca="1" si="32"/>
        <v>4.6160000000000004E-6</v>
      </c>
      <c r="BW23" s="291">
        <f t="shared" ca="1" si="33"/>
        <v>3.4620000000000004E-5</v>
      </c>
    </row>
    <row r="24" spans="2:75" x14ac:dyDescent="0.25">
      <c r="B24" s="267" t="str">
        <f ca="1"/>
        <v>Office, Medium</v>
      </c>
      <c r="C24" s="267" t="str" cm="1">
        <f t="array" aca="1" ref="C24" ca="1">_xlfn.XLOOKUP(B24,Lookups_Building_List_Workbook,Lookups_Building_List_CBECS,,0)</f>
        <v xml:space="preserve">Office </v>
      </c>
      <c r="D24" s="267" t="str" cm="1">
        <f t="array" aca="1" ref="D24" ca="1">_xlfn.XLOOKUP(B24,Lookups_Building_List_Workbook,Lookups_Building_List_NREL,,0)</f>
        <v>MediumOffice</v>
      </c>
      <c r="E24" s="270">
        <f t="shared" ca="1" si="11"/>
        <v>0.2</v>
      </c>
      <c r="F24" s="270">
        <f t="shared" ca="1" si="11"/>
        <v>0.2</v>
      </c>
      <c r="G24" s="270">
        <f t="shared" ca="1" si="11"/>
        <v>1.5</v>
      </c>
      <c r="H24" s="270">
        <f t="shared" ca="1" si="11"/>
        <v>3.1</v>
      </c>
      <c r="I24" s="271">
        <f t="shared" ca="1" si="12"/>
        <v>5</v>
      </c>
      <c r="J24" s="268">
        <f t="shared" ca="1" si="13"/>
        <v>1.2459999999999999E-4</v>
      </c>
      <c r="K24" s="269">
        <f t="shared" ca="1" si="14"/>
        <v>4.9840000000000001E-6</v>
      </c>
      <c r="L24" s="269">
        <f t="shared" ca="1" si="15"/>
        <v>4.9840000000000001E-6</v>
      </c>
      <c r="M24" s="269">
        <f t="shared" ca="1" si="16"/>
        <v>3.7379999999999998E-5</v>
      </c>
      <c r="N24" s="269">
        <f t="shared" ca="1" si="17"/>
        <v>7.7251999999999998E-5</v>
      </c>
      <c r="O24" s="268">
        <f t="shared" ca="1" si="18"/>
        <v>1.164E-4</v>
      </c>
      <c r="P24" s="269">
        <f t="shared" ca="1" si="19"/>
        <v>4.656E-6</v>
      </c>
      <c r="Q24" s="269">
        <f t="shared" ca="1" si="20"/>
        <v>4.656E-6</v>
      </c>
      <c r="R24" s="269">
        <f t="shared" ca="1" si="21"/>
        <v>3.4919999999999998E-5</v>
      </c>
      <c r="S24" s="269">
        <f t="shared" ca="1" si="22"/>
        <v>7.2168000000000004E-5</v>
      </c>
      <c r="U24" s="284" cm="1">
        <f t="array" aca="1" ref="U24" ca="1">INDEX(NREL_ETDF_Index,MATCH($D24,NREL_Building_List,0),MATCH(_xlfn.XLOOKUP(U$10,Lookups_End_Use_CBECS,Lookups_End_Use_NREL,,0)&amp;IF($U$9="Winter","w","s"),NREL_End_Use_ETDF,0))</f>
        <v>3.5940000000000001E-4</v>
      </c>
      <c r="V24" s="268" cm="1">
        <f t="array" aca="1" ref="V24" ca="1">INDEX(NREL_ETDF_Index,MATCH($D24,NREL_Building_List,0),MATCH(_xlfn.XLOOKUP(V$10,Lookups_End_Use_CBECS,Lookups_End_Use_NREL,,0)&amp;IF($U$9="Winter","w","s"),NREL_End_Use_ETDF,0))</f>
        <v>2.0299999999999999E-5</v>
      </c>
      <c r="W24" s="268" cm="1">
        <f t="array" aca="1" ref="W24" ca="1">INDEX(NREL_ETDF_Index,MATCH($D24,NREL_Building_List,0),MATCH(_xlfn.XLOOKUP(W$10,Lookups_End_Use_CBECS,Lookups_End_Use_NREL,,0)&amp;IF($U$9="Winter","w","s"),NREL_End_Use_ETDF,0))</f>
        <v>1.2439999999999999E-4</v>
      </c>
      <c r="X24" s="268" cm="1">
        <f t="array" aca="1" ref="X24" ca="1">INDEX(NREL_ETDF_Index,MATCH($D24,NREL_Building_List,0),MATCH(_xlfn.XLOOKUP(X$10,Lookups_End_Use_CBECS,Lookups_End_Use_NREL,,0)&amp;IF($U$9="Winter","w","s"),NREL_End_Use_ETDF,0))</f>
        <v>1.5890000000000001E-4</v>
      </c>
      <c r="Y24" s="268" cm="1">
        <f t="array" aca="1" ref="Y24" ca="1">INDEX(NREL_ETDF_Index,MATCH($D24,NREL_Building_List,0),MATCH(_xlfn.XLOOKUP(Y$10,Lookups_End_Use_CBECS,Lookups_End_Use_NREL,,0)&amp;IF($U$9="Winter","w","s"),NREL_End_Use_ETDF,0))</f>
        <v>1.5779999999999999E-4</v>
      </c>
      <c r="Z24" s="285">
        <f t="shared" ca="1" si="34"/>
        <v>4.9840000000000001E-6</v>
      </c>
      <c r="AA24" s="268" cm="1">
        <f t="array" aca="1" ref="AA24" ca="1">INDEX(NREL_ETDF_Index,MATCH($D24,NREL_Building_List,0),MATCH(_xlfn.XLOOKUP(AA$10,Lookups_End_Use_CBECS,Lookups_End_Use_NREL,,0)&amp;IF($U$9="Winter","w","s"),NREL_End_Use_ETDF,0))</f>
        <v>0</v>
      </c>
      <c r="AB24" s="285">
        <f t="shared" ca="1" si="35"/>
        <v>4.656E-6</v>
      </c>
      <c r="AC24" s="285">
        <f t="shared" ca="1" si="36"/>
        <v>4.656E-6</v>
      </c>
      <c r="AD24" s="285">
        <f t="shared" ca="1" si="37"/>
        <v>3.4919999999999998E-5</v>
      </c>
      <c r="AE24" s="286">
        <f t="shared" ca="1" si="38"/>
        <v>7.2168000000000004E-5</v>
      </c>
      <c r="AF24" s="284" cm="1">
        <f t="array" aca="1" ref="AF24" ca="1">INDEX(NREL_ETDF_Index,MATCH($D24,NREL_Building_List,0),MATCH(_xlfn.XLOOKUP(AF$10,Lookups_End_Use_CBECS,Lookups_End_Use_NREL,,0)&amp;IF($AF$9="Winter","w","s"),NREL_End_Use_ETDF,0))</f>
        <v>1.9999999999999999E-7</v>
      </c>
      <c r="AG24" s="268" cm="1">
        <f t="array" aca="1" ref="AG24" ca="1">INDEX(NREL_ETDF_Index,MATCH($D24,NREL_Building_List,0),MATCH(_xlfn.XLOOKUP(AG$10,Lookups_End_Use_CBECS,Lookups_End_Use_NREL,,0)&amp;IF($AF$9="Winter","w","s"),NREL_End_Use_ETDF,0))</f>
        <v>4.2719999999999998E-4</v>
      </c>
      <c r="AH24" s="268" cm="1">
        <f t="array" aca="1" ref="AH24" ca="1">INDEX(NREL_ETDF_Index,MATCH($D24,NREL_Building_List,0),MATCH(_xlfn.XLOOKUP(AH$10,Lookups_End_Use_CBECS,Lookups_End_Use_NREL,,0)&amp;IF($AF$9="Winter","w","s"),NREL_End_Use_ETDF,0))</f>
        <v>1.56E-4</v>
      </c>
      <c r="AI24" s="268" cm="1">
        <f t="array" aca="1" ref="AI24" ca="1">INDEX(NREL_ETDF_Index,MATCH($D24,NREL_Building_List,0),MATCH(_xlfn.XLOOKUP(AI$10,Lookups_End_Use_CBECS,Lookups_End_Use_NREL,,0)&amp;IF($AF$9="Winter","w","s"),NREL_End_Use_ETDF,0))</f>
        <v>1.3650000000000001E-4</v>
      </c>
      <c r="AJ24" s="268" cm="1">
        <f t="array" aca="1" ref="AJ24" ca="1">INDEX(NREL_ETDF_Index,MATCH($D24,NREL_Building_List,0),MATCH(_xlfn.XLOOKUP(AJ$10,Lookups_End_Use_CBECS,Lookups_End_Use_NREL,,0)&amp;IF($AF$9="Winter","w","s"),NREL_End_Use_ETDF,0))</f>
        <v>1.227E-4</v>
      </c>
      <c r="AK24" s="285">
        <f t="shared" ca="1" si="39"/>
        <v>4.656E-6</v>
      </c>
      <c r="AL24" s="268" cm="1">
        <f t="array" aca="1" ref="AL24" ca="1">INDEX(NREL_ETDF_Index,MATCH($D24,NREL_Building_List,0),MATCH(_xlfn.XLOOKUP(AL$10,Lookups_End_Use_CBECS,Lookups_End_Use_NREL,,0)&amp;IF($AF$9="Winter","w","s"),NREL_End_Use_ETDF,0))</f>
        <v>0</v>
      </c>
      <c r="AM24" s="285">
        <f t="shared" ca="1" si="40"/>
        <v>4.656E-6</v>
      </c>
      <c r="AN24" s="285">
        <f t="shared" ca="1" si="41"/>
        <v>4.656E-6</v>
      </c>
      <c r="AO24" s="285">
        <f t="shared" ca="1" si="42"/>
        <v>3.4919999999999998E-5</v>
      </c>
      <c r="AP24" s="286">
        <f t="shared" ca="1" si="43"/>
        <v>7.2168000000000004E-5</v>
      </c>
      <c r="AR24" s="270">
        <f t="shared" ca="1" si="46"/>
        <v>1.5</v>
      </c>
      <c r="AS24" s="270">
        <f t="shared" ca="1" si="46"/>
        <v>1.5</v>
      </c>
      <c r="AT24" s="270">
        <f t="shared" ca="1" si="46"/>
        <v>3.8</v>
      </c>
      <c r="AU24" s="270">
        <f t="shared" ca="1" si="46"/>
        <v>0.2</v>
      </c>
      <c r="AV24" s="270">
        <f t="shared" ca="1" si="46"/>
        <v>2.2999999999999998</v>
      </c>
      <c r="AW24" s="270">
        <f t="shared" ca="1" si="46"/>
        <v>0.2</v>
      </c>
      <c r="AX24" s="270">
        <f t="shared" ca="1" si="46"/>
        <v>0.5</v>
      </c>
      <c r="AY24" s="270">
        <f t="shared" ca="1" si="46"/>
        <v>0.2</v>
      </c>
      <c r="AZ24" s="270">
        <f t="shared" ca="1" si="46"/>
        <v>1.5</v>
      </c>
      <c r="BA24" s="270">
        <f t="shared" ca="1" si="46"/>
        <v>3.1</v>
      </c>
      <c r="BC24" s="283">
        <v>11</v>
      </c>
      <c r="BD24" s="290">
        <f t="shared" ca="1" si="44"/>
        <v>3.5940000000000001E-4</v>
      </c>
      <c r="BE24" s="269">
        <f t="shared" ca="1" si="44"/>
        <v>2.0299999999999999E-5</v>
      </c>
      <c r="BF24" s="269">
        <f t="shared" ca="1" si="44"/>
        <v>1.2439999999999999E-4</v>
      </c>
      <c r="BG24" s="269">
        <f t="shared" ca="1" si="44"/>
        <v>1.5890000000000001E-4</v>
      </c>
      <c r="BH24" s="269">
        <f t="shared" ca="1" si="44"/>
        <v>1.5779999999999999E-4</v>
      </c>
      <c r="BI24" s="269">
        <f t="shared" ca="1" si="44"/>
        <v>4.9840000000000001E-6</v>
      </c>
      <c r="BJ24" s="269">
        <f t="shared" ca="1" si="44"/>
        <v>0</v>
      </c>
      <c r="BK24" s="269">
        <f t="shared" ca="1" si="44"/>
        <v>4.656E-6</v>
      </c>
      <c r="BL24" s="269">
        <f t="shared" ca="1" si="44"/>
        <v>4.656E-6</v>
      </c>
      <c r="BM24" s="291">
        <f t="shared" ca="1" si="44"/>
        <v>3.4919999999999998E-5</v>
      </c>
      <c r="BN24" s="290">
        <f t="shared" ca="1" si="45"/>
        <v>1.9999999999999999E-7</v>
      </c>
      <c r="BO24" s="269">
        <f t="shared" ca="1" si="25"/>
        <v>4.2719999999999998E-4</v>
      </c>
      <c r="BP24" s="269">
        <f t="shared" ca="1" si="26"/>
        <v>1.56E-4</v>
      </c>
      <c r="BQ24" s="269">
        <f t="shared" ca="1" si="27"/>
        <v>1.3650000000000001E-4</v>
      </c>
      <c r="BR24" s="269">
        <f t="shared" ca="1" si="28"/>
        <v>1.227E-4</v>
      </c>
      <c r="BS24" s="269">
        <f t="shared" ca="1" si="29"/>
        <v>4.656E-6</v>
      </c>
      <c r="BT24" s="269">
        <f t="shared" ca="1" si="30"/>
        <v>0</v>
      </c>
      <c r="BU24" s="269">
        <f t="shared" ca="1" si="31"/>
        <v>4.656E-6</v>
      </c>
      <c r="BV24" s="269">
        <f t="shared" ca="1" si="32"/>
        <v>4.656E-6</v>
      </c>
      <c r="BW24" s="291">
        <f t="shared" ca="1" si="33"/>
        <v>3.4919999999999998E-5</v>
      </c>
    </row>
    <row r="25" spans="2:75" x14ac:dyDescent="0.25">
      <c r="B25" s="267" t="str">
        <f ca="1"/>
        <v>Office, Small</v>
      </c>
      <c r="C25" s="267" t="str" cm="1">
        <f t="array" aca="1" ref="C25" ca="1">_xlfn.XLOOKUP(B25,Lookups_Building_List_Workbook,Lookups_Building_List_CBECS,,0)</f>
        <v xml:space="preserve">Office </v>
      </c>
      <c r="D25" s="267" t="str" cm="1">
        <f t="array" aca="1" ref="D25" ca="1">_xlfn.XLOOKUP(B25,Lookups_Building_List_Workbook,Lookups_Building_List_NREL,,0)</f>
        <v>SmallOffice</v>
      </c>
      <c r="E25" s="270">
        <f t="shared" ca="1" si="11"/>
        <v>0.2</v>
      </c>
      <c r="F25" s="270">
        <f t="shared" ca="1" si="11"/>
        <v>0.2</v>
      </c>
      <c r="G25" s="270">
        <f t="shared" ca="1" si="11"/>
        <v>1.5</v>
      </c>
      <c r="H25" s="270">
        <f t="shared" ca="1" si="11"/>
        <v>3.1</v>
      </c>
      <c r="I25" s="271">
        <f t="shared" ca="1" si="12"/>
        <v>5</v>
      </c>
      <c r="J25" s="268">
        <f t="shared" ca="1" si="13"/>
        <v>1.186E-4</v>
      </c>
      <c r="K25" s="269">
        <f t="shared" ca="1" si="14"/>
        <v>4.7439999999999998E-6</v>
      </c>
      <c r="L25" s="269">
        <f t="shared" ca="1" si="15"/>
        <v>4.7439999999999998E-6</v>
      </c>
      <c r="M25" s="269">
        <f t="shared" ca="1" si="16"/>
        <v>3.5579999999999995E-5</v>
      </c>
      <c r="N25" s="269">
        <f t="shared" ca="1" si="17"/>
        <v>7.3532E-5</v>
      </c>
      <c r="O25" s="268">
        <f t="shared" ca="1" si="18"/>
        <v>1.225E-4</v>
      </c>
      <c r="P25" s="269">
        <f t="shared" ca="1" si="19"/>
        <v>4.8999999999999997E-6</v>
      </c>
      <c r="Q25" s="269">
        <f t="shared" ca="1" si="20"/>
        <v>4.8999999999999997E-6</v>
      </c>
      <c r="R25" s="269">
        <f t="shared" ca="1" si="21"/>
        <v>3.6749999999999999E-5</v>
      </c>
      <c r="S25" s="269">
        <f t="shared" ca="1" si="22"/>
        <v>7.5950000000000003E-5</v>
      </c>
      <c r="U25" s="284" cm="1">
        <f t="array" aca="1" ref="U25" ca="1">INDEX(NREL_ETDF_Index,MATCH($D25,NREL_Building_List,0),MATCH(_xlfn.XLOOKUP(U$10,Lookups_End_Use_CBECS,Lookups_End_Use_NREL,,0)&amp;IF($U$9="Winter","w","s"),NREL_End_Use_ETDF,0))</f>
        <v>4.0400000000000001E-4</v>
      </c>
      <c r="V25" s="268" cm="1">
        <f t="array" aca="1" ref="V25" ca="1">INDEX(NREL_ETDF_Index,MATCH($D25,NREL_Building_List,0),MATCH(_xlfn.XLOOKUP(V$10,Lookups_End_Use_CBECS,Lookups_End_Use_NREL,,0)&amp;IF($U$9="Winter","w","s"),NREL_End_Use_ETDF,0))</f>
        <v>5.0000000000000004E-6</v>
      </c>
      <c r="W25" s="268" cm="1">
        <f t="array" aca="1" ref="W25" ca="1">INDEX(NREL_ETDF_Index,MATCH($D25,NREL_Building_List,0),MATCH(_xlfn.XLOOKUP(W$10,Lookups_End_Use_CBECS,Lookups_End_Use_NREL,,0)&amp;IF($U$9="Winter","w","s"),NREL_End_Use_ETDF,0))</f>
        <v>1.3449999999999999E-4</v>
      </c>
      <c r="X25" s="268" cm="1">
        <f t="array" aca="1" ref="X25" ca="1">INDEX(NREL_ETDF_Index,MATCH($D25,NREL_Building_List,0),MATCH(_xlfn.XLOOKUP(X$10,Lookups_End_Use_CBECS,Lookups_End_Use_NREL,,0)&amp;IF($U$9="Winter","w","s"),NREL_End_Use_ETDF,0))</f>
        <v>1.874E-4</v>
      </c>
      <c r="Y25" s="268" cm="1">
        <f t="array" aca="1" ref="Y25" ca="1">INDEX(NREL_ETDF_Index,MATCH($D25,NREL_Building_List,0),MATCH(_xlfn.XLOOKUP(Y$10,Lookups_End_Use_CBECS,Lookups_End_Use_NREL,,0)&amp;IF($U$9="Winter","w","s"),NREL_End_Use_ETDF,0))</f>
        <v>1.4540000000000001E-4</v>
      </c>
      <c r="Z25" s="285">
        <f t="shared" ca="1" si="34"/>
        <v>4.7439999999999998E-6</v>
      </c>
      <c r="AA25" s="268" cm="1">
        <f t="array" aca="1" ref="AA25" ca="1">INDEX(NREL_ETDF_Index,MATCH($D25,NREL_Building_List,0),MATCH(_xlfn.XLOOKUP(AA$10,Lookups_End_Use_CBECS,Lookups_End_Use_NREL,,0)&amp;IF($U$9="Winter","w","s"),NREL_End_Use_ETDF,0))</f>
        <v>0</v>
      </c>
      <c r="AB25" s="285">
        <f t="shared" ca="1" si="35"/>
        <v>4.8999999999999997E-6</v>
      </c>
      <c r="AC25" s="285">
        <f t="shared" ca="1" si="36"/>
        <v>4.8999999999999997E-6</v>
      </c>
      <c r="AD25" s="285">
        <f t="shared" ca="1" si="37"/>
        <v>3.6749999999999999E-5</v>
      </c>
      <c r="AE25" s="286">
        <f t="shared" ca="1" si="38"/>
        <v>7.5950000000000003E-5</v>
      </c>
      <c r="AF25" s="284" cm="1">
        <f t="array" aca="1" ref="AF25" ca="1">INDEX(NREL_ETDF_Index,MATCH($D25,NREL_Building_List,0),MATCH(_xlfn.XLOOKUP(AF$10,Lookups_End_Use_CBECS,Lookups_End_Use_NREL,,0)&amp;IF($AF$9="Winter","w","s"),NREL_End_Use_ETDF,0))</f>
        <v>0</v>
      </c>
      <c r="AG25" s="268" cm="1">
        <f t="array" aca="1" ref="AG25" ca="1">INDEX(NREL_ETDF_Index,MATCH($D25,NREL_Building_List,0),MATCH(_xlfn.XLOOKUP(AG$10,Lookups_End_Use_CBECS,Lookups_End_Use_NREL,,0)&amp;IF($AF$9="Winter","w","s"),NREL_End_Use_ETDF,0))</f>
        <v>5.8569999999999998E-4</v>
      </c>
      <c r="AH25" s="268" cm="1">
        <f t="array" aca="1" ref="AH25" ca="1">INDEX(NREL_ETDF_Index,MATCH($D25,NREL_Building_List,0),MATCH(_xlfn.XLOOKUP(AH$10,Lookups_End_Use_CBECS,Lookups_End_Use_NREL,,0)&amp;IF($AF$9="Winter","w","s"),NREL_End_Use_ETDF,0))</f>
        <v>1.7689999999999999E-4</v>
      </c>
      <c r="AI25" s="268" cm="1">
        <f t="array" aca="1" ref="AI25" ca="1">INDEX(NREL_ETDF_Index,MATCH($D25,NREL_Building_List,0),MATCH(_xlfn.XLOOKUP(AI$10,Lookups_End_Use_CBECS,Lookups_End_Use_NREL,,0)&amp;IF($AF$9="Winter","w","s"),NREL_End_Use_ETDF,0))</f>
        <v>1.9469999999999999E-4</v>
      </c>
      <c r="AJ25" s="268" cm="1">
        <f t="array" aca="1" ref="AJ25" ca="1">INDEX(NREL_ETDF_Index,MATCH($D25,NREL_Building_List,0),MATCH(_xlfn.XLOOKUP(AJ$10,Lookups_End_Use_CBECS,Lookups_End_Use_NREL,,0)&amp;IF($AF$9="Winter","w","s"),NREL_End_Use_ETDF,0))</f>
        <v>1.7660000000000001E-4</v>
      </c>
      <c r="AK25" s="285">
        <f t="shared" ca="1" si="39"/>
        <v>4.8999999999999997E-6</v>
      </c>
      <c r="AL25" s="268" cm="1">
        <f t="array" aca="1" ref="AL25" ca="1">INDEX(NREL_ETDF_Index,MATCH($D25,NREL_Building_List,0),MATCH(_xlfn.XLOOKUP(AL$10,Lookups_End_Use_CBECS,Lookups_End_Use_NREL,,0)&amp;IF($AF$9="Winter","w","s"),NREL_End_Use_ETDF,0))</f>
        <v>0</v>
      </c>
      <c r="AM25" s="285">
        <f t="shared" ca="1" si="40"/>
        <v>4.8999999999999997E-6</v>
      </c>
      <c r="AN25" s="285">
        <f t="shared" ca="1" si="41"/>
        <v>4.8999999999999997E-6</v>
      </c>
      <c r="AO25" s="285">
        <f t="shared" ca="1" si="42"/>
        <v>3.6749999999999999E-5</v>
      </c>
      <c r="AP25" s="286">
        <f t="shared" ca="1" si="43"/>
        <v>7.5950000000000003E-5</v>
      </c>
      <c r="AR25" s="270">
        <f t="shared" ca="1" si="46"/>
        <v>1.5</v>
      </c>
      <c r="AS25" s="270">
        <f t="shared" ca="1" si="46"/>
        <v>1.5</v>
      </c>
      <c r="AT25" s="270">
        <f t="shared" ca="1" si="46"/>
        <v>3.8</v>
      </c>
      <c r="AU25" s="270">
        <f t="shared" ca="1" si="46"/>
        <v>0.2</v>
      </c>
      <c r="AV25" s="270">
        <f t="shared" ca="1" si="46"/>
        <v>2.2999999999999998</v>
      </c>
      <c r="AW25" s="270">
        <f t="shared" ca="1" si="46"/>
        <v>0.2</v>
      </c>
      <c r="AX25" s="270">
        <f t="shared" ca="1" si="46"/>
        <v>0.5</v>
      </c>
      <c r="AY25" s="270">
        <f t="shared" ca="1" si="46"/>
        <v>0.2</v>
      </c>
      <c r="AZ25" s="270">
        <f t="shared" ca="1" si="46"/>
        <v>1.5</v>
      </c>
      <c r="BA25" s="270">
        <f t="shared" ca="1" si="46"/>
        <v>3.1</v>
      </c>
      <c r="BC25" s="283">
        <v>12</v>
      </c>
      <c r="BD25" s="290">
        <f t="shared" ca="1" si="44"/>
        <v>4.0400000000000001E-4</v>
      </c>
      <c r="BE25" s="269">
        <f t="shared" ca="1" si="44"/>
        <v>5.0000000000000004E-6</v>
      </c>
      <c r="BF25" s="269">
        <f t="shared" ca="1" si="44"/>
        <v>1.3449999999999999E-4</v>
      </c>
      <c r="BG25" s="269">
        <f t="shared" ca="1" si="44"/>
        <v>1.874E-4</v>
      </c>
      <c r="BH25" s="269">
        <f t="shared" ca="1" si="44"/>
        <v>1.4540000000000001E-4</v>
      </c>
      <c r="BI25" s="269">
        <f t="shared" ca="1" si="44"/>
        <v>4.7439999999999998E-6</v>
      </c>
      <c r="BJ25" s="269">
        <f t="shared" ca="1" si="44"/>
        <v>0</v>
      </c>
      <c r="BK25" s="269">
        <f t="shared" ca="1" si="44"/>
        <v>4.8999999999999997E-6</v>
      </c>
      <c r="BL25" s="269">
        <f t="shared" ca="1" si="44"/>
        <v>4.8999999999999997E-6</v>
      </c>
      <c r="BM25" s="291">
        <f t="shared" ca="1" si="44"/>
        <v>3.6749999999999999E-5</v>
      </c>
      <c r="BN25" s="290">
        <f t="shared" ca="1" si="45"/>
        <v>0</v>
      </c>
      <c r="BO25" s="269">
        <f t="shared" ca="1" si="25"/>
        <v>5.8569999999999998E-4</v>
      </c>
      <c r="BP25" s="269">
        <f t="shared" ca="1" si="26"/>
        <v>1.7689999999999999E-4</v>
      </c>
      <c r="BQ25" s="269">
        <f t="shared" ca="1" si="27"/>
        <v>1.9470000000000002E-4</v>
      </c>
      <c r="BR25" s="269">
        <f t="shared" ca="1" si="28"/>
        <v>1.7660000000000001E-4</v>
      </c>
      <c r="BS25" s="269">
        <f t="shared" ca="1" si="29"/>
        <v>4.8999999999999997E-6</v>
      </c>
      <c r="BT25" s="269">
        <f t="shared" ca="1" si="30"/>
        <v>0</v>
      </c>
      <c r="BU25" s="269">
        <f t="shared" ca="1" si="31"/>
        <v>4.8999999999999997E-6</v>
      </c>
      <c r="BV25" s="269">
        <f t="shared" ca="1" si="32"/>
        <v>4.8999999999999997E-6</v>
      </c>
      <c r="BW25" s="291">
        <f t="shared" ca="1" si="33"/>
        <v>3.6749999999999999E-5</v>
      </c>
    </row>
    <row r="26" spans="2:75" ht="15" customHeight="1" x14ac:dyDescent="0.25">
      <c r="B26" s="267" t="str">
        <f ca="1"/>
        <v xml:space="preserve">Public Assembly </v>
      </c>
      <c r="C26" s="267" t="str" cm="1">
        <f t="array" aca="1" ref="C26" ca="1">_xlfn.XLOOKUP(B26,Lookups_Building_List_Workbook,Lookups_Building_List_CBECS,,0)</f>
        <v xml:space="preserve">Public assembly </v>
      </c>
      <c r="D26" s="267" t="str" cm="1">
        <f t="array" aca="1" ref="D26" ca="1">_xlfn.XLOOKUP(B26,Lookups_Building_List_Workbook,Lookups_Building_List_NREL,,0)</f>
        <v>RetailStandalone</v>
      </c>
      <c r="E26" s="270">
        <f t="shared" ca="1" si="11"/>
        <v>0.5</v>
      </c>
      <c r="F26" s="270">
        <f t="shared" ca="1" si="11"/>
        <v>0.1</v>
      </c>
      <c r="G26" s="270">
        <f t="shared" ca="1" si="11"/>
        <v>0.3</v>
      </c>
      <c r="H26" s="270">
        <f t="shared" ca="1" si="11"/>
        <v>3.1</v>
      </c>
      <c r="I26" s="271">
        <f t="shared" ca="1" si="12"/>
        <v>4</v>
      </c>
      <c r="J26" s="268">
        <f t="shared" ca="1" si="13"/>
        <v>1.249E-4</v>
      </c>
      <c r="K26" s="269">
        <f t="shared" ca="1" si="14"/>
        <v>1.56125E-5</v>
      </c>
      <c r="L26" s="269">
        <f t="shared" ca="1" si="15"/>
        <v>3.1225000000000002E-6</v>
      </c>
      <c r="M26" s="269">
        <f t="shared" ca="1" si="16"/>
        <v>9.3674999999999997E-6</v>
      </c>
      <c r="N26" s="269">
        <f t="shared" ca="1" si="17"/>
        <v>9.679750000000001E-5</v>
      </c>
      <c r="O26" s="268">
        <f t="shared" ca="1" si="18"/>
        <v>1.741E-4</v>
      </c>
      <c r="P26" s="269">
        <f t="shared" ca="1" si="19"/>
        <v>2.17625E-5</v>
      </c>
      <c r="Q26" s="269">
        <f t="shared" ca="1" si="20"/>
        <v>4.3525000000000003E-6</v>
      </c>
      <c r="R26" s="269">
        <f t="shared" ca="1" si="21"/>
        <v>1.30575E-5</v>
      </c>
      <c r="S26" s="269">
        <f t="shared" ca="1" si="22"/>
        <v>1.349275E-4</v>
      </c>
      <c r="U26" s="284" cm="1">
        <f t="array" aca="1" ref="U26" ca="1">INDEX(NREL_ETDF_Index,MATCH($D26,NREL_Building_List,0),MATCH(_xlfn.XLOOKUP(U$10,Lookups_End_Use_CBECS,Lookups_End_Use_NREL,,0)&amp;IF($U$9="Winter","w","s"),NREL_End_Use_ETDF,0))</f>
        <v>3.2600000000000001E-4</v>
      </c>
      <c r="V26" s="268" cm="1">
        <f t="array" aca="1" ref="V26" ca="1">INDEX(NREL_ETDF_Index,MATCH($D26,NREL_Building_List,0),MATCH(_xlfn.XLOOKUP(V$10,Lookups_End_Use_CBECS,Lookups_End_Use_NREL,,0)&amp;IF($U$9="Winter","w","s"),NREL_End_Use_ETDF,0))</f>
        <v>7.5000000000000002E-6</v>
      </c>
      <c r="W26" s="268" cm="1">
        <f t="array" aca="1" ref="W26" ca="1">INDEX(NREL_ETDF_Index,MATCH($D26,NREL_Building_List,0),MATCH(_xlfn.XLOOKUP(W$10,Lookups_End_Use_CBECS,Lookups_End_Use_NREL,,0)&amp;IF($U$9="Winter","w","s"),NREL_End_Use_ETDF,0))</f>
        <v>1.2410000000000001E-4</v>
      </c>
      <c r="X26" s="268" cm="1">
        <f t="array" aca="1" ref="X26" ca="1">INDEX(NREL_ETDF_Index,MATCH($D26,NREL_Building_List,0),MATCH(_xlfn.XLOOKUP(X$10,Lookups_End_Use_CBECS,Lookups_End_Use_NREL,,0)&amp;IF($U$9="Winter","w","s"),NREL_End_Use_ETDF,0))</f>
        <v>0</v>
      </c>
      <c r="Y26" s="268" cm="1">
        <f t="array" aca="1" ref="Y26" ca="1">INDEX(NREL_ETDF_Index,MATCH($D26,NREL_Building_List,0),MATCH(_xlfn.XLOOKUP(Y$10,Lookups_End_Use_CBECS,Lookups_End_Use_NREL,,0)&amp;IF($U$9="Winter","w","s"),NREL_End_Use_ETDF,0))</f>
        <v>1.362E-4</v>
      </c>
      <c r="Z26" s="285">
        <f t="shared" ca="1" si="34"/>
        <v>1.56125E-5</v>
      </c>
      <c r="AA26" s="268" cm="1">
        <f t="array" aca="1" ref="AA26" ca="1">INDEX(NREL_ETDF_Index,MATCH($D26,NREL_Building_List,0),MATCH(_xlfn.XLOOKUP(AA$10,Lookups_End_Use_CBECS,Lookups_End_Use_NREL,,0)&amp;IF($U$9="Winter","w","s"),NREL_End_Use_ETDF,0))</f>
        <v>0</v>
      </c>
      <c r="AB26" s="285">
        <f t="shared" ca="1" si="35"/>
        <v>4.3525000000000003E-6</v>
      </c>
      <c r="AC26" s="285">
        <f t="shared" ca="1" si="36"/>
        <v>4.3525000000000003E-6</v>
      </c>
      <c r="AD26" s="285">
        <f t="shared" ca="1" si="37"/>
        <v>1.30575E-5</v>
      </c>
      <c r="AE26" s="286">
        <f t="shared" ca="1" si="38"/>
        <v>1.349275E-4</v>
      </c>
      <c r="AF26" s="284" cm="1">
        <f t="array" aca="1" ref="AF26" ca="1">INDEX(NREL_ETDF_Index,MATCH($D26,NREL_Building_List,0),MATCH(_xlfn.XLOOKUP(AF$10,Lookups_End_Use_CBECS,Lookups_End_Use_NREL,,0)&amp;IF($AF$9="Winter","w","s"),NREL_End_Use_ETDF,0))</f>
        <v>0</v>
      </c>
      <c r="AG26" s="268" cm="1">
        <f t="array" aca="1" ref="AG26" ca="1">INDEX(NREL_ETDF_Index,MATCH($D26,NREL_Building_List,0),MATCH(_xlfn.XLOOKUP(AG$10,Lookups_End_Use_CBECS,Lookups_End_Use_NREL,,0)&amp;IF($AF$9="Winter","w","s"),NREL_End_Use_ETDF,0))</f>
        <v>4.8759999999999998E-4</v>
      </c>
      <c r="AH26" s="268" cm="1">
        <f t="array" aca="1" ref="AH26" ca="1">INDEX(NREL_ETDF_Index,MATCH($D26,NREL_Building_List,0),MATCH(_xlfn.XLOOKUP(AH$10,Lookups_End_Use_CBECS,Lookups_End_Use_NREL,,0)&amp;IF($AF$9="Winter","w","s"),NREL_End_Use_ETDF,0))</f>
        <v>1.6330000000000001E-4</v>
      </c>
      <c r="AI26" s="268" cm="1">
        <f t="array" aca="1" ref="AI26" ca="1">INDEX(NREL_ETDF_Index,MATCH($D26,NREL_Building_List,0),MATCH(_xlfn.XLOOKUP(AI$10,Lookups_End_Use_CBECS,Lookups_End_Use_NREL,,0)&amp;IF($AF$9="Winter","w","s"),NREL_End_Use_ETDF,0))</f>
        <v>0</v>
      </c>
      <c r="AJ26" s="268" cm="1">
        <f t="array" aca="1" ref="AJ26" ca="1">INDEX(NREL_ETDF_Index,MATCH($D26,NREL_Building_List,0),MATCH(_xlfn.XLOOKUP(AJ$10,Lookups_End_Use_CBECS,Lookups_End_Use_NREL,,0)&amp;IF($AF$9="Winter","w","s"),NREL_End_Use_ETDF,0))</f>
        <v>1.6880000000000001E-4</v>
      </c>
      <c r="AK26" s="285">
        <f t="shared" ca="1" si="39"/>
        <v>2.17625E-5</v>
      </c>
      <c r="AL26" s="268" cm="1">
        <f t="array" aca="1" ref="AL26" ca="1">INDEX(NREL_ETDF_Index,MATCH($D26,NREL_Building_List,0),MATCH(_xlfn.XLOOKUP(AL$10,Lookups_End_Use_CBECS,Lookups_End_Use_NREL,,0)&amp;IF($AF$9="Winter","w","s"),NREL_End_Use_ETDF,0))</f>
        <v>0</v>
      </c>
      <c r="AM26" s="285">
        <f t="shared" ca="1" si="40"/>
        <v>2.17625E-5</v>
      </c>
      <c r="AN26" s="285">
        <f t="shared" ca="1" si="41"/>
        <v>4.3525000000000003E-6</v>
      </c>
      <c r="AO26" s="285">
        <f t="shared" ca="1" si="42"/>
        <v>1.30575E-5</v>
      </c>
      <c r="AP26" s="286">
        <f t="shared" ca="1" si="43"/>
        <v>1.349275E-4</v>
      </c>
      <c r="AR26" s="270">
        <f t="shared" ca="1" si="46"/>
        <v>2.8</v>
      </c>
      <c r="AS26" s="270">
        <f t="shared" ca="1" si="46"/>
        <v>4.5999999999999996</v>
      </c>
      <c r="AT26" s="270">
        <f t="shared" ca="1" si="46"/>
        <v>1.2</v>
      </c>
      <c r="AU26" s="270">
        <f t="shared" ca="1" si="46"/>
        <v>0.1</v>
      </c>
      <c r="AV26" s="270">
        <f t="shared" ca="1" si="46"/>
        <v>1.5</v>
      </c>
      <c r="AW26" s="270">
        <f t="shared" ca="1" si="46"/>
        <v>0.5</v>
      </c>
      <c r="AX26" s="270">
        <f t="shared" ca="1" si="46"/>
        <v>0.9</v>
      </c>
      <c r="AY26" s="270">
        <f t="shared" ca="1" si="46"/>
        <v>0.1</v>
      </c>
      <c r="AZ26" s="270">
        <f t="shared" ca="1" si="46"/>
        <v>0.3</v>
      </c>
      <c r="BA26" s="270">
        <f t="shared" ca="1" si="46"/>
        <v>3.1</v>
      </c>
      <c r="BC26" s="283">
        <v>13</v>
      </c>
      <c r="BD26" s="290">
        <f t="shared" ca="1" si="44"/>
        <v>3.4230000000000003E-4</v>
      </c>
      <c r="BE26" s="269">
        <f t="shared" ca="1" si="44"/>
        <v>1.2034883720930232E-5</v>
      </c>
      <c r="BF26" s="269">
        <f t="shared" ca="1" si="44"/>
        <v>5.3185714285714282E-5</v>
      </c>
      <c r="BG26" s="269">
        <f t="shared" ca="1" si="44"/>
        <v>0</v>
      </c>
      <c r="BH26" s="269">
        <f t="shared" ca="1" si="44"/>
        <v>6.9647727272727263E-5</v>
      </c>
      <c r="BI26" s="269">
        <f t="shared" ca="1" si="44"/>
        <v>5.4462209302325579E-6</v>
      </c>
      <c r="BJ26" s="269">
        <f t="shared" ca="1" si="44"/>
        <v>0</v>
      </c>
      <c r="BK26" s="269">
        <f t="shared" ca="1" si="44"/>
        <v>3.2643750000000004E-6</v>
      </c>
      <c r="BL26" s="269">
        <f t="shared" ca="1" si="44"/>
        <v>2.6114999999999999E-6</v>
      </c>
      <c r="BM26" s="291">
        <f t="shared" ca="1" si="44"/>
        <v>1.3560506122308593E-5</v>
      </c>
      <c r="BN26" s="290">
        <f t="shared" ca="1" si="45"/>
        <v>0</v>
      </c>
      <c r="BO26" s="269">
        <f t="shared" ca="1" si="25"/>
        <v>7.8242790697674407E-4</v>
      </c>
      <c r="BP26" s="269">
        <f t="shared" ca="1" si="26"/>
        <v>6.9985714285714291E-5</v>
      </c>
      <c r="BQ26" s="269">
        <f t="shared" ca="1" si="27"/>
        <v>0</v>
      </c>
      <c r="BR26" s="269">
        <f t="shared" ca="1" si="28"/>
        <v>8.6318181818181817E-5</v>
      </c>
      <c r="BS26" s="269">
        <f t="shared" ca="1" si="29"/>
        <v>7.5915697674418602E-6</v>
      </c>
      <c r="BT26" s="269">
        <f t="shared" ca="1" si="30"/>
        <v>0</v>
      </c>
      <c r="BU26" s="269">
        <f t="shared" ca="1" si="31"/>
        <v>1.6321875000000002E-5</v>
      </c>
      <c r="BV26" s="269">
        <f t="shared" ca="1" si="32"/>
        <v>2.6114999999999999E-6</v>
      </c>
      <c r="BW26" s="291">
        <f t="shared" ca="1" si="33"/>
        <v>1.3560506122308593E-5</v>
      </c>
    </row>
    <row r="27" spans="2:75" x14ac:dyDescent="0.25">
      <c r="B27" s="267" t="str">
        <f ca="1"/>
        <v>Public Order and Safety</v>
      </c>
      <c r="C27" s="267" t="str" cm="1">
        <f t="array" aca="1" ref="C27" ca="1">_xlfn.XLOOKUP(B27,Lookups_Building_List_Workbook,Lookups_Building_List_CBECS,,0)</f>
        <v xml:space="preserve">Public order and safety </v>
      </c>
      <c r="D27" s="267" t="str" cm="1">
        <f t="array" aca="1" ref="D27" ca="1">_xlfn.XLOOKUP(B27,Lookups_Building_List_Workbook,Lookups_Building_List_NREL,,0)</f>
        <v>MediumOffice</v>
      </c>
      <c r="E27" s="270">
        <f t="shared" ca="1" si="11"/>
        <v>0.5</v>
      </c>
      <c r="F27" s="270">
        <f t="shared" ca="1" si="11"/>
        <v>0.2</v>
      </c>
      <c r="G27" s="270">
        <f t="shared" ca="1" si="11"/>
        <v>0.8</v>
      </c>
      <c r="H27" s="270">
        <f t="shared" ca="1" si="11"/>
        <v>3.1</v>
      </c>
      <c r="I27" s="271">
        <f t="shared" ca="1" si="12"/>
        <v>4.5999999999999996</v>
      </c>
      <c r="J27" s="268">
        <f t="shared" ca="1" si="13"/>
        <v>1.2459999999999999E-4</v>
      </c>
      <c r="K27" s="269">
        <f t="shared" ca="1" si="14"/>
        <v>1.3543478260869566E-5</v>
      </c>
      <c r="L27" s="269">
        <f t="shared" ca="1" si="15"/>
        <v>5.4173913043478263E-6</v>
      </c>
      <c r="M27" s="269">
        <f t="shared" ca="1" si="16"/>
        <v>2.1669565217391305E-5</v>
      </c>
      <c r="N27" s="269">
        <f t="shared" ca="1" si="17"/>
        <v>8.3969565217391305E-5</v>
      </c>
      <c r="O27" s="268">
        <f t="shared" ca="1" si="18"/>
        <v>1.164E-4</v>
      </c>
      <c r="P27" s="269">
        <f t="shared" ca="1" si="19"/>
        <v>1.2652173913043479E-5</v>
      </c>
      <c r="Q27" s="269">
        <f t="shared" ca="1" si="20"/>
        <v>5.0608695652173916E-6</v>
      </c>
      <c r="R27" s="269">
        <f t="shared" ca="1" si="21"/>
        <v>2.0243478260869566E-5</v>
      </c>
      <c r="S27" s="269">
        <f t="shared" ca="1" si="22"/>
        <v>7.8443478260869582E-5</v>
      </c>
      <c r="U27" s="284" cm="1">
        <f t="array" aca="1" ref="U27" ca="1">INDEX(NREL_ETDF_Index,MATCH($D27,NREL_Building_List,0),MATCH(_xlfn.XLOOKUP(U$10,Lookups_End_Use_CBECS,Lookups_End_Use_NREL,,0)&amp;IF($U$9="Winter","w","s"),NREL_End_Use_ETDF,0))</f>
        <v>3.5940000000000001E-4</v>
      </c>
      <c r="V27" s="268" cm="1">
        <f t="array" aca="1" ref="V27" ca="1">INDEX(NREL_ETDF_Index,MATCH($D27,NREL_Building_List,0),MATCH(_xlfn.XLOOKUP(V$10,Lookups_End_Use_CBECS,Lookups_End_Use_NREL,,0)&amp;IF($U$9="Winter","w","s"),NREL_End_Use_ETDF,0))</f>
        <v>2.0299999999999999E-5</v>
      </c>
      <c r="W27" s="268" cm="1">
        <f t="array" aca="1" ref="W27" ca="1">INDEX(NREL_ETDF_Index,MATCH($D27,NREL_Building_List,0),MATCH(_xlfn.XLOOKUP(W$10,Lookups_End_Use_CBECS,Lookups_End_Use_NREL,,0)&amp;IF($U$9="Winter","w","s"),NREL_End_Use_ETDF,0))</f>
        <v>1.2439999999999999E-4</v>
      </c>
      <c r="X27" s="268" cm="1">
        <f t="array" aca="1" ref="X27" ca="1">INDEX(NREL_ETDF_Index,MATCH($D27,NREL_Building_List,0),MATCH(_xlfn.XLOOKUP(X$10,Lookups_End_Use_CBECS,Lookups_End_Use_NREL,,0)&amp;IF($U$9="Winter","w","s"),NREL_End_Use_ETDF,0))</f>
        <v>1.5890000000000001E-4</v>
      </c>
      <c r="Y27" s="268" cm="1">
        <f t="array" aca="1" ref="Y27" ca="1">INDEX(NREL_ETDF_Index,MATCH($D27,NREL_Building_List,0),MATCH(_xlfn.XLOOKUP(Y$10,Lookups_End_Use_CBECS,Lookups_End_Use_NREL,,0)&amp;IF($U$9="Winter","w","s"),NREL_End_Use_ETDF,0))</f>
        <v>1.5779999999999999E-4</v>
      </c>
      <c r="Z27" s="285">
        <f t="shared" ca="1" si="34"/>
        <v>1.3543478260869566E-5</v>
      </c>
      <c r="AA27" s="268" cm="1">
        <f t="array" aca="1" ref="AA27" ca="1">INDEX(NREL_ETDF_Index,MATCH($D27,NREL_Building_List,0),MATCH(_xlfn.XLOOKUP(AA$10,Lookups_End_Use_CBECS,Lookups_End_Use_NREL,,0)&amp;IF($U$9="Winter","w","s"),NREL_End_Use_ETDF,0))</f>
        <v>0</v>
      </c>
      <c r="AB27" s="285">
        <f t="shared" ca="1" si="35"/>
        <v>5.0608695652173916E-6</v>
      </c>
      <c r="AC27" s="285">
        <f t="shared" ca="1" si="36"/>
        <v>5.0608695652173916E-6</v>
      </c>
      <c r="AD27" s="285">
        <f t="shared" ca="1" si="37"/>
        <v>2.0243478260869566E-5</v>
      </c>
      <c r="AE27" s="286">
        <f t="shared" ca="1" si="38"/>
        <v>7.8443478260869582E-5</v>
      </c>
      <c r="AF27" s="284" cm="1">
        <f t="array" aca="1" ref="AF27" ca="1">INDEX(NREL_ETDF_Index,MATCH($D27,NREL_Building_List,0),MATCH(_xlfn.XLOOKUP(AF$10,Lookups_End_Use_CBECS,Lookups_End_Use_NREL,,0)&amp;IF($AF$9="Winter","w","s"),NREL_End_Use_ETDF,0))</f>
        <v>1.9999999999999999E-7</v>
      </c>
      <c r="AG27" s="268" cm="1">
        <f t="array" aca="1" ref="AG27" ca="1">INDEX(NREL_ETDF_Index,MATCH($D27,NREL_Building_List,0),MATCH(_xlfn.XLOOKUP(AG$10,Lookups_End_Use_CBECS,Lookups_End_Use_NREL,,0)&amp;IF($AF$9="Winter","w","s"),NREL_End_Use_ETDF,0))</f>
        <v>4.2719999999999998E-4</v>
      </c>
      <c r="AH27" s="268" cm="1">
        <f t="array" aca="1" ref="AH27" ca="1">INDEX(NREL_ETDF_Index,MATCH($D27,NREL_Building_List,0),MATCH(_xlfn.XLOOKUP(AH$10,Lookups_End_Use_CBECS,Lookups_End_Use_NREL,,0)&amp;IF($AF$9="Winter","w","s"),NREL_End_Use_ETDF,0))</f>
        <v>1.56E-4</v>
      </c>
      <c r="AI27" s="268" cm="1">
        <f t="array" aca="1" ref="AI27" ca="1">INDEX(NREL_ETDF_Index,MATCH($D27,NREL_Building_List,0),MATCH(_xlfn.XLOOKUP(AI$10,Lookups_End_Use_CBECS,Lookups_End_Use_NREL,,0)&amp;IF($AF$9="Winter","w","s"),NREL_End_Use_ETDF,0))</f>
        <v>1.3650000000000001E-4</v>
      </c>
      <c r="AJ27" s="268" cm="1">
        <f t="array" aca="1" ref="AJ27" ca="1">INDEX(NREL_ETDF_Index,MATCH($D27,NREL_Building_List,0),MATCH(_xlfn.XLOOKUP(AJ$10,Lookups_End_Use_CBECS,Lookups_End_Use_NREL,,0)&amp;IF($AF$9="Winter","w","s"),NREL_End_Use_ETDF,0))</f>
        <v>1.227E-4</v>
      </c>
      <c r="AK27" s="285">
        <f t="shared" ca="1" si="39"/>
        <v>1.2652173913043479E-5</v>
      </c>
      <c r="AL27" s="268" cm="1">
        <f t="array" aca="1" ref="AL27" ca="1">INDEX(NREL_ETDF_Index,MATCH($D27,NREL_Building_List,0),MATCH(_xlfn.XLOOKUP(AL$10,Lookups_End_Use_CBECS,Lookups_End_Use_NREL,,0)&amp;IF($AF$9="Winter","w","s"),NREL_End_Use_ETDF,0))</f>
        <v>0</v>
      </c>
      <c r="AM27" s="285">
        <f t="shared" ca="1" si="40"/>
        <v>1.2652173913043479E-5</v>
      </c>
      <c r="AN27" s="285">
        <f t="shared" ca="1" si="41"/>
        <v>5.0608695652173916E-6</v>
      </c>
      <c r="AO27" s="285">
        <f t="shared" ca="1" si="42"/>
        <v>2.0243478260869566E-5</v>
      </c>
      <c r="AP27" s="286">
        <f t="shared" ca="1" si="43"/>
        <v>7.8443478260869582E-5</v>
      </c>
      <c r="AR27" s="270">
        <f t="shared" ca="1" si="46"/>
        <v>2</v>
      </c>
      <c r="AS27" s="270">
        <f t="shared" ca="1" si="46"/>
        <v>2.7</v>
      </c>
      <c r="AT27" s="270">
        <f t="shared" ca="1" si="46"/>
        <v>1.8</v>
      </c>
      <c r="AU27" s="270">
        <f t="shared" ca="1" si="46"/>
        <v>1.9</v>
      </c>
      <c r="AV27" s="270">
        <f t="shared" ca="1" si="46"/>
        <v>3.4</v>
      </c>
      <c r="AW27" s="270">
        <f t="shared" ca="1" si="46"/>
        <v>0.5</v>
      </c>
      <c r="AX27" s="270">
        <f t="shared" ca="1" si="46"/>
        <v>0.6</v>
      </c>
      <c r="AY27" s="270">
        <f t="shared" ca="1" si="46"/>
        <v>0.2</v>
      </c>
      <c r="AZ27" s="270">
        <f t="shared" ca="1" si="46"/>
        <v>0.8</v>
      </c>
      <c r="BA27" s="270">
        <f t="shared" ca="1" si="46"/>
        <v>3.1</v>
      </c>
      <c r="BC27" s="283">
        <v>8</v>
      </c>
      <c r="BD27" s="290">
        <f t="shared" ca="1" si="44"/>
        <v>4.549367088607595E-4</v>
      </c>
      <c r="BE27" s="269">
        <f t="shared" ca="1" si="44"/>
        <v>2.2648760330578514E-5</v>
      </c>
      <c r="BF27" s="269">
        <f t="shared" ca="1" si="44"/>
        <v>1.473157894736842E-4</v>
      </c>
      <c r="BG27" s="269">
        <f t="shared" ca="1" si="44"/>
        <v>3.6818292682926833E-4</v>
      </c>
      <c r="BH27" s="269">
        <f t="shared" ca="1" si="44"/>
        <v>1.9439130434782605E-4</v>
      </c>
      <c r="BI27" s="269">
        <f t="shared" ca="1" si="44"/>
        <v>1.5390316205533596E-5</v>
      </c>
      <c r="BJ27" s="269">
        <f t="shared" ca="1" si="44"/>
        <v>0</v>
      </c>
      <c r="BK27" s="269">
        <f t="shared" ca="1" si="44"/>
        <v>7.229813664596275E-6</v>
      </c>
      <c r="BL27" s="269">
        <f t="shared" ca="1" si="44"/>
        <v>1.7451274362818593E-6</v>
      </c>
      <c r="BM27" s="291">
        <f t="shared" ca="1" si="44"/>
        <v>1.6690101757631826E-5</v>
      </c>
      <c r="BN27" s="290">
        <f t="shared" ca="1" si="45"/>
        <v>2.5316455696202527E-7</v>
      </c>
      <c r="BO27" s="269">
        <f t="shared" ca="1" si="25"/>
        <v>4.7662809917355369E-4</v>
      </c>
      <c r="BP27" s="269">
        <f t="shared" ca="1" si="26"/>
        <v>1.8473684210526314E-4</v>
      </c>
      <c r="BQ27" s="269">
        <f t="shared" ca="1" si="27"/>
        <v>3.1628048780487803E-4</v>
      </c>
      <c r="BR27" s="269">
        <f t="shared" ca="1" si="28"/>
        <v>1.5115217391304346E-4</v>
      </c>
      <c r="BS27" s="269">
        <f t="shared" ca="1" si="29"/>
        <v>1.4377470355731224E-5</v>
      </c>
      <c r="BT27" s="269">
        <f t="shared" ca="1" si="30"/>
        <v>0</v>
      </c>
      <c r="BU27" s="269">
        <f t="shared" ca="1" si="31"/>
        <v>1.8074534161490685E-5</v>
      </c>
      <c r="BV27" s="269">
        <f t="shared" ca="1" si="32"/>
        <v>1.7451274362818593E-6</v>
      </c>
      <c r="BW27" s="291">
        <f t="shared" ca="1" si="33"/>
        <v>1.6690101757631826E-5</v>
      </c>
    </row>
    <row r="28" spans="2:75" x14ac:dyDescent="0.25">
      <c r="B28" s="267" t="str">
        <f ca="1"/>
        <v>Religious Worship</v>
      </c>
      <c r="C28" s="267" t="str" cm="1">
        <f t="array" aca="1" ref="C28" ca="1">_xlfn.XLOOKUP(B28,Lookups_Building_List_Workbook,Lookups_Building_List_CBECS,,0)</f>
        <v xml:space="preserve">Religious worship </v>
      </c>
      <c r="D28" s="267" t="str" cm="1">
        <f t="array" aca="1" ref="D28" ca="1">_xlfn.XLOOKUP(B28,Lookups_Building_List_Workbook,Lookups_Building_List_NREL,,0)</f>
        <v>MediumOffice</v>
      </c>
      <c r="E28" s="270">
        <f t="shared" ca="1" si="11"/>
        <v>0.3</v>
      </c>
      <c r="F28" s="270">
        <f t="shared" ca="1" si="11"/>
        <v>0.1</v>
      </c>
      <c r="G28" s="270">
        <f t="shared" ca="1" si="11"/>
        <v>0.1</v>
      </c>
      <c r="H28" s="270">
        <f t="shared" ca="1" si="11"/>
        <v>0.9</v>
      </c>
      <c r="I28" s="271">
        <f t="shared" ca="1" si="12"/>
        <v>1.4</v>
      </c>
      <c r="J28" s="268">
        <f t="shared" ca="1" si="13"/>
        <v>1.2459999999999999E-4</v>
      </c>
      <c r="K28" s="269">
        <f t="shared" ca="1" si="14"/>
        <v>2.6699999999999998E-5</v>
      </c>
      <c r="L28" s="269">
        <f t="shared" ca="1" si="15"/>
        <v>8.8999999999999995E-6</v>
      </c>
      <c r="M28" s="269">
        <f t="shared" ca="1" si="16"/>
        <v>8.8999999999999995E-6</v>
      </c>
      <c r="N28" s="269">
        <f t="shared" ca="1" si="17"/>
        <v>8.0099999999999995E-5</v>
      </c>
      <c r="O28" s="268">
        <f t="shared" ca="1" si="18"/>
        <v>1.164E-4</v>
      </c>
      <c r="P28" s="269">
        <f t="shared" ca="1" si="19"/>
        <v>2.4942857142857142E-5</v>
      </c>
      <c r="Q28" s="269">
        <f t="shared" ca="1" si="20"/>
        <v>8.314285714285715E-6</v>
      </c>
      <c r="R28" s="269">
        <f t="shared" ca="1" si="21"/>
        <v>8.314285714285715E-6</v>
      </c>
      <c r="S28" s="269">
        <f t="shared" ca="1" si="22"/>
        <v>7.4828571428571422E-5</v>
      </c>
      <c r="U28" s="284" cm="1">
        <f t="array" aca="1" ref="U28" ca="1">INDEX(NREL_ETDF_Index,MATCH($D28,NREL_Building_List,0),MATCH(_xlfn.XLOOKUP(U$10,Lookups_End_Use_CBECS,Lookups_End_Use_NREL,,0)&amp;IF($U$9="Winter","w","s"),NREL_End_Use_ETDF,0))</f>
        <v>3.5940000000000001E-4</v>
      </c>
      <c r="V28" s="268" cm="1">
        <f t="array" aca="1" ref="V28" ca="1">INDEX(NREL_ETDF_Index,MATCH($D28,NREL_Building_List,0),MATCH(_xlfn.XLOOKUP(V$10,Lookups_End_Use_CBECS,Lookups_End_Use_NREL,,0)&amp;IF($U$9="Winter","w","s"),NREL_End_Use_ETDF,0))</f>
        <v>2.0299999999999999E-5</v>
      </c>
      <c r="W28" s="268" cm="1">
        <f t="array" aca="1" ref="W28" ca="1">INDEX(NREL_ETDF_Index,MATCH($D28,NREL_Building_List,0),MATCH(_xlfn.XLOOKUP(W$10,Lookups_End_Use_CBECS,Lookups_End_Use_NREL,,0)&amp;IF($U$9="Winter","w","s"),NREL_End_Use_ETDF,0))</f>
        <v>1.2439999999999999E-4</v>
      </c>
      <c r="X28" s="268" cm="1">
        <f t="array" aca="1" ref="X28" ca="1">INDEX(NREL_ETDF_Index,MATCH($D28,NREL_Building_List,0),MATCH(_xlfn.XLOOKUP(X$10,Lookups_End_Use_CBECS,Lookups_End_Use_NREL,,0)&amp;IF($U$9="Winter","w","s"),NREL_End_Use_ETDF,0))</f>
        <v>1.5890000000000001E-4</v>
      </c>
      <c r="Y28" s="268" cm="1">
        <f t="array" aca="1" ref="Y28" ca="1">INDEX(NREL_ETDF_Index,MATCH($D28,NREL_Building_List,0),MATCH(_xlfn.XLOOKUP(Y$10,Lookups_End_Use_CBECS,Lookups_End_Use_NREL,,0)&amp;IF($U$9="Winter","w","s"),NREL_End_Use_ETDF,0))</f>
        <v>1.5779999999999999E-4</v>
      </c>
      <c r="Z28" s="285">
        <f t="shared" ca="1" si="34"/>
        <v>2.6699999999999998E-5</v>
      </c>
      <c r="AA28" s="268" cm="1">
        <f t="array" aca="1" ref="AA28" ca="1">INDEX(NREL_ETDF_Index,MATCH($D28,NREL_Building_List,0),MATCH(_xlfn.XLOOKUP(AA$10,Lookups_End_Use_CBECS,Lookups_End_Use_NREL,,0)&amp;IF($U$9="Winter","w","s"),NREL_End_Use_ETDF,0))</f>
        <v>0</v>
      </c>
      <c r="AB28" s="285">
        <f t="shared" ca="1" si="35"/>
        <v>8.314285714285715E-6</v>
      </c>
      <c r="AC28" s="285">
        <f t="shared" ca="1" si="36"/>
        <v>8.314285714285715E-6</v>
      </c>
      <c r="AD28" s="285">
        <f t="shared" ca="1" si="37"/>
        <v>8.314285714285715E-6</v>
      </c>
      <c r="AE28" s="286">
        <f t="shared" ca="1" si="38"/>
        <v>7.4828571428571422E-5</v>
      </c>
      <c r="AF28" s="284" cm="1">
        <f t="array" aca="1" ref="AF28" ca="1">INDEX(NREL_ETDF_Index,MATCH($D28,NREL_Building_List,0),MATCH(_xlfn.XLOOKUP(AF$10,Lookups_End_Use_CBECS,Lookups_End_Use_NREL,,0)&amp;IF($AF$9="Winter","w","s"),NREL_End_Use_ETDF,0))</f>
        <v>1.9999999999999999E-7</v>
      </c>
      <c r="AG28" s="268" cm="1">
        <f t="array" aca="1" ref="AG28" ca="1">INDEX(NREL_ETDF_Index,MATCH($D28,NREL_Building_List,0),MATCH(_xlfn.XLOOKUP(AG$10,Lookups_End_Use_CBECS,Lookups_End_Use_NREL,,0)&amp;IF($AF$9="Winter","w","s"),NREL_End_Use_ETDF,0))</f>
        <v>4.2719999999999998E-4</v>
      </c>
      <c r="AH28" s="268" cm="1">
        <f t="array" aca="1" ref="AH28" ca="1">INDEX(NREL_ETDF_Index,MATCH($D28,NREL_Building_List,0),MATCH(_xlfn.XLOOKUP(AH$10,Lookups_End_Use_CBECS,Lookups_End_Use_NREL,,0)&amp;IF($AF$9="Winter","w","s"),NREL_End_Use_ETDF,0))</f>
        <v>1.56E-4</v>
      </c>
      <c r="AI28" s="268" cm="1">
        <f t="array" aca="1" ref="AI28" ca="1">INDEX(NREL_ETDF_Index,MATCH($D28,NREL_Building_List,0),MATCH(_xlfn.XLOOKUP(AI$10,Lookups_End_Use_CBECS,Lookups_End_Use_NREL,,0)&amp;IF($AF$9="Winter","w","s"),NREL_End_Use_ETDF,0))</f>
        <v>1.3650000000000001E-4</v>
      </c>
      <c r="AJ28" s="268" cm="1">
        <f t="array" aca="1" ref="AJ28" ca="1">INDEX(NREL_ETDF_Index,MATCH($D28,NREL_Building_List,0),MATCH(_xlfn.XLOOKUP(AJ$10,Lookups_End_Use_CBECS,Lookups_End_Use_NREL,,0)&amp;IF($AF$9="Winter","w","s"),NREL_End_Use_ETDF,0))</f>
        <v>1.227E-4</v>
      </c>
      <c r="AK28" s="285">
        <f t="shared" ca="1" si="39"/>
        <v>2.4942857142857142E-5</v>
      </c>
      <c r="AL28" s="268" cm="1">
        <f t="array" aca="1" ref="AL28" ca="1">INDEX(NREL_ETDF_Index,MATCH($D28,NREL_Building_List,0),MATCH(_xlfn.XLOOKUP(AL$10,Lookups_End_Use_CBECS,Lookups_End_Use_NREL,,0)&amp;IF($AF$9="Winter","w","s"),NREL_End_Use_ETDF,0))</f>
        <v>0</v>
      </c>
      <c r="AM28" s="285">
        <f t="shared" ca="1" si="40"/>
        <v>2.4942857142857142E-5</v>
      </c>
      <c r="AN28" s="285">
        <f t="shared" ca="1" si="41"/>
        <v>8.314285714285715E-6</v>
      </c>
      <c r="AO28" s="285">
        <f t="shared" ca="1" si="42"/>
        <v>8.314285714285715E-6</v>
      </c>
      <c r="AP28" s="286">
        <f t="shared" ca="1" si="43"/>
        <v>7.4828571428571422E-5</v>
      </c>
      <c r="AR28" s="270">
        <f t="shared" ca="1" si="46"/>
        <v>0.7</v>
      </c>
      <c r="AS28" s="270">
        <f t="shared" ca="1" si="46"/>
        <v>1.2</v>
      </c>
      <c r="AT28" s="270">
        <f t="shared" ca="1" si="46"/>
        <v>0.9</v>
      </c>
      <c r="AU28" s="270">
        <f t="shared" ca="1" si="46"/>
        <v>0.1</v>
      </c>
      <c r="AV28" s="270">
        <f t="shared" ca="1" si="46"/>
        <v>1</v>
      </c>
      <c r="AW28" s="270">
        <f t="shared" ca="1" si="46"/>
        <v>0.3</v>
      </c>
      <c r="AX28" s="270">
        <f t="shared" ca="1" si="46"/>
        <v>0.3</v>
      </c>
      <c r="AY28" s="270">
        <f t="shared" ca="1" si="46"/>
        <v>0.1</v>
      </c>
      <c r="AZ28" s="270">
        <f t="shared" ca="1" si="46"/>
        <v>0.1</v>
      </c>
      <c r="BA28" s="270">
        <f t="shared" ca="1" si="46"/>
        <v>0.9</v>
      </c>
      <c r="BC28" s="283">
        <v>8</v>
      </c>
      <c r="BD28" s="290">
        <f t="shared" ca="1" si="44"/>
        <v>1.5922784810126582E-4</v>
      </c>
      <c r="BE28" s="269">
        <f t="shared" ca="1" si="44"/>
        <v>1.0066115702479337E-5</v>
      </c>
      <c r="BF28" s="269">
        <f t="shared" ca="1" si="44"/>
        <v>7.3657894736842101E-5</v>
      </c>
      <c r="BG28" s="269">
        <f t="shared" ca="1" si="44"/>
        <v>1.9378048780487807E-5</v>
      </c>
      <c r="BH28" s="269">
        <f t="shared" ca="1" si="44"/>
        <v>5.7173913043478249E-5</v>
      </c>
      <c r="BI28" s="269">
        <f t="shared" ca="1" si="44"/>
        <v>1.820454545454545E-5</v>
      </c>
      <c r="BJ28" s="269">
        <f t="shared" ca="1" si="44"/>
        <v>0</v>
      </c>
      <c r="BK28" s="269">
        <f t="shared" ca="1" si="44"/>
        <v>5.9387755102040834E-6</v>
      </c>
      <c r="BL28" s="269">
        <f t="shared" ca="1" si="44"/>
        <v>3.5837438423645329E-7</v>
      </c>
      <c r="BM28" s="291">
        <f t="shared" ca="1" si="44"/>
        <v>1.9901215805471131E-6</v>
      </c>
      <c r="BN28" s="290">
        <f t="shared" ca="1" si="45"/>
        <v>8.8607594936708846E-8</v>
      </c>
      <c r="BO28" s="269">
        <f t="shared" ca="1" si="25"/>
        <v>2.1183471074380164E-4</v>
      </c>
      <c r="BP28" s="269">
        <f t="shared" ca="1" si="26"/>
        <v>9.236842105263157E-5</v>
      </c>
      <c r="BQ28" s="269">
        <f t="shared" ca="1" si="27"/>
        <v>1.6646341463414638E-5</v>
      </c>
      <c r="BR28" s="269">
        <f t="shared" ca="1" si="28"/>
        <v>4.4456521739130431E-5</v>
      </c>
      <c r="BS28" s="269">
        <f t="shared" ca="1" si="29"/>
        <v>1.7006493506493503E-5</v>
      </c>
      <c r="BT28" s="269">
        <f t="shared" ca="1" si="30"/>
        <v>0</v>
      </c>
      <c r="BU28" s="269">
        <f t="shared" ca="1" si="31"/>
        <v>1.7816326530612248E-5</v>
      </c>
      <c r="BV28" s="269">
        <f t="shared" ca="1" si="32"/>
        <v>3.5837438423645329E-7</v>
      </c>
      <c r="BW28" s="291">
        <f t="shared" ca="1" si="33"/>
        <v>1.9901215805471131E-6</v>
      </c>
    </row>
    <row r="29" spans="2:75" x14ac:dyDescent="0.25">
      <c r="B29" s="267" t="str">
        <f ca="1"/>
        <v>Retail</v>
      </c>
      <c r="C29" s="267" t="str" cm="1">
        <f t="array" aca="1" ref="C29" ca="1">_xlfn.XLOOKUP(B29,Lookups_Building_List_Workbook,Lookups_Building_List_CBECS,,0)</f>
        <v xml:space="preserve">Mercantile </v>
      </c>
      <c r="D29" s="267" t="str" cm="1">
        <f t="array" aca="1" ref="D29" ca="1">_xlfn.XLOOKUP(B29,Lookups_Building_List_Workbook,Lookups_Building_List_NREL,,0)</f>
        <v>RetailStandalone</v>
      </c>
      <c r="E29" s="270">
        <f t="shared" ca="1" si="11"/>
        <v>0.4</v>
      </c>
      <c r="F29" s="270">
        <f t="shared" ca="1" si="11"/>
        <v>0.2</v>
      </c>
      <c r="G29" s="270">
        <f t="shared" ca="1" si="11"/>
        <v>0.6</v>
      </c>
      <c r="H29" s="270">
        <f t="shared" ca="1" si="11"/>
        <v>3.1</v>
      </c>
      <c r="I29" s="271">
        <f t="shared" ca="1" si="12"/>
        <v>4.3000000000000007</v>
      </c>
      <c r="J29" s="268">
        <f t="shared" ca="1" si="13"/>
        <v>1.249E-4</v>
      </c>
      <c r="K29" s="269">
        <f t="shared" ca="1" si="14"/>
        <v>1.1618604651162789E-5</v>
      </c>
      <c r="L29" s="269">
        <f t="shared" ca="1" si="15"/>
        <v>5.8093023255813944E-6</v>
      </c>
      <c r="M29" s="269">
        <f t="shared" ca="1" si="16"/>
        <v>1.7427906976744184E-5</v>
      </c>
      <c r="N29" s="269">
        <f t="shared" ca="1" si="17"/>
        <v>9.0044186046511619E-5</v>
      </c>
      <c r="O29" s="268">
        <f t="shared" ca="1" si="18"/>
        <v>1.741E-4</v>
      </c>
      <c r="P29" s="269">
        <f t="shared" ca="1" si="19"/>
        <v>1.6195348837209302E-5</v>
      </c>
      <c r="Q29" s="269">
        <f t="shared" ca="1" si="20"/>
        <v>8.0976744186046508E-6</v>
      </c>
      <c r="R29" s="269">
        <f t="shared" ca="1" si="21"/>
        <v>2.4293023255813951E-5</v>
      </c>
      <c r="S29" s="269">
        <f t="shared" ca="1" si="22"/>
        <v>1.2551395348837208E-4</v>
      </c>
      <c r="U29" s="284" cm="1">
        <f t="array" aca="1" ref="U29" ca="1">INDEX(NREL_ETDF_Index,MATCH($D29,NREL_Building_List,0),MATCH(_xlfn.XLOOKUP(U$10,Lookups_End_Use_CBECS,Lookups_End_Use_NREL,,0)&amp;IF($U$9="Winter","w","s"),NREL_End_Use_ETDF,0))</f>
        <v>3.2600000000000001E-4</v>
      </c>
      <c r="V29" s="268" cm="1">
        <f t="array" aca="1" ref="V29" ca="1">INDEX(NREL_ETDF_Index,MATCH($D29,NREL_Building_List,0),MATCH(_xlfn.XLOOKUP(V$10,Lookups_End_Use_CBECS,Lookups_End_Use_NREL,,0)&amp;IF($U$9="Winter","w","s"),NREL_End_Use_ETDF,0))</f>
        <v>7.5000000000000002E-6</v>
      </c>
      <c r="W29" s="268" cm="1">
        <f t="array" aca="1" ref="W29" ca="1">INDEX(NREL_ETDF_Index,MATCH($D29,NREL_Building_List,0),MATCH(_xlfn.XLOOKUP(W$10,Lookups_End_Use_CBECS,Lookups_End_Use_NREL,,0)&amp;IF($U$9="Winter","w","s"),NREL_End_Use_ETDF,0))</f>
        <v>1.2410000000000001E-4</v>
      </c>
      <c r="X29" s="268" cm="1">
        <f t="array" aca="1" ref="X29" ca="1">INDEX(NREL_ETDF_Index,MATCH($D29,NREL_Building_List,0),MATCH(_xlfn.XLOOKUP(X$10,Lookups_End_Use_CBECS,Lookups_End_Use_NREL,,0)&amp;IF($U$9="Winter","w","s"),NREL_End_Use_ETDF,0))</f>
        <v>0</v>
      </c>
      <c r="Y29" s="268" cm="1">
        <f t="array" aca="1" ref="Y29" ca="1">INDEX(NREL_ETDF_Index,MATCH($D29,NREL_Building_List,0),MATCH(_xlfn.XLOOKUP(Y$10,Lookups_End_Use_CBECS,Lookups_End_Use_NREL,,0)&amp;IF($U$9="Winter","w","s"),NREL_End_Use_ETDF,0))</f>
        <v>1.362E-4</v>
      </c>
      <c r="Z29" s="285">
        <f t="shared" ca="1" si="34"/>
        <v>1.1618604651162789E-5</v>
      </c>
      <c r="AA29" s="268" cm="1">
        <f t="array" aca="1" ref="AA29" ca="1">INDEX(NREL_ETDF_Index,MATCH($D29,NREL_Building_List,0),MATCH(_xlfn.XLOOKUP(AA$10,Lookups_End_Use_CBECS,Lookups_End_Use_NREL,,0)&amp;IF($U$9="Winter","w","s"),NREL_End_Use_ETDF,0))</f>
        <v>0</v>
      </c>
      <c r="AB29" s="285">
        <f t="shared" ca="1" si="35"/>
        <v>8.0976744186046508E-6</v>
      </c>
      <c r="AC29" s="285">
        <f t="shared" ca="1" si="36"/>
        <v>8.0976744186046508E-6</v>
      </c>
      <c r="AD29" s="285">
        <f t="shared" ca="1" si="37"/>
        <v>2.4293023255813951E-5</v>
      </c>
      <c r="AE29" s="286">
        <f t="shared" ca="1" si="38"/>
        <v>1.2551395348837208E-4</v>
      </c>
      <c r="AF29" s="284" cm="1">
        <f t="array" aca="1" ref="AF29" ca="1">INDEX(NREL_ETDF_Index,MATCH($D29,NREL_Building_List,0),MATCH(_xlfn.XLOOKUP(AF$10,Lookups_End_Use_CBECS,Lookups_End_Use_NREL,,0)&amp;IF($AF$9="Winter","w","s"),NREL_End_Use_ETDF,0))</f>
        <v>0</v>
      </c>
      <c r="AG29" s="268" cm="1">
        <f t="array" aca="1" ref="AG29" ca="1">INDEX(NREL_ETDF_Index,MATCH($D29,NREL_Building_List,0),MATCH(_xlfn.XLOOKUP(AG$10,Lookups_End_Use_CBECS,Lookups_End_Use_NREL,,0)&amp;IF($AF$9="Winter","w","s"),NREL_End_Use_ETDF,0))</f>
        <v>4.8759999999999998E-4</v>
      </c>
      <c r="AH29" s="268" cm="1">
        <f t="array" aca="1" ref="AH29" ca="1">INDEX(NREL_ETDF_Index,MATCH($D29,NREL_Building_List,0),MATCH(_xlfn.XLOOKUP(AH$10,Lookups_End_Use_CBECS,Lookups_End_Use_NREL,,0)&amp;IF($AF$9="Winter","w","s"),NREL_End_Use_ETDF,0))</f>
        <v>1.6330000000000001E-4</v>
      </c>
      <c r="AI29" s="268" cm="1">
        <f t="array" aca="1" ref="AI29" ca="1">INDEX(NREL_ETDF_Index,MATCH($D29,NREL_Building_List,0),MATCH(_xlfn.XLOOKUP(AI$10,Lookups_End_Use_CBECS,Lookups_End_Use_NREL,,0)&amp;IF($AF$9="Winter","w","s"),NREL_End_Use_ETDF,0))</f>
        <v>0</v>
      </c>
      <c r="AJ29" s="268" cm="1">
        <f t="array" aca="1" ref="AJ29" ca="1">INDEX(NREL_ETDF_Index,MATCH($D29,NREL_Building_List,0),MATCH(_xlfn.XLOOKUP(AJ$10,Lookups_End_Use_CBECS,Lookups_End_Use_NREL,,0)&amp;IF($AF$9="Winter","w","s"),NREL_End_Use_ETDF,0))</f>
        <v>1.6880000000000001E-4</v>
      </c>
      <c r="AK29" s="285">
        <f t="shared" ca="1" si="39"/>
        <v>1.6195348837209302E-5</v>
      </c>
      <c r="AL29" s="268" cm="1">
        <f t="array" aca="1" ref="AL29" ca="1">INDEX(NREL_ETDF_Index,MATCH($D29,NREL_Building_List,0),MATCH(_xlfn.XLOOKUP(AL$10,Lookups_End_Use_CBECS,Lookups_End_Use_NREL,,0)&amp;IF($AF$9="Winter","w","s"),NREL_End_Use_ETDF,0))</f>
        <v>0</v>
      </c>
      <c r="AM29" s="285">
        <f t="shared" ca="1" si="40"/>
        <v>1.6195348837209302E-5</v>
      </c>
      <c r="AN29" s="285">
        <f t="shared" ca="1" si="41"/>
        <v>8.0976744186046508E-6</v>
      </c>
      <c r="AO29" s="285">
        <f t="shared" ca="1" si="42"/>
        <v>2.4293023255813951E-5</v>
      </c>
      <c r="AP29" s="286">
        <f t="shared" ca="1" si="43"/>
        <v>1.2551395348837208E-4</v>
      </c>
      <c r="AR29" s="270">
        <f t="shared" ca="1" si="46"/>
        <v>1.7</v>
      </c>
      <c r="AS29" s="270">
        <f t="shared" ca="1" si="46"/>
        <v>2</v>
      </c>
      <c r="AT29" s="270">
        <f t="shared" ca="1" si="46"/>
        <v>3.2</v>
      </c>
      <c r="AU29" s="270">
        <f t="shared" ca="1" si="46"/>
        <v>0.8</v>
      </c>
      <c r="AV29" s="270">
        <f t="shared" ca="1" si="46"/>
        <v>3.8</v>
      </c>
      <c r="AW29" s="270">
        <f t="shared" ca="1" si="46"/>
        <v>0.4</v>
      </c>
      <c r="AX29" s="270">
        <f t="shared" ca="1" si="46"/>
        <v>2.2000000000000002</v>
      </c>
      <c r="AY29" s="270">
        <f t="shared" ca="1" si="46"/>
        <v>0.2</v>
      </c>
      <c r="AZ29" s="270">
        <f t="shared" ca="1" si="46"/>
        <v>0.6</v>
      </c>
      <c r="BA29" s="270">
        <f t="shared" ca="1" si="46"/>
        <v>3.1</v>
      </c>
      <c r="BC29" s="283">
        <v>14</v>
      </c>
      <c r="BD29" s="290">
        <f t="shared" ca="1" si="44"/>
        <v>3.2600000000000001E-4</v>
      </c>
      <c r="BE29" s="269">
        <f t="shared" ca="1" si="44"/>
        <v>7.5000000000000002E-6</v>
      </c>
      <c r="BF29" s="269">
        <f t="shared" ca="1" si="44"/>
        <v>1.2410000000000001E-4</v>
      </c>
      <c r="BG29" s="269">
        <f t="shared" ca="1" si="44"/>
        <v>0</v>
      </c>
      <c r="BH29" s="269">
        <f t="shared" ca="1" si="44"/>
        <v>1.362E-4</v>
      </c>
      <c r="BI29" s="269">
        <f t="shared" ca="1" si="44"/>
        <v>1.1618604651162789E-5</v>
      </c>
      <c r="BJ29" s="269">
        <f t="shared" ca="1" si="44"/>
        <v>0</v>
      </c>
      <c r="BK29" s="269">
        <f t="shared" ca="1" si="44"/>
        <v>8.0976744186046508E-6</v>
      </c>
      <c r="BL29" s="269">
        <f t="shared" ca="1" si="44"/>
        <v>8.0976744186046508E-6</v>
      </c>
      <c r="BM29" s="291">
        <f t="shared" ca="1" si="44"/>
        <v>2.4293023255813951E-5</v>
      </c>
      <c r="BN29" s="290">
        <f t="shared" ca="1" si="45"/>
        <v>0</v>
      </c>
      <c r="BO29" s="269">
        <f t="shared" ca="1" si="25"/>
        <v>4.8759999999999998E-4</v>
      </c>
      <c r="BP29" s="269">
        <f t="shared" ca="1" si="26"/>
        <v>1.6330000000000001E-4</v>
      </c>
      <c r="BQ29" s="269">
        <f t="shared" ca="1" si="27"/>
        <v>0</v>
      </c>
      <c r="BR29" s="269">
        <f t="shared" ca="1" si="28"/>
        <v>1.6880000000000001E-4</v>
      </c>
      <c r="BS29" s="269">
        <f t="shared" ca="1" si="29"/>
        <v>1.6195348837209302E-5</v>
      </c>
      <c r="BT29" s="269">
        <f t="shared" ca="1" si="30"/>
        <v>0</v>
      </c>
      <c r="BU29" s="269">
        <f t="shared" ca="1" si="31"/>
        <v>1.6195348837209302E-5</v>
      </c>
      <c r="BV29" s="269">
        <f t="shared" ca="1" si="32"/>
        <v>8.0976744186046508E-6</v>
      </c>
      <c r="BW29" s="291">
        <f t="shared" ca="1" si="33"/>
        <v>2.4293023255813951E-5</v>
      </c>
    </row>
    <row r="30" spans="2:75" x14ac:dyDescent="0.25">
      <c r="B30" s="267" t="str">
        <f ca="1"/>
        <v xml:space="preserve">Retail, Food Sales </v>
      </c>
      <c r="C30" s="267" t="str" cm="1">
        <f t="array" aca="1" ref="C30" ca="1">_xlfn.XLOOKUP(B30,Lookups_Building_List_Workbook,Lookups_Building_List_CBECS,,0)</f>
        <v xml:space="preserve">Food sales </v>
      </c>
      <c r="D30" s="267" t="str" cm="1">
        <f t="array" aca="1" ref="D30" ca="1">_xlfn.XLOOKUP(B30,Lookups_Building_List_Workbook,Lookups_Building_List_NREL,,0)</f>
        <v>RetailStandalone</v>
      </c>
      <c r="E30" s="270">
        <f t="shared" ca="1" si="11"/>
        <v>3.3</v>
      </c>
      <c r="F30" s="270">
        <f t="shared" ca="1" si="11"/>
        <v>0.2</v>
      </c>
      <c r="G30" s="270">
        <f t="shared" ca="1" si="11"/>
        <v>0.80000000000000016</v>
      </c>
      <c r="H30" s="270">
        <f t="shared" ca="1" si="11"/>
        <v>2.9550308008213548</v>
      </c>
      <c r="I30" s="271">
        <f t="shared" ca="1" si="12"/>
        <v>7.2550308008213547</v>
      </c>
      <c r="J30" s="268">
        <f t="shared" ca="1" si="13"/>
        <v>1.249E-4</v>
      </c>
      <c r="K30" s="269">
        <f t="shared" ca="1" si="14"/>
        <v>5.6811612702366126E-5</v>
      </c>
      <c r="L30" s="269">
        <f t="shared" ca="1" si="15"/>
        <v>3.4431280425676446E-6</v>
      </c>
      <c r="M30" s="269">
        <f t="shared" ca="1" si="16"/>
        <v>1.377251217027058E-5</v>
      </c>
      <c r="N30" s="269">
        <f t="shared" ca="1" si="17"/>
        <v>5.0872747084795655E-5</v>
      </c>
      <c r="O30" s="268">
        <f t="shared" ca="1" si="18"/>
        <v>1.741E-4</v>
      </c>
      <c r="P30" s="269">
        <f t="shared" ca="1" si="19"/>
        <v>7.9190566625155669E-5</v>
      </c>
      <c r="Q30" s="269">
        <f t="shared" ca="1" si="20"/>
        <v>4.7994282803124656E-6</v>
      </c>
      <c r="R30" s="269">
        <f t="shared" ca="1" si="21"/>
        <v>1.9197713121249866E-5</v>
      </c>
      <c r="S30" s="269">
        <f t="shared" ca="1" si="22"/>
        <v>7.0912291973282006E-5</v>
      </c>
      <c r="U30" s="284" cm="1">
        <f t="array" aca="1" ref="U30" ca="1">INDEX(NREL_ETDF_Index,MATCH($D30,NREL_Building_List,0),MATCH(_xlfn.XLOOKUP(U$10,Lookups_End_Use_CBECS,Lookups_End_Use_NREL,,0)&amp;IF($U$9="Winter","w","s"),NREL_End_Use_ETDF,0))</f>
        <v>3.2600000000000001E-4</v>
      </c>
      <c r="V30" s="268" cm="1">
        <f t="array" aca="1" ref="V30" ca="1">INDEX(NREL_ETDF_Index,MATCH($D30,NREL_Building_List,0),MATCH(_xlfn.XLOOKUP(V$10,Lookups_End_Use_CBECS,Lookups_End_Use_NREL,,0)&amp;IF($U$9="Winter","w","s"),NREL_End_Use_ETDF,0))</f>
        <v>7.5000000000000002E-6</v>
      </c>
      <c r="W30" s="268" cm="1">
        <f t="array" aca="1" ref="W30" ca="1">INDEX(NREL_ETDF_Index,MATCH($D30,NREL_Building_List,0),MATCH(_xlfn.XLOOKUP(W$10,Lookups_End_Use_CBECS,Lookups_End_Use_NREL,,0)&amp;IF($U$9="Winter","w","s"),NREL_End_Use_ETDF,0))</f>
        <v>1.2410000000000001E-4</v>
      </c>
      <c r="X30" s="268" cm="1">
        <f t="array" aca="1" ref="X30" ca="1">INDEX(NREL_ETDF_Index,MATCH($D30,NREL_Building_List,0),MATCH(_xlfn.XLOOKUP(X$10,Lookups_End_Use_CBECS,Lookups_End_Use_NREL,,0)&amp;IF($U$9="Winter","w","s"),NREL_End_Use_ETDF,0))</f>
        <v>0</v>
      </c>
      <c r="Y30" s="268" cm="1">
        <f t="array" aca="1" ref="Y30" ca="1">INDEX(NREL_ETDF_Index,MATCH($D30,NREL_Building_List,0),MATCH(_xlfn.XLOOKUP(Y$10,Lookups_End_Use_CBECS,Lookups_End_Use_NREL,,0)&amp;IF($U$9="Winter","w","s"),NREL_End_Use_ETDF,0))</f>
        <v>1.362E-4</v>
      </c>
      <c r="Z30" s="285">
        <f t="shared" ca="1" si="34"/>
        <v>5.6811612702366126E-5</v>
      </c>
      <c r="AA30" s="268" cm="1">
        <f t="array" aca="1" ref="AA30" ca="1">INDEX(NREL_ETDF_Index,MATCH($D30,NREL_Building_List,0),MATCH(_xlfn.XLOOKUP(AA$10,Lookups_End_Use_CBECS,Lookups_End_Use_NREL,,0)&amp;IF($U$9="Winter","w","s"),NREL_End_Use_ETDF,0))</f>
        <v>0</v>
      </c>
      <c r="AB30" s="285">
        <f t="shared" ca="1" si="35"/>
        <v>4.7994282803124656E-6</v>
      </c>
      <c r="AC30" s="285">
        <f t="shared" ca="1" si="36"/>
        <v>4.7994282803124656E-6</v>
      </c>
      <c r="AD30" s="285">
        <f t="shared" ca="1" si="37"/>
        <v>1.9197713121249866E-5</v>
      </c>
      <c r="AE30" s="286">
        <f t="shared" ca="1" si="38"/>
        <v>7.0912291973282006E-5</v>
      </c>
      <c r="AF30" s="284" cm="1">
        <f t="array" aca="1" ref="AF30" ca="1">INDEX(NREL_ETDF_Index,MATCH($D30,NREL_Building_List,0),MATCH(_xlfn.XLOOKUP(AF$10,Lookups_End_Use_CBECS,Lookups_End_Use_NREL,,0)&amp;IF($AF$9="Winter","w","s"),NREL_End_Use_ETDF,0))</f>
        <v>0</v>
      </c>
      <c r="AG30" s="268" cm="1">
        <f t="array" aca="1" ref="AG30" ca="1">INDEX(NREL_ETDF_Index,MATCH($D30,NREL_Building_List,0),MATCH(_xlfn.XLOOKUP(AG$10,Lookups_End_Use_CBECS,Lookups_End_Use_NREL,,0)&amp;IF($AF$9="Winter","w","s"),NREL_End_Use_ETDF,0))</f>
        <v>4.8759999999999998E-4</v>
      </c>
      <c r="AH30" s="268" cm="1">
        <f t="array" aca="1" ref="AH30" ca="1">INDEX(NREL_ETDF_Index,MATCH($D30,NREL_Building_List,0),MATCH(_xlfn.XLOOKUP(AH$10,Lookups_End_Use_CBECS,Lookups_End_Use_NREL,,0)&amp;IF($AF$9="Winter","w","s"),NREL_End_Use_ETDF,0))</f>
        <v>1.6330000000000001E-4</v>
      </c>
      <c r="AI30" s="268" cm="1">
        <f t="array" aca="1" ref="AI30" ca="1">INDEX(NREL_ETDF_Index,MATCH($D30,NREL_Building_List,0),MATCH(_xlfn.XLOOKUP(AI$10,Lookups_End_Use_CBECS,Lookups_End_Use_NREL,,0)&amp;IF($AF$9="Winter","w","s"),NREL_End_Use_ETDF,0))</f>
        <v>0</v>
      </c>
      <c r="AJ30" s="268" cm="1">
        <f t="array" aca="1" ref="AJ30" ca="1">INDEX(NREL_ETDF_Index,MATCH($D30,NREL_Building_List,0),MATCH(_xlfn.XLOOKUP(AJ$10,Lookups_End_Use_CBECS,Lookups_End_Use_NREL,,0)&amp;IF($AF$9="Winter","w","s"),NREL_End_Use_ETDF,0))</f>
        <v>1.6880000000000001E-4</v>
      </c>
      <c r="AK30" s="285">
        <f t="shared" ca="1" si="39"/>
        <v>7.9190566625155669E-5</v>
      </c>
      <c r="AL30" s="268" cm="1">
        <f t="array" aca="1" ref="AL30" ca="1">INDEX(NREL_ETDF_Index,MATCH($D30,NREL_Building_List,0),MATCH(_xlfn.XLOOKUP(AL$10,Lookups_End_Use_CBECS,Lookups_End_Use_NREL,,0)&amp;IF($AF$9="Winter","w","s"),NREL_End_Use_ETDF,0))</f>
        <v>0</v>
      </c>
      <c r="AM30" s="285">
        <f t="shared" ca="1" si="40"/>
        <v>7.9190566625155669E-5</v>
      </c>
      <c r="AN30" s="285">
        <f t="shared" ca="1" si="41"/>
        <v>4.7994282803124656E-6</v>
      </c>
      <c r="AO30" s="285">
        <f t="shared" ca="1" si="42"/>
        <v>1.9197713121249866E-5</v>
      </c>
      <c r="AP30" s="286">
        <f t="shared" ca="1" si="43"/>
        <v>7.0912291973282006E-5</v>
      </c>
      <c r="AR30" s="270">
        <f t="shared" ca="1" si="46"/>
        <v>3.7</v>
      </c>
      <c r="AS30" s="270">
        <f t="shared" ca="1" si="46"/>
        <v>2.1</v>
      </c>
      <c r="AT30" s="270">
        <f t="shared" ca="1" si="46"/>
        <v>3.8</v>
      </c>
      <c r="AU30" s="270">
        <f t="shared" ca="1" si="46"/>
        <v>0.2</v>
      </c>
      <c r="AV30" s="270">
        <f t="shared" ca="1" si="46"/>
        <v>3.8</v>
      </c>
      <c r="AW30" s="270">
        <f t="shared" ca="1" si="46"/>
        <v>3.3</v>
      </c>
      <c r="AX30" s="270">
        <f t="shared" ca="1" si="46"/>
        <v>25.5</v>
      </c>
      <c r="AY30" s="270">
        <f t="shared" ca="1" si="46"/>
        <v>0.2</v>
      </c>
      <c r="AZ30" s="270">
        <f t="shared" ca="1" si="46"/>
        <v>0.80000000000000016</v>
      </c>
      <c r="BA30" s="270">
        <f t="shared" ca="1" si="46"/>
        <v>2.9550308008213548</v>
      </c>
      <c r="BC30" s="283">
        <v>13</v>
      </c>
      <c r="BD30" s="290">
        <f t="shared" ca="1" si="44"/>
        <v>4.5232500000000006E-4</v>
      </c>
      <c r="BE30" s="269">
        <f t="shared" ca="1" si="44"/>
        <v>5.4941860465116276E-6</v>
      </c>
      <c r="BF30" s="269">
        <f t="shared" ca="1" si="44"/>
        <v>1.6842142857142854E-4</v>
      </c>
      <c r="BG30" s="269">
        <f t="shared" ca="1" si="44"/>
        <v>0</v>
      </c>
      <c r="BH30" s="269">
        <f t="shared" ca="1" si="44"/>
        <v>1.7644090909090909E-4</v>
      </c>
      <c r="BI30" s="269">
        <f t="shared" ca="1" si="44"/>
        <v>1.3079882924498247E-4</v>
      </c>
      <c r="BJ30" s="269">
        <f t="shared" ca="1" si="44"/>
        <v>0</v>
      </c>
      <c r="BK30" s="269">
        <f t="shared" ca="1" si="44"/>
        <v>7.1991424204686993E-6</v>
      </c>
      <c r="BL30" s="269">
        <f t="shared" ca="1" si="44"/>
        <v>7.6790852484999457E-6</v>
      </c>
      <c r="BM30" s="291">
        <f t="shared" ca="1" si="44"/>
        <v>1.9004904005496789E-5</v>
      </c>
      <c r="BN30" s="290">
        <f t="shared" ca="1" si="45"/>
        <v>0</v>
      </c>
      <c r="BO30" s="269">
        <f t="shared" ca="1" si="25"/>
        <v>3.5719534883720927E-4</v>
      </c>
      <c r="BP30" s="269">
        <f t="shared" ca="1" si="26"/>
        <v>2.2162142857142856E-4</v>
      </c>
      <c r="BQ30" s="269">
        <f t="shared" ca="1" si="27"/>
        <v>0</v>
      </c>
      <c r="BR30" s="269">
        <f t="shared" ca="1" si="28"/>
        <v>2.1867272727272725E-4</v>
      </c>
      <c r="BS30" s="269">
        <f t="shared" ca="1" si="29"/>
        <v>1.8232246734628863E-4</v>
      </c>
      <c r="BT30" s="269">
        <f t="shared" ca="1" si="30"/>
        <v>0</v>
      </c>
      <c r="BU30" s="269">
        <f t="shared" ca="1" si="31"/>
        <v>1.1878584993773351E-4</v>
      </c>
      <c r="BV30" s="269">
        <f t="shared" ca="1" si="32"/>
        <v>7.6790852484999457E-6</v>
      </c>
      <c r="BW30" s="291">
        <f t="shared" ca="1" si="33"/>
        <v>1.9004904005496789E-5</v>
      </c>
    </row>
    <row r="31" spans="2:75" x14ac:dyDescent="0.25">
      <c r="B31" s="267" t="str">
        <f ca="1"/>
        <v>Retail, Enclosed and Strip Mall</v>
      </c>
      <c r="C31" s="267" t="str" cm="1">
        <f t="array" aca="1" ref="C31" ca="1">_xlfn.XLOOKUP(B31,Lookups_Building_List_Workbook,Lookups_Building_List_CBECS,,0)</f>
        <v xml:space="preserve">Enclosed and strip malls </v>
      </c>
      <c r="D31" s="267" t="str" cm="1">
        <f t="array" aca="1" ref="D31" ca="1">_xlfn.XLOOKUP(B31,Lookups_Building_List_Workbook,Lookups_Building_List_NREL,,0)</f>
        <v>RetailStripmall</v>
      </c>
      <c r="E31" s="270">
        <f t="shared" ca="1" si="11"/>
        <v>0.4</v>
      </c>
      <c r="F31" s="270">
        <f t="shared" ca="1" si="11"/>
        <v>0.3</v>
      </c>
      <c r="G31" s="270">
        <f t="shared" ca="1" si="11"/>
        <v>0.8</v>
      </c>
      <c r="H31" s="270">
        <f t="shared" ca="1" si="11"/>
        <v>3.3</v>
      </c>
      <c r="I31" s="271">
        <f t="shared" ca="1" si="12"/>
        <v>4.8</v>
      </c>
      <c r="J31" s="268">
        <f t="shared" ca="1" si="13"/>
        <v>1.203E-4</v>
      </c>
      <c r="K31" s="269">
        <f t="shared" ca="1" si="14"/>
        <v>1.0025E-5</v>
      </c>
      <c r="L31" s="269">
        <f t="shared" ca="1" si="15"/>
        <v>7.518749999999999E-6</v>
      </c>
      <c r="M31" s="269">
        <f t="shared" ca="1" si="16"/>
        <v>2.0049999999999999E-5</v>
      </c>
      <c r="N31" s="269">
        <f t="shared" ca="1" si="17"/>
        <v>8.2706249999999994E-5</v>
      </c>
      <c r="O31" s="268">
        <f t="shared" ca="1" si="18"/>
        <v>1.5320000000000001E-4</v>
      </c>
      <c r="P31" s="269">
        <f t="shared" ca="1" si="19"/>
        <v>1.2766666666666669E-5</v>
      </c>
      <c r="Q31" s="269">
        <f t="shared" ca="1" si="20"/>
        <v>9.5750000000000007E-6</v>
      </c>
      <c r="R31" s="269">
        <f t="shared" ca="1" si="21"/>
        <v>2.5533333333333338E-5</v>
      </c>
      <c r="S31" s="269">
        <f t="shared" ca="1" si="22"/>
        <v>1.0532500000000001E-4</v>
      </c>
      <c r="U31" s="284" cm="1">
        <f t="array" aca="1" ref="U31" ca="1">INDEX(NREL_ETDF_Index,MATCH($D31,NREL_Building_List,0),MATCH(_xlfn.XLOOKUP(U$10,Lookups_End_Use_CBECS,Lookups_End_Use_NREL,,0)&amp;IF($U$9="Winter","w","s"),NREL_End_Use_ETDF,0))</f>
        <v>3.5070000000000001E-4</v>
      </c>
      <c r="V31" s="268" cm="1">
        <f t="array" aca="1" ref="V31" ca="1">INDEX(NREL_ETDF_Index,MATCH($D31,NREL_Building_List,0),MATCH(_xlfn.XLOOKUP(V$10,Lookups_End_Use_CBECS,Lookups_End_Use_NREL,,0)&amp;IF($U$9="Winter","w","s"),NREL_End_Use_ETDF,0))</f>
        <v>1.4600000000000001E-5</v>
      </c>
      <c r="W31" s="268" cm="1">
        <f t="array" aca="1" ref="W31" ca="1">INDEX(NREL_ETDF_Index,MATCH($D31,NREL_Building_List,0),MATCH(_xlfn.XLOOKUP(W$10,Lookups_End_Use_CBECS,Lookups_End_Use_NREL,,0)&amp;IF($U$9="Winter","w","s"),NREL_End_Use_ETDF,0))</f>
        <v>1.143E-4</v>
      </c>
      <c r="X31" s="268" cm="1">
        <f t="array" aca="1" ref="X31" ca="1">INDEX(NREL_ETDF_Index,MATCH($D31,NREL_Building_List,0),MATCH(_xlfn.XLOOKUP(X$10,Lookups_End_Use_CBECS,Lookups_End_Use_NREL,,0)&amp;IF($U$9="Winter","w","s"),NREL_End_Use_ETDF,0))</f>
        <v>1.515E-4</v>
      </c>
      <c r="Y31" s="268" cm="1">
        <f t="array" aca="1" ref="Y31" ca="1">INDEX(NREL_ETDF_Index,MATCH($D31,NREL_Building_List,0),MATCH(_xlfn.XLOOKUP(Y$10,Lookups_End_Use_CBECS,Lookups_End_Use_NREL,,0)&amp;IF($U$9="Winter","w","s"),NREL_End_Use_ETDF,0))</f>
        <v>1.3990000000000001E-4</v>
      </c>
      <c r="Z31" s="285">
        <f t="shared" ca="1" si="34"/>
        <v>1.0025E-5</v>
      </c>
      <c r="AA31" s="268" cm="1">
        <f t="array" aca="1" ref="AA31" ca="1">INDEX(NREL_ETDF_Index,MATCH($D31,NREL_Building_List,0),MATCH(_xlfn.XLOOKUP(AA$10,Lookups_End_Use_CBECS,Lookups_End_Use_NREL,,0)&amp;IF($U$9="Winter","w","s"),NREL_End_Use_ETDF,0))</f>
        <v>0</v>
      </c>
      <c r="AB31" s="285">
        <f t="shared" ca="1" si="35"/>
        <v>9.5750000000000007E-6</v>
      </c>
      <c r="AC31" s="285">
        <f t="shared" ca="1" si="36"/>
        <v>9.5750000000000007E-6</v>
      </c>
      <c r="AD31" s="285">
        <f t="shared" ca="1" si="37"/>
        <v>2.5533333333333338E-5</v>
      </c>
      <c r="AE31" s="286">
        <f t="shared" ca="1" si="38"/>
        <v>1.0532500000000001E-4</v>
      </c>
      <c r="AF31" s="284" cm="1">
        <f t="array" aca="1" ref="AF31" ca="1">INDEX(NREL_ETDF_Index,MATCH($D31,NREL_Building_List,0),MATCH(_xlfn.XLOOKUP(AF$10,Lookups_End_Use_CBECS,Lookups_End_Use_NREL,,0)&amp;IF($AF$9="Winter","w","s"),NREL_End_Use_ETDF,0))</f>
        <v>1.5E-6</v>
      </c>
      <c r="AG31" s="268" cm="1">
        <f t="array" aca="1" ref="AG31" ca="1">INDEX(NREL_ETDF_Index,MATCH($D31,NREL_Building_List,0),MATCH(_xlfn.XLOOKUP(AG$10,Lookups_End_Use_CBECS,Lookups_End_Use_NREL,,0)&amp;IF($AF$9="Winter","w","s"),NREL_End_Use_ETDF,0))</f>
        <v>4.6250000000000002E-4</v>
      </c>
      <c r="AH31" s="268" cm="1">
        <f t="array" aca="1" ref="AH31" ca="1">INDEX(NREL_ETDF_Index,MATCH($D31,NREL_Building_List,0),MATCH(_xlfn.XLOOKUP(AH$10,Lookups_End_Use_CBECS,Lookups_End_Use_NREL,,0)&amp;IF($AF$9="Winter","w","s"),NREL_End_Use_ETDF,0))</f>
        <v>1.853E-4</v>
      </c>
      <c r="AI31" s="268" cm="1">
        <f t="array" aca="1" ref="AI31" ca="1">INDEX(NREL_ETDF_Index,MATCH($D31,NREL_Building_List,0),MATCH(_xlfn.XLOOKUP(AI$10,Lookups_End_Use_CBECS,Lookups_End_Use_NREL,,0)&amp;IF($AF$9="Winter","w","s"),NREL_End_Use_ETDF,0))</f>
        <v>1.6540000000000001E-4</v>
      </c>
      <c r="AJ31" s="268" cm="1">
        <f t="array" aca="1" ref="AJ31" ca="1">INDEX(NREL_ETDF_Index,MATCH($D31,NREL_Building_List,0),MATCH(_xlfn.XLOOKUP(AJ$10,Lookups_End_Use_CBECS,Lookups_End_Use_NREL,,0)&amp;IF($AF$9="Winter","w","s"),NREL_End_Use_ETDF,0))</f>
        <v>1.7420000000000001E-4</v>
      </c>
      <c r="AK31" s="285">
        <f t="shared" ca="1" si="39"/>
        <v>1.2766666666666669E-5</v>
      </c>
      <c r="AL31" s="268" cm="1">
        <f t="array" aca="1" ref="AL31" ca="1">INDEX(NREL_ETDF_Index,MATCH($D31,NREL_Building_List,0),MATCH(_xlfn.XLOOKUP(AL$10,Lookups_End_Use_CBECS,Lookups_End_Use_NREL,,0)&amp;IF($AF$9="Winter","w","s"),NREL_End_Use_ETDF,0))</f>
        <v>0</v>
      </c>
      <c r="AM31" s="285">
        <f t="shared" ca="1" si="40"/>
        <v>1.2766666666666669E-5</v>
      </c>
      <c r="AN31" s="285">
        <f t="shared" ca="1" si="41"/>
        <v>9.5750000000000007E-6</v>
      </c>
      <c r="AO31" s="285">
        <f t="shared" ca="1" si="42"/>
        <v>2.5533333333333338E-5</v>
      </c>
      <c r="AP31" s="286">
        <f t="shared" ca="1" si="43"/>
        <v>1.0532500000000001E-4</v>
      </c>
      <c r="AR31" s="270">
        <f t="shared" ca="1" si="46"/>
        <v>1.8</v>
      </c>
      <c r="AS31" s="270">
        <f t="shared" ca="1" si="46"/>
        <v>2.1</v>
      </c>
      <c r="AT31" s="270">
        <f t="shared" ca="1" si="46"/>
        <v>2.9</v>
      </c>
      <c r="AU31" s="270">
        <f t="shared" ca="1" si="46"/>
        <v>1.3</v>
      </c>
      <c r="AV31" s="270">
        <f t="shared" ca="1" si="46"/>
        <v>4.0999999999999996</v>
      </c>
      <c r="AW31" s="270">
        <f t="shared" ca="1" si="46"/>
        <v>0.4</v>
      </c>
      <c r="AX31" s="270">
        <f t="shared" ca="1" si="46"/>
        <v>3.1</v>
      </c>
      <c r="AY31" s="270">
        <f t="shared" ca="1" si="46"/>
        <v>0.3</v>
      </c>
      <c r="AZ31" s="270">
        <f t="shared" ca="1" si="46"/>
        <v>0.8</v>
      </c>
      <c r="BA31" s="270">
        <f t="shared" ca="1" si="46"/>
        <v>3.3</v>
      </c>
      <c r="BC31" s="283">
        <v>15</v>
      </c>
      <c r="BD31" s="290">
        <f t="shared" ca="1" si="44"/>
        <v>3.5070000000000001E-4</v>
      </c>
      <c r="BE31" s="269">
        <f t="shared" ca="1" si="44"/>
        <v>1.4599999999999999E-5</v>
      </c>
      <c r="BF31" s="269">
        <f t="shared" ca="1" si="44"/>
        <v>1.143E-4</v>
      </c>
      <c r="BG31" s="269">
        <f t="shared" ca="1" si="44"/>
        <v>1.515E-4</v>
      </c>
      <c r="BH31" s="269">
        <f t="shared" ca="1" si="44"/>
        <v>1.3990000000000001E-4</v>
      </c>
      <c r="BI31" s="269">
        <f t="shared" ca="1" si="44"/>
        <v>1.0024999999999998E-5</v>
      </c>
      <c r="BJ31" s="269">
        <f t="shared" ca="1" si="44"/>
        <v>0</v>
      </c>
      <c r="BK31" s="269">
        <f t="shared" ca="1" si="44"/>
        <v>9.5750000000000007E-6</v>
      </c>
      <c r="BL31" s="269">
        <f t="shared" ca="1" si="44"/>
        <v>9.5750000000000007E-6</v>
      </c>
      <c r="BM31" s="291">
        <f t="shared" ca="1" si="44"/>
        <v>2.5533333333333338E-5</v>
      </c>
      <c r="BN31" s="290">
        <f t="shared" ca="1" si="45"/>
        <v>1.5E-6</v>
      </c>
      <c r="BO31" s="269">
        <f t="shared" ca="1" si="25"/>
        <v>4.6250000000000002E-4</v>
      </c>
      <c r="BP31" s="269">
        <f t="shared" ca="1" si="26"/>
        <v>1.853E-4</v>
      </c>
      <c r="BQ31" s="269">
        <f t="shared" ca="1" si="27"/>
        <v>1.6540000000000001E-4</v>
      </c>
      <c r="BR31" s="269">
        <f t="shared" ca="1" si="28"/>
        <v>1.7420000000000001E-4</v>
      </c>
      <c r="BS31" s="269">
        <f t="shared" ca="1" si="29"/>
        <v>1.2766666666666669E-5</v>
      </c>
      <c r="BT31" s="269">
        <f t="shared" ca="1" si="30"/>
        <v>0</v>
      </c>
      <c r="BU31" s="269">
        <f t="shared" ca="1" si="31"/>
        <v>1.2766666666666669E-5</v>
      </c>
      <c r="BV31" s="269">
        <f t="shared" ca="1" si="32"/>
        <v>9.5750000000000007E-6</v>
      </c>
      <c r="BW31" s="291">
        <f t="shared" ca="1" si="33"/>
        <v>2.5533333333333338E-5</v>
      </c>
    </row>
    <row r="32" spans="2:75" x14ac:dyDescent="0.25">
      <c r="B32" s="267" t="str">
        <f ca="1"/>
        <v>Retail, Other than Mall</v>
      </c>
      <c r="C32" s="267" t="str" cm="1">
        <f t="array" aca="1" ref="C32" ca="1">_xlfn.XLOOKUP(B32,Lookups_Building_List_Workbook,Lookups_Building_List_CBECS,,0)</f>
        <v xml:space="preserve">Retail (other than mall) </v>
      </c>
      <c r="D32" s="267" t="str" cm="1">
        <f t="array" aca="1" ref="D32" ca="1">_xlfn.XLOOKUP(B32,Lookups_Building_List_Workbook,Lookups_Building_List_NREL,,0)</f>
        <v>RetailStandalone</v>
      </c>
      <c r="E32" s="270">
        <f t="shared" ca="1" si="11"/>
        <v>0.5</v>
      </c>
      <c r="F32" s="270">
        <f t="shared" ca="1" si="11"/>
        <v>0.1</v>
      </c>
      <c r="G32" s="270">
        <f t="shared" ca="1" si="11"/>
        <v>0.4</v>
      </c>
      <c r="H32" s="270">
        <f t="shared" ca="1" si="11"/>
        <v>2.9</v>
      </c>
      <c r="I32" s="271">
        <f t="shared" ca="1" si="12"/>
        <v>3.9</v>
      </c>
      <c r="J32" s="268">
        <f t="shared" ca="1" si="13"/>
        <v>1.249E-4</v>
      </c>
      <c r="K32" s="269">
        <f t="shared" ca="1" si="14"/>
        <v>1.6012820512820514E-5</v>
      </c>
      <c r="L32" s="269">
        <f t="shared" ca="1" si="15"/>
        <v>3.2025641025641028E-6</v>
      </c>
      <c r="M32" s="269">
        <f t="shared" ca="1" si="16"/>
        <v>1.2810256410256411E-5</v>
      </c>
      <c r="N32" s="269">
        <f t="shared" ca="1" si="17"/>
        <v>9.2874358974358965E-5</v>
      </c>
      <c r="O32" s="268">
        <f t="shared" ca="1" si="18"/>
        <v>1.741E-4</v>
      </c>
      <c r="P32" s="269">
        <f t="shared" ca="1" si="19"/>
        <v>2.232051282051282E-5</v>
      </c>
      <c r="Q32" s="269">
        <f t="shared" ca="1" si="20"/>
        <v>4.4641025641025644E-6</v>
      </c>
      <c r="R32" s="269">
        <f t="shared" ca="1" si="21"/>
        <v>1.7856410256410258E-5</v>
      </c>
      <c r="S32" s="269">
        <f t="shared" ca="1" si="22"/>
        <v>1.2945897435897436E-4</v>
      </c>
      <c r="U32" s="284" cm="1">
        <f t="array" aca="1" ref="U32" ca="1">INDEX(NREL_ETDF_Index,MATCH($D32,NREL_Building_List,0),MATCH(_xlfn.XLOOKUP(U$10,Lookups_End_Use_CBECS,Lookups_End_Use_NREL,,0)&amp;IF($U$9="Winter","w","s"),NREL_End_Use_ETDF,0))</f>
        <v>3.2600000000000001E-4</v>
      </c>
      <c r="V32" s="268" cm="1">
        <f t="array" aca="1" ref="V32" ca="1">INDEX(NREL_ETDF_Index,MATCH($D32,NREL_Building_List,0),MATCH(_xlfn.XLOOKUP(V$10,Lookups_End_Use_CBECS,Lookups_End_Use_NREL,,0)&amp;IF($U$9="Winter","w","s"),NREL_End_Use_ETDF,0))</f>
        <v>7.5000000000000002E-6</v>
      </c>
      <c r="W32" s="268" cm="1">
        <f t="array" aca="1" ref="W32" ca="1">INDEX(NREL_ETDF_Index,MATCH($D32,NREL_Building_List,0),MATCH(_xlfn.XLOOKUP(W$10,Lookups_End_Use_CBECS,Lookups_End_Use_NREL,,0)&amp;IF($U$9="Winter","w","s"),NREL_End_Use_ETDF,0))</f>
        <v>1.2410000000000001E-4</v>
      </c>
      <c r="X32" s="268" cm="1">
        <f t="array" aca="1" ref="X32" ca="1">INDEX(NREL_ETDF_Index,MATCH($D32,NREL_Building_List,0),MATCH(_xlfn.XLOOKUP(X$10,Lookups_End_Use_CBECS,Lookups_End_Use_NREL,,0)&amp;IF($U$9="Winter","w","s"),NREL_End_Use_ETDF,0))</f>
        <v>0</v>
      </c>
      <c r="Y32" s="268" cm="1">
        <f t="array" aca="1" ref="Y32" ca="1">INDEX(NREL_ETDF_Index,MATCH($D32,NREL_Building_List,0),MATCH(_xlfn.XLOOKUP(Y$10,Lookups_End_Use_CBECS,Lookups_End_Use_NREL,,0)&amp;IF($U$9="Winter","w","s"),NREL_End_Use_ETDF,0))</f>
        <v>1.362E-4</v>
      </c>
      <c r="Z32" s="285">
        <f t="shared" ca="1" si="34"/>
        <v>1.6012820512820514E-5</v>
      </c>
      <c r="AA32" s="268" cm="1">
        <f t="array" aca="1" ref="AA32" ca="1">INDEX(NREL_ETDF_Index,MATCH($D32,NREL_Building_List,0),MATCH(_xlfn.XLOOKUP(AA$10,Lookups_End_Use_CBECS,Lookups_End_Use_NREL,,0)&amp;IF($U$9="Winter","w","s"),NREL_End_Use_ETDF,0))</f>
        <v>0</v>
      </c>
      <c r="AB32" s="285">
        <f t="shared" ca="1" si="35"/>
        <v>4.4641025641025644E-6</v>
      </c>
      <c r="AC32" s="285">
        <f t="shared" ca="1" si="36"/>
        <v>4.4641025641025644E-6</v>
      </c>
      <c r="AD32" s="285">
        <f t="shared" ca="1" si="37"/>
        <v>1.7856410256410258E-5</v>
      </c>
      <c r="AE32" s="286">
        <f t="shared" ca="1" si="38"/>
        <v>1.2945897435897436E-4</v>
      </c>
      <c r="AF32" s="284" cm="1">
        <f t="array" aca="1" ref="AF32" ca="1">INDEX(NREL_ETDF_Index,MATCH($D32,NREL_Building_List,0),MATCH(_xlfn.XLOOKUP(AF$10,Lookups_End_Use_CBECS,Lookups_End_Use_NREL,,0)&amp;IF($AF$9="Winter","w","s"),NREL_End_Use_ETDF,0))</f>
        <v>0</v>
      </c>
      <c r="AG32" s="268" cm="1">
        <f t="array" aca="1" ref="AG32" ca="1">INDEX(NREL_ETDF_Index,MATCH($D32,NREL_Building_List,0),MATCH(_xlfn.XLOOKUP(AG$10,Lookups_End_Use_CBECS,Lookups_End_Use_NREL,,0)&amp;IF($AF$9="Winter","w","s"),NREL_End_Use_ETDF,0))</f>
        <v>4.8759999999999998E-4</v>
      </c>
      <c r="AH32" s="268" cm="1">
        <f t="array" aca="1" ref="AH32" ca="1">INDEX(NREL_ETDF_Index,MATCH($D32,NREL_Building_List,0),MATCH(_xlfn.XLOOKUP(AH$10,Lookups_End_Use_CBECS,Lookups_End_Use_NREL,,0)&amp;IF($AF$9="Winter","w","s"),NREL_End_Use_ETDF,0))</f>
        <v>1.6330000000000001E-4</v>
      </c>
      <c r="AI32" s="268" cm="1">
        <f t="array" aca="1" ref="AI32" ca="1">INDEX(NREL_ETDF_Index,MATCH($D32,NREL_Building_List,0),MATCH(_xlfn.XLOOKUP(AI$10,Lookups_End_Use_CBECS,Lookups_End_Use_NREL,,0)&amp;IF($AF$9="Winter","w","s"),NREL_End_Use_ETDF,0))</f>
        <v>0</v>
      </c>
      <c r="AJ32" s="268" cm="1">
        <f t="array" aca="1" ref="AJ32" ca="1">INDEX(NREL_ETDF_Index,MATCH($D32,NREL_Building_List,0),MATCH(_xlfn.XLOOKUP(AJ$10,Lookups_End_Use_CBECS,Lookups_End_Use_NREL,,0)&amp;IF($AF$9="Winter","w","s"),NREL_End_Use_ETDF,0))</f>
        <v>1.6880000000000001E-4</v>
      </c>
      <c r="AK32" s="285">
        <f t="shared" ca="1" si="39"/>
        <v>2.232051282051282E-5</v>
      </c>
      <c r="AL32" s="268" cm="1">
        <f t="array" aca="1" ref="AL32" ca="1">INDEX(NREL_ETDF_Index,MATCH($D32,NREL_Building_List,0),MATCH(_xlfn.XLOOKUP(AL$10,Lookups_End_Use_CBECS,Lookups_End_Use_NREL,,0)&amp;IF($AF$9="Winter","w","s"),NREL_End_Use_ETDF,0))</f>
        <v>0</v>
      </c>
      <c r="AM32" s="285">
        <f t="shared" ca="1" si="40"/>
        <v>2.232051282051282E-5</v>
      </c>
      <c r="AN32" s="285">
        <f t="shared" ca="1" si="41"/>
        <v>4.4641025641025644E-6</v>
      </c>
      <c r="AO32" s="285">
        <f t="shared" ca="1" si="42"/>
        <v>1.7856410256410258E-5</v>
      </c>
      <c r="AP32" s="286">
        <f t="shared" ca="1" si="43"/>
        <v>1.2945897435897436E-4</v>
      </c>
      <c r="AR32" s="270">
        <f t="shared" ca="1" si="46"/>
        <v>1.5</v>
      </c>
      <c r="AS32" s="270">
        <f t="shared" ca="1" si="46"/>
        <v>1.9</v>
      </c>
      <c r="AT32" s="270">
        <f t="shared" ca="1" si="46"/>
        <v>3.4</v>
      </c>
      <c r="AU32" s="270">
        <f t="shared" ca="1" si="46"/>
        <v>0.1</v>
      </c>
      <c r="AV32" s="270">
        <f t="shared" ca="1" si="46"/>
        <v>3.5</v>
      </c>
      <c r="AW32" s="270">
        <f t="shared" ca="1" si="46"/>
        <v>0.5</v>
      </c>
      <c r="AX32" s="270">
        <f t="shared" ca="1" si="46"/>
        <v>1.1000000000000001</v>
      </c>
      <c r="AY32" s="270">
        <f t="shared" ca="1" si="46"/>
        <v>0.1</v>
      </c>
      <c r="AZ32" s="270">
        <f t="shared" ca="1" si="46"/>
        <v>0.4</v>
      </c>
      <c r="BA32" s="270">
        <f t="shared" ca="1" si="46"/>
        <v>2.9</v>
      </c>
      <c r="BC32" s="283">
        <v>13</v>
      </c>
      <c r="BD32" s="290">
        <f t="shared" ca="1" si="44"/>
        <v>1.8337500000000003E-4</v>
      </c>
      <c r="BE32" s="269">
        <f t="shared" ca="1" si="44"/>
        <v>4.9709302325581393E-6</v>
      </c>
      <c r="BF32" s="269">
        <f t="shared" ca="1" si="44"/>
        <v>1.5069285714285711E-4</v>
      </c>
      <c r="BG32" s="269">
        <f t="shared" ca="1" si="44"/>
        <v>0</v>
      </c>
      <c r="BH32" s="269">
        <f t="shared" ca="1" si="44"/>
        <v>1.6251136363636365E-4</v>
      </c>
      <c r="BI32" s="269">
        <f t="shared" ca="1" si="44"/>
        <v>5.585867620751342E-6</v>
      </c>
      <c r="BJ32" s="269">
        <f t="shared" ca="1" si="44"/>
        <v>0</v>
      </c>
      <c r="BK32" s="269">
        <f t="shared" ca="1" si="44"/>
        <v>3.3480769230769233E-6</v>
      </c>
      <c r="BL32" s="269">
        <f t="shared" ca="1" si="44"/>
        <v>3.5712820512820516E-6</v>
      </c>
      <c r="BM32" s="291">
        <f t="shared" ca="1" si="44"/>
        <v>1.7347876594296078E-5</v>
      </c>
      <c r="BN32" s="290">
        <f t="shared" ca="1" si="45"/>
        <v>0</v>
      </c>
      <c r="BO32" s="269">
        <f t="shared" ca="1" si="25"/>
        <v>3.231767441860465E-4</v>
      </c>
      <c r="BP32" s="269">
        <f t="shared" ca="1" si="26"/>
        <v>1.9829285714285713E-4</v>
      </c>
      <c r="BQ32" s="269">
        <f t="shared" ca="1" si="27"/>
        <v>0</v>
      </c>
      <c r="BR32" s="269">
        <f t="shared" ca="1" si="28"/>
        <v>2.0140909090909091E-4</v>
      </c>
      <c r="BS32" s="269">
        <f t="shared" ca="1" si="29"/>
        <v>7.7862254025044713E-6</v>
      </c>
      <c r="BT32" s="269">
        <f t="shared" ca="1" si="30"/>
        <v>0</v>
      </c>
      <c r="BU32" s="269">
        <f t="shared" ca="1" si="31"/>
        <v>1.6740384615384618E-5</v>
      </c>
      <c r="BV32" s="269">
        <f t="shared" ca="1" si="32"/>
        <v>3.5712820512820516E-6</v>
      </c>
      <c r="BW32" s="291">
        <f t="shared" ca="1" si="33"/>
        <v>1.7347876594296078E-5</v>
      </c>
    </row>
    <row r="33" spans="2:75" x14ac:dyDescent="0.25">
      <c r="B33" s="267" t="str">
        <f ca="1"/>
        <v xml:space="preserve">Service </v>
      </c>
      <c r="C33" s="267" t="str" cm="1">
        <f t="array" aca="1" ref="C33" ca="1">_xlfn.XLOOKUP(B33,Lookups_Building_List_Workbook,Lookups_Building_List_CBECS,,0)</f>
        <v xml:space="preserve">Service </v>
      </c>
      <c r="D33" s="267" t="str" cm="1">
        <f t="array" aca="1" ref="D33" ca="1">_xlfn.XLOOKUP(B33,Lookups_Building_List_Workbook,Lookups_Building_List_NREL,,0)</f>
        <v>MediumOffice</v>
      </c>
      <c r="E33" s="270">
        <f t="shared" ca="1" si="11"/>
        <v>0.3</v>
      </c>
      <c r="F33" s="270">
        <f t="shared" ca="1" si="11"/>
        <v>0.1</v>
      </c>
      <c r="G33" s="270">
        <f t="shared" ca="1" si="11"/>
        <v>0.2</v>
      </c>
      <c r="H33" s="270">
        <f t="shared" ca="1" si="11"/>
        <v>2</v>
      </c>
      <c r="I33" s="271">
        <f t="shared" ca="1" si="12"/>
        <v>2.6</v>
      </c>
      <c r="J33" s="268">
        <f t="shared" ca="1" si="13"/>
        <v>1.2459999999999999E-4</v>
      </c>
      <c r="K33" s="269">
        <f t="shared" ca="1" si="14"/>
        <v>1.4376923076923076E-5</v>
      </c>
      <c r="L33" s="269">
        <f t="shared" ca="1" si="15"/>
        <v>4.7923076923076917E-6</v>
      </c>
      <c r="M33" s="269">
        <f t="shared" ca="1" si="16"/>
        <v>9.5846153846153834E-6</v>
      </c>
      <c r="N33" s="269">
        <f t="shared" ca="1" si="17"/>
        <v>9.5846153846153838E-5</v>
      </c>
      <c r="O33" s="268">
        <f t="shared" ca="1" si="18"/>
        <v>1.164E-4</v>
      </c>
      <c r="P33" s="269">
        <f t="shared" ca="1" si="19"/>
        <v>1.3430769230769229E-5</v>
      </c>
      <c r="Q33" s="269">
        <f t="shared" ca="1" si="20"/>
        <v>4.4769230769230767E-6</v>
      </c>
      <c r="R33" s="269">
        <f t="shared" ca="1" si="21"/>
        <v>8.9538461538461535E-6</v>
      </c>
      <c r="S33" s="269">
        <f t="shared" ca="1" si="22"/>
        <v>8.9538461538461538E-5</v>
      </c>
      <c r="U33" s="284" cm="1">
        <f t="array" aca="1" ref="U33" ca="1">INDEX(NREL_ETDF_Index,MATCH($D33,NREL_Building_List,0),MATCH(_xlfn.XLOOKUP(U$10,Lookups_End_Use_CBECS,Lookups_End_Use_NREL,,0)&amp;IF($U$9="Winter","w","s"),NREL_End_Use_ETDF,0))</f>
        <v>3.5940000000000001E-4</v>
      </c>
      <c r="V33" s="268" cm="1">
        <f t="array" aca="1" ref="V33" ca="1">INDEX(NREL_ETDF_Index,MATCH($D33,NREL_Building_List,0),MATCH(_xlfn.XLOOKUP(V$10,Lookups_End_Use_CBECS,Lookups_End_Use_NREL,,0)&amp;IF($U$9="Winter","w","s"),NREL_End_Use_ETDF,0))</f>
        <v>2.0299999999999999E-5</v>
      </c>
      <c r="W33" s="268" cm="1">
        <f t="array" aca="1" ref="W33" ca="1">INDEX(NREL_ETDF_Index,MATCH($D33,NREL_Building_List,0),MATCH(_xlfn.XLOOKUP(W$10,Lookups_End_Use_CBECS,Lookups_End_Use_NREL,,0)&amp;IF($U$9="Winter","w","s"),NREL_End_Use_ETDF,0))</f>
        <v>1.2439999999999999E-4</v>
      </c>
      <c r="X33" s="268" cm="1">
        <f t="array" aca="1" ref="X33" ca="1">INDEX(NREL_ETDF_Index,MATCH($D33,NREL_Building_List,0),MATCH(_xlfn.XLOOKUP(X$10,Lookups_End_Use_CBECS,Lookups_End_Use_NREL,,0)&amp;IF($U$9="Winter","w","s"),NREL_End_Use_ETDF,0))</f>
        <v>1.5890000000000001E-4</v>
      </c>
      <c r="Y33" s="268" cm="1">
        <f t="array" aca="1" ref="Y33" ca="1">INDEX(NREL_ETDF_Index,MATCH($D33,NREL_Building_List,0),MATCH(_xlfn.XLOOKUP(Y$10,Lookups_End_Use_CBECS,Lookups_End_Use_NREL,,0)&amp;IF($U$9="Winter","w","s"),NREL_End_Use_ETDF,0))</f>
        <v>1.5779999999999999E-4</v>
      </c>
      <c r="Z33" s="285">
        <f t="shared" ca="1" si="34"/>
        <v>1.4376923076923076E-5</v>
      </c>
      <c r="AA33" s="268" cm="1">
        <f t="array" aca="1" ref="AA33" ca="1">INDEX(NREL_ETDF_Index,MATCH($D33,NREL_Building_List,0),MATCH(_xlfn.XLOOKUP(AA$10,Lookups_End_Use_CBECS,Lookups_End_Use_NREL,,0)&amp;IF($U$9="Winter","w","s"),NREL_End_Use_ETDF,0))</f>
        <v>0</v>
      </c>
      <c r="AB33" s="285">
        <f t="shared" ca="1" si="35"/>
        <v>4.4769230769230767E-6</v>
      </c>
      <c r="AC33" s="285">
        <f t="shared" ca="1" si="36"/>
        <v>4.4769230769230767E-6</v>
      </c>
      <c r="AD33" s="285">
        <f t="shared" ca="1" si="37"/>
        <v>8.9538461538461535E-6</v>
      </c>
      <c r="AE33" s="286">
        <f t="shared" ca="1" si="38"/>
        <v>8.9538461538461538E-5</v>
      </c>
      <c r="AF33" s="284" cm="1">
        <f t="array" aca="1" ref="AF33" ca="1">INDEX(NREL_ETDF_Index,MATCH($D33,NREL_Building_List,0),MATCH(_xlfn.XLOOKUP(AF$10,Lookups_End_Use_CBECS,Lookups_End_Use_NREL,,0)&amp;IF($AF$9="Winter","w","s"),NREL_End_Use_ETDF,0))</f>
        <v>1.9999999999999999E-7</v>
      </c>
      <c r="AG33" s="268" cm="1">
        <f t="array" aca="1" ref="AG33" ca="1">INDEX(NREL_ETDF_Index,MATCH($D33,NREL_Building_List,0),MATCH(_xlfn.XLOOKUP(AG$10,Lookups_End_Use_CBECS,Lookups_End_Use_NREL,,0)&amp;IF($AF$9="Winter","w","s"),NREL_End_Use_ETDF,0))</f>
        <v>4.2719999999999998E-4</v>
      </c>
      <c r="AH33" s="268" cm="1">
        <f t="array" aca="1" ref="AH33" ca="1">INDEX(NREL_ETDF_Index,MATCH($D33,NREL_Building_List,0),MATCH(_xlfn.XLOOKUP(AH$10,Lookups_End_Use_CBECS,Lookups_End_Use_NREL,,0)&amp;IF($AF$9="Winter","w","s"),NREL_End_Use_ETDF,0))</f>
        <v>1.56E-4</v>
      </c>
      <c r="AI33" s="268" cm="1">
        <f t="array" aca="1" ref="AI33" ca="1">INDEX(NREL_ETDF_Index,MATCH($D33,NREL_Building_List,0),MATCH(_xlfn.XLOOKUP(AI$10,Lookups_End_Use_CBECS,Lookups_End_Use_NREL,,0)&amp;IF($AF$9="Winter","w","s"),NREL_End_Use_ETDF,0))</f>
        <v>1.3650000000000001E-4</v>
      </c>
      <c r="AJ33" s="268" cm="1">
        <f t="array" aca="1" ref="AJ33" ca="1">INDEX(NREL_ETDF_Index,MATCH($D33,NREL_Building_List,0),MATCH(_xlfn.XLOOKUP(AJ$10,Lookups_End_Use_CBECS,Lookups_End_Use_NREL,,0)&amp;IF($AF$9="Winter","w","s"),NREL_End_Use_ETDF,0))</f>
        <v>1.227E-4</v>
      </c>
      <c r="AK33" s="285">
        <f t="shared" ca="1" si="39"/>
        <v>1.3430769230769229E-5</v>
      </c>
      <c r="AL33" s="268" cm="1">
        <f t="array" aca="1" ref="AL33" ca="1">INDEX(NREL_ETDF_Index,MATCH($D33,NREL_Building_List,0),MATCH(_xlfn.XLOOKUP(AL$10,Lookups_End_Use_CBECS,Lookups_End_Use_NREL,,0)&amp;IF($AF$9="Winter","w","s"),NREL_End_Use_ETDF,0))</f>
        <v>0</v>
      </c>
      <c r="AM33" s="285">
        <f t="shared" ca="1" si="40"/>
        <v>1.3430769230769229E-5</v>
      </c>
      <c r="AN33" s="285">
        <f t="shared" ca="1" si="41"/>
        <v>4.4769230769230767E-6</v>
      </c>
      <c r="AO33" s="285">
        <f t="shared" ca="1" si="42"/>
        <v>8.9538461538461535E-6</v>
      </c>
      <c r="AP33" s="286">
        <f t="shared" ca="1" si="43"/>
        <v>8.9538461538461538E-5</v>
      </c>
      <c r="AR33" s="270">
        <f t="shared" ca="1" si="46"/>
        <v>1.7</v>
      </c>
      <c r="AS33" s="270">
        <f t="shared" ca="1" si="46"/>
        <v>1.5</v>
      </c>
      <c r="AT33" s="270">
        <f t="shared" ca="1" si="46"/>
        <v>0.9</v>
      </c>
      <c r="AU33" s="270">
        <f t="shared" ca="1" si="46"/>
        <v>0.1</v>
      </c>
      <c r="AV33" s="270">
        <f t="shared" ca="1" si="46"/>
        <v>2.2999999999999998</v>
      </c>
      <c r="AW33" s="270">
        <f t="shared" ca="1" si="46"/>
        <v>0.3</v>
      </c>
      <c r="AX33" s="270">
        <f t="shared" ca="1" si="46"/>
        <v>0.3</v>
      </c>
      <c r="AY33" s="270">
        <f t="shared" ca="1" si="46"/>
        <v>0.1</v>
      </c>
      <c r="AZ33" s="270">
        <f t="shared" ca="1" si="46"/>
        <v>0.2</v>
      </c>
      <c r="BA33" s="270">
        <f t="shared" ca="1" si="46"/>
        <v>2</v>
      </c>
      <c r="BC33" s="283">
        <v>8</v>
      </c>
      <c r="BD33" s="290">
        <f t="shared" ca="1" si="44"/>
        <v>3.8669620253164555E-4</v>
      </c>
      <c r="BE33" s="269">
        <f t="shared" ca="1" si="44"/>
        <v>1.2582644628099173E-5</v>
      </c>
      <c r="BF33" s="269">
        <f t="shared" ca="1" si="44"/>
        <v>7.3657894736842101E-5</v>
      </c>
      <c r="BG33" s="269">
        <f t="shared" ca="1" si="44"/>
        <v>1.9378048780487807E-5</v>
      </c>
      <c r="BH33" s="269">
        <f t="shared" ca="1" si="44"/>
        <v>1.3149999999999997E-4</v>
      </c>
      <c r="BI33" s="269">
        <f t="shared" ca="1" si="44"/>
        <v>9.8024475524475511E-6</v>
      </c>
      <c r="BJ33" s="269">
        <f t="shared" ca="1" si="44"/>
        <v>0</v>
      </c>
      <c r="BK33" s="269">
        <f t="shared" ca="1" si="44"/>
        <v>3.1978021978021982E-6</v>
      </c>
      <c r="BL33" s="269">
        <f t="shared" ca="1" si="44"/>
        <v>3.8594164456233422E-7</v>
      </c>
      <c r="BM33" s="291">
        <f t="shared" ca="1" si="44"/>
        <v>4.7626841243862527E-6</v>
      </c>
      <c r="BN33" s="290">
        <f t="shared" ca="1" si="45"/>
        <v>2.151898734177215E-7</v>
      </c>
      <c r="BO33" s="269">
        <f t="shared" ca="1" si="25"/>
        <v>2.6479338842975205E-4</v>
      </c>
      <c r="BP33" s="269">
        <f t="shared" ca="1" si="26"/>
        <v>9.236842105263157E-5</v>
      </c>
      <c r="BQ33" s="269">
        <f t="shared" ca="1" si="27"/>
        <v>1.6646341463414638E-5</v>
      </c>
      <c r="BR33" s="269">
        <f t="shared" ca="1" si="28"/>
        <v>1.0224999999999998E-4</v>
      </c>
      <c r="BS33" s="269">
        <f t="shared" ca="1" si="29"/>
        <v>9.1573426573426541E-6</v>
      </c>
      <c r="BT33" s="269">
        <f t="shared" ca="1" si="30"/>
        <v>0</v>
      </c>
      <c r="BU33" s="269">
        <f t="shared" ca="1" si="31"/>
        <v>9.5934065934065936E-6</v>
      </c>
      <c r="BV33" s="269">
        <f t="shared" ca="1" si="32"/>
        <v>3.8594164456233422E-7</v>
      </c>
      <c r="BW33" s="291">
        <f t="shared" ca="1" si="33"/>
        <v>4.7626841243862527E-6</v>
      </c>
    </row>
    <row r="34" spans="2:75" ht="15.75" thickBot="1" x14ac:dyDescent="0.3">
      <c r="B34" s="267" t="str">
        <f ca="1"/>
        <v>Warehouse and Storage</v>
      </c>
      <c r="C34" s="267" t="str" cm="1">
        <f t="array" aca="1" ref="C34" ca="1">_xlfn.XLOOKUP(B34,Lookups_Building_List_Workbook,Lookups_Building_List_CBECS,,0)</f>
        <v xml:space="preserve">Warehouse and storage </v>
      </c>
      <c r="D34" s="267" t="str" cm="1">
        <f t="array" aca="1" ref="D34" ca="1">_xlfn.XLOOKUP(B34,Lookups_Building_List_Workbook,Lookups_Building_List_NREL,,0)</f>
        <v>Warehouse</v>
      </c>
      <c r="E34" s="270">
        <f t="shared" ca="1" si="11"/>
        <v>0</v>
      </c>
      <c r="F34" s="270">
        <f t="shared" ca="1" si="11"/>
        <v>0.10000000000000002</v>
      </c>
      <c r="G34" s="270">
        <f t="shared" ca="1" si="11"/>
        <v>0.2</v>
      </c>
      <c r="H34" s="270">
        <f t="shared" ca="1" si="11"/>
        <v>1.8</v>
      </c>
      <c r="I34" s="271">
        <f t="shared" ca="1" si="12"/>
        <v>2.1</v>
      </c>
      <c r="J34" s="268">
        <f t="shared" ca="1" si="13"/>
        <v>1.37E-4</v>
      </c>
      <c r="K34" s="269">
        <f t="shared" ca="1" si="14"/>
        <v>0</v>
      </c>
      <c r="L34" s="269">
        <f t="shared" ca="1" si="15"/>
        <v>6.5238095238095247E-6</v>
      </c>
      <c r="M34" s="269">
        <f t="shared" ca="1" si="16"/>
        <v>1.3047619047619048E-5</v>
      </c>
      <c r="N34" s="269">
        <f t="shared" ca="1" si="17"/>
        <v>1.1742857142857141E-4</v>
      </c>
      <c r="O34" s="268">
        <f t="shared" ca="1" si="18"/>
        <v>1.7679999999999999E-4</v>
      </c>
      <c r="P34" s="269">
        <f t="shared" ca="1" si="19"/>
        <v>0</v>
      </c>
      <c r="Q34" s="269">
        <f t="shared" ca="1" si="20"/>
        <v>8.4190476190476196E-6</v>
      </c>
      <c r="R34" s="269">
        <f t="shared" ca="1" si="21"/>
        <v>1.6838095238095239E-5</v>
      </c>
      <c r="S34" s="269">
        <f t="shared" ca="1" si="22"/>
        <v>1.5154285714285711E-4</v>
      </c>
      <c r="U34" s="263" cm="1">
        <f t="array" aca="1" ref="U34" ca="1">INDEX(NREL_ETDF_Index,MATCH($D34,NREL_Building_List,0),MATCH(_xlfn.XLOOKUP(U$10,Lookups_End_Use_CBECS,Lookups_End_Use_NREL,,0)&amp;IF($U$9="Winter","w","s"),NREL_End_Use_ETDF,0))</f>
        <v>3.7859999999999999E-4</v>
      </c>
      <c r="V34" s="264" cm="1">
        <f t="array" aca="1" ref="V34" ca="1">INDEX(NREL_ETDF_Index,MATCH($D34,NREL_Building_List,0),MATCH(_xlfn.XLOOKUP(V$10,Lookups_End_Use_CBECS,Lookups_End_Use_NREL,,0)&amp;IF($U$9="Winter","w","s"),NREL_End_Use_ETDF,0))</f>
        <v>3.9999999999999998E-6</v>
      </c>
      <c r="W34" s="264" cm="1">
        <f t="array" aca="1" ref="W34" ca="1">INDEX(NREL_ETDF_Index,MATCH($D34,NREL_Building_List,0),MATCH(_xlfn.XLOOKUP(W$10,Lookups_End_Use_CBECS,Lookups_End_Use_NREL,,0)&amp;IF($U$9="Winter","w","s"),NREL_End_Use_ETDF,0))</f>
        <v>1.2679999999999999E-4</v>
      </c>
      <c r="X34" s="264" cm="1">
        <f t="array" aca="1" ref="X34" ca="1">INDEX(NREL_ETDF_Index,MATCH($D34,NREL_Building_List,0),MATCH(_xlfn.XLOOKUP(X$10,Lookups_End_Use_CBECS,Lookups_End_Use_NREL,,0)&amp;IF($U$9="Winter","w","s"),NREL_End_Use_ETDF,0))</f>
        <v>0</v>
      </c>
      <c r="Y34" s="264" cm="1">
        <f t="array" aca="1" ref="Y34" ca="1">INDEX(NREL_ETDF_Index,MATCH($D34,NREL_Building_List,0),MATCH(_xlfn.XLOOKUP(Y$10,Lookups_End_Use_CBECS,Lookups_End_Use_NREL,,0)&amp;IF($U$9="Winter","w","s"),NREL_End_Use_ETDF,0))</f>
        <v>1.5689999999999999E-4</v>
      </c>
      <c r="Z34" s="265">
        <f t="shared" ca="1" si="34"/>
        <v>0</v>
      </c>
      <c r="AA34" s="264" cm="1">
        <f t="array" aca="1" ref="AA34" ca="1">INDEX(NREL_ETDF_Index,MATCH($D34,NREL_Building_List,0),MATCH(_xlfn.XLOOKUP(AA$10,Lookups_End_Use_CBECS,Lookups_End_Use_NREL,,0)&amp;IF($U$9="Winter","w","s"),NREL_End_Use_ETDF,0))</f>
        <v>0</v>
      </c>
      <c r="AB34" s="265">
        <f t="shared" ca="1" si="35"/>
        <v>8.4190476190476196E-6</v>
      </c>
      <c r="AC34" s="265">
        <f t="shared" ca="1" si="36"/>
        <v>8.4190476190476196E-6</v>
      </c>
      <c r="AD34" s="265">
        <f t="shared" ca="1" si="37"/>
        <v>1.6838095238095239E-5</v>
      </c>
      <c r="AE34" s="266">
        <f t="shared" ca="1" si="38"/>
        <v>1.5154285714285711E-4</v>
      </c>
      <c r="AF34" s="263" cm="1">
        <f t="array" aca="1" ref="AF34" ca="1">INDEX(NREL_ETDF_Index,MATCH($D34,NREL_Building_List,0),MATCH(_xlfn.XLOOKUP(AF$10,Lookups_End_Use_CBECS,Lookups_End_Use_NREL,,0)&amp;IF($AF$9="Winter","w","s"),NREL_End_Use_ETDF,0))</f>
        <v>0</v>
      </c>
      <c r="AG34" s="264" cm="1">
        <f t="array" aca="1" ref="AG34" ca="1">INDEX(NREL_ETDF_Index,MATCH($D34,NREL_Building_List,0),MATCH(_xlfn.XLOOKUP(AG$10,Lookups_End_Use_CBECS,Lookups_End_Use_NREL,,0)&amp;IF($AF$9="Winter","w","s"),NREL_End_Use_ETDF,0))</f>
        <v>6.2839999999999999E-4</v>
      </c>
      <c r="AH34" s="264" cm="1">
        <f t="array" aca="1" ref="AH34" ca="1">INDEX(NREL_ETDF_Index,MATCH($D34,NREL_Building_List,0),MATCH(_xlfn.XLOOKUP(AH$10,Lookups_End_Use_CBECS,Lookups_End_Use_NREL,,0)&amp;IF($AF$9="Winter","w","s"),NREL_End_Use_ETDF,0))</f>
        <v>1.95E-4</v>
      </c>
      <c r="AI34" s="264" cm="1">
        <f t="array" aca="1" ref="AI34" ca="1">INDEX(NREL_ETDF_Index,MATCH($D34,NREL_Building_List,0),MATCH(_xlfn.XLOOKUP(AI$10,Lookups_End_Use_CBECS,Lookups_End_Use_NREL,,0)&amp;IF($AF$9="Winter","w","s"),NREL_End_Use_ETDF,0))</f>
        <v>0</v>
      </c>
      <c r="AJ34" s="264" cm="1">
        <f t="array" aca="1" ref="AJ34" ca="1">INDEX(NREL_ETDF_Index,MATCH($D34,NREL_Building_List,0),MATCH(_xlfn.XLOOKUP(AJ$10,Lookups_End_Use_CBECS,Lookups_End_Use_NREL,,0)&amp;IF($AF$9="Winter","w","s"),NREL_End_Use_ETDF,0))</f>
        <v>2.039E-4</v>
      </c>
      <c r="AK34" s="265">
        <f t="shared" ca="1" si="39"/>
        <v>0</v>
      </c>
      <c r="AL34" s="264" cm="1">
        <f t="array" aca="1" ref="AL34" ca="1">INDEX(NREL_ETDF_Index,MATCH($D34,NREL_Building_List,0),MATCH(_xlfn.XLOOKUP(AL$10,Lookups_End_Use_CBECS,Lookups_End_Use_NREL,,0)&amp;IF($AF$9="Winter","w","s"),NREL_End_Use_ETDF,0))</f>
        <v>0</v>
      </c>
      <c r="AM34" s="265">
        <f t="shared" ca="1" si="40"/>
        <v>0</v>
      </c>
      <c r="AN34" s="265">
        <f t="shared" ca="1" si="41"/>
        <v>8.4190476190476196E-6</v>
      </c>
      <c r="AO34" s="265">
        <f t="shared" ca="1" si="42"/>
        <v>1.6838095238095239E-5</v>
      </c>
      <c r="AP34" s="266">
        <f t="shared" ca="1" si="43"/>
        <v>1.5154285714285711E-4</v>
      </c>
      <c r="AR34" s="270">
        <f t="shared" ca="1" si="46"/>
        <v>0.9</v>
      </c>
      <c r="AS34" s="270">
        <f t="shared" ca="1" si="46"/>
        <v>1.1000000000000001</v>
      </c>
      <c r="AT34" s="270">
        <f t="shared" ca="1" si="46"/>
        <v>0.5</v>
      </c>
      <c r="AU34" s="270">
        <f t="shared" ca="1" si="46"/>
        <v>0.1</v>
      </c>
      <c r="AV34" s="270">
        <f t="shared" ca="1" si="46"/>
        <v>1.5</v>
      </c>
      <c r="AW34" s="270">
        <f t="shared" ca="1" si="46"/>
        <v>0</v>
      </c>
      <c r="AX34" s="270">
        <f t="shared" ca="1" si="46"/>
        <v>1</v>
      </c>
      <c r="AY34" s="270">
        <f t="shared" ca="1" si="46"/>
        <v>0.10000000000000002</v>
      </c>
      <c r="AZ34" s="270">
        <f t="shared" ca="1" si="46"/>
        <v>0.2</v>
      </c>
      <c r="BA34" s="270">
        <f t="shared" ca="1" si="46"/>
        <v>1.8</v>
      </c>
      <c r="BC34" s="283">
        <v>16</v>
      </c>
      <c r="BD34" s="292">
        <f t="shared" ca="1" si="44"/>
        <v>3.7859999999999999E-4</v>
      </c>
      <c r="BE34" s="293">
        <f t="shared" ca="1" si="44"/>
        <v>3.9999999999999998E-6</v>
      </c>
      <c r="BF34" s="293">
        <f t="shared" ca="1" si="44"/>
        <v>1.2679999999999999E-4</v>
      </c>
      <c r="BG34" s="293">
        <f t="shared" ca="1" si="44"/>
        <v>0</v>
      </c>
      <c r="BH34" s="293">
        <f t="shared" ca="1" si="44"/>
        <v>1.5689999999999999E-4</v>
      </c>
      <c r="BI34" s="293" t="e">
        <f t="shared" ca="1" si="44"/>
        <v>#DIV/0!</v>
      </c>
      <c r="BJ34" s="293">
        <f t="shared" ca="1" si="44"/>
        <v>0</v>
      </c>
      <c r="BK34" s="293">
        <f t="shared" ca="1" si="44"/>
        <v>8.4190476190476196E-6</v>
      </c>
      <c r="BL34" s="293">
        <f t="shared" ca="1" si="44"/>
        <v>8.4190476190476196E-6</v>
      </c>
      <c r="BM34" s="294">
        <f t="shared" ca="1" si="44"/>
        <v>1.6838095238095239E-5</v>
      </c>
      <c r="BN34" s="292">
        <f t="shared" ca="1" si="45"/>
        <v>0</v>
      </c>
      <c r="BO34" s="293">
        <f t="shared" ca="1" si="25"/>
        <v>6.2839999999999999E-4</v>
      </c>
      <c r="BP34" s="293">
        <f t="shared" ca="1" si="26"/>
        <v>1.95E-4</v>
      </c>
      <c r="BQ34" s="293">
        <f t="shared" ca="1" si="27"/>
        <v>0</v>
      </c>
      <c r="BR34" s="293">
        <f t="shared" ca="1" si="28"/>
        <v>2.039E-4</v>
      </c>
      <c r="BS34" s="293" t="e">
        <f t="shared" ca="1" si="29"/>
        <v>#DIV/0!</v>
      </c>
      <c r="BT34" s="293">
        <f t="shared" ca="1" si="30"/>
        <v>0</v>
      </c>
      <c r="BU34" s="293">
        <f t="shared" ca="1" si="31"/>
        <v>0</v>
      </c>
      <c r="BV34" s="293">
        <f t="shared" ca="1" si="32"/>
        <v>8.4190476190476196E-6</v>
      </c>
      <c r="BW34" s="294">
        <f t="shared" ca="1" si="33"/>
        <v>1.6838095238095239E-5</v>
      </c>
    </row>
  </sheetData>
  <mergeCells count="10">
    <mergeCell ref="J5:S7"/>
    <mergeCell ref="U5:AP7"/>
    <mergeCell ref="AR9:BA9"/>
    <mergeCell ref="BD9:BM9"/>
    <mergeCell ref="BN9:BW9"/>
    <mergeCell ref="BC5:BW7"/>
    <mergeCell ref="U9:AE9"/>
    <mergeCell ref="AF9:AP9"/>
    <mergeCell ref="J9:N9"/>
    <mergeCell ref="O9:S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6CE21-F18D-42C8-83CD-09D0636AC3D2}">
  <sheetPr codeName="Sheet6">
    <tabColor rgb="FF7030A0"/>
  </sheetPr>
  <dimension ref="A2:BK26"/>
  <sheetViews>
    <sheetView workbookViewId="0">
      <selection activeCell="O47" sqref="O47"/>
    </sheetView>
  </sheetViews>
  <sheetFormatPr defaultColWidth="8.85546875" defaultRowHeight="15" x14ac:dyDescent="0.25"/>
  <cols>
    <col min="1" max="1" width="2.7109375" style="28" customWidth="1"/>
    <col min="2" max="2" width="24.5703125" style="28" customWidth="1"/>
    <col min="3" max="3" width="12.42578125" style="28" bestFit="1" customWidth="1"/>
    <col min="4" max="24" width="9" style="28" bestFit="1" customWidth="1"/>
    <col min="25" max="25" width="10" style="28" bestFit="1" customWidth="1"/>
    <col min="26" max="39" width="9" style="28" bestFit="1" customWidth="1"/>
    <col min="40" max="40" width="8.85546875" style="28"/>
    <col min="41" max="41" width="27.28515625" style="28" customWidth="1"/>
    <col min="42" max="42" width="21" style="28" customWidth="1"/>
    <col min="43" max="51" width="8.85546875" style="28" customWidth="1"/>
    <col min="52" max="54" width="8.85546875" style="28"/>
    <col min="55" max="55" width="23.140625" style="28" customWidth="1"/>
    <col min="56" max="56" width="8.85546875" style="28"/>
    <col min="57" max="60" width="10.28515625" style="28" customWidth="1"/>
    <col min="61" max="70" width="11.5703125" style="28" customWidth="1"/>
    <col min="71" max="16384" width="8.85546875" style="28"/>
  </cols>
  <sheetData>
    <row r="2" spans="1:63" s="21" customFormat="1" ht="22.5" x14ac:dyDescent="0.35">
      <c r="A2" s="17"/>
      <c r="B2" s="18" t="str">
        <f>Lookups!B2</f>
        <v>Ph V TRM Appendix F: Building Operator Certification Audit and Design Tool</v>
      </c>
      <c r="C2" s="19"/>
      <c r="D2" s="19"/>
      <c r="E2" s="19"/>
      <c r="F2" s="19"/>
      <c r="G2" s="19"/>
      <c r="H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20"/>
      <c r="AR2" s="20"/>
      <c r="AS2" s="20"/>
    </row>
    <row r="3" spans="1:63" s="25" customFormat="1" ht="17.25" x14ac:dyDescent="0.25">
      <c r="A3" s="22"/>
      <c r="B3" s="23" t="s">
        <v>561</v>
      </c>
      <c r="C3" s="24"/>
      <c r="D3" s="24"/>
      <c r="E3" s="24"/>
      <c r="F3" s="24"/>
      <c r="G3" s="24"/>
      <c r="H3" s="24"/>
      <c r="AW3" s="24"/>
      <c r="AX3" s="24"/>
      <c r="AY3" s="24"/>
      <c r="AZ3" s="24"/>
      <c r="BA3" s="24"/>
      <c r="BB3" s="24"/>
      <c r="BC3" s="24"/>
      <c r="BD3" s="24"/>
      <c r="BE3" s="24"/>
      <c r="BF3" s="24"/>
      <c r="BG3" s="24"/>
      <c r="BH3" s="24"/>
      <c r="BI3" s="24"/>
      <c r="BJ3" s="24"/>
      <c r="BK3" s="24"/>
    </row>
    <row r="6" spans="1:63" s="94" customFormat="1" ht="60" x14ac:dyDescent="0.25">
      <c r="B6" s="259" t="s">
        <v>562</v>
      </c>
      <c r="C6" s="260" t="s">
        <v>563</v>
      </c>
      <c r="D6" s="259" t="s">
        <v>564</v>
      </c>
      <c r="E6" s="259" t="s">
        <v>565</v>
      </c>
      <c r="F6" s="259" t="s">
        <v>566</v>
      </c>
      <c r="G6" s="259" t="s">
        <v>567</v>
      </c>
      <c r="H6" s="259" t="s">
        <v>568</v>
      </c>
      <c r="I6" s="259" t="s">
        <v>569</v>
      </c>
      <c r="J6" s="259" t="s">
        <v>570</v>
      </c>
      <c r="K6" s="259" t="s">
        <v>571</v>
      </c>
      <c r="L6" s="259" t="s">
        <v>572</v>
      </c>
      <c r="M6" s="259" t="s">
        <v>573</v>
      </c>
      <c r="N6" s="259" t="s">
        <v>574</v>
      </c>
      <c r="O6" s="259" t="s">
        <v>575</v>
      </c>
      <c r="P6" s="259" t="s">
        <v>576</v>
      </c>
      <c r="Q6" s="259" t="s">
        <v>577</v>
      </c>
      <c r="R6" s="259" t="s">
        <v>578</v>
      </c>
      <c r="S6" s="259" t="s">
        <v>579</v>
      </c>
      <c r="T6" s="259" t="s">
        <v>580</v>
      </c>
      <c r="U6" s="259" t="s">
        <v>581</v>
      </c>
      <c r="V6" s="259" t="s">
        <v>582</v>
      </c>
      <c r="W6" s="259" t="s">
        <v>583</v>
      </c>
      <c r="X6" s="259" t="s">
        <v>584</v>
      </c>
      <c r="Y6" s="259" t="s">
        <v>585</v>
      </c>
      <c r="Z6" s="259" t="s">
        <v>586</v>
      </c>
      <c r="AA6" s="259" t="s">
        <v>587</v>
      </c>
      <c r="AB6" s="259" t="s">
        <v>588</v>
      </c>
      <c r="AC6" s="259" t="s">
        <v>589</v>
      </c>
      <c r="AD6" s="259" t="s">
        <v>590</v>
      </c>
      <c r="AE6" s="259" t="s">
        <v>591</v>
      </c>
      <c r="AF6" s="259" t="s">
        <v>592</v>
      </c>
      <c r="AG6" s="259" t="s">
        <v>593</v>
      </c>
      <c r="AH6" s="259" t="s">
        <v>594</v>
      </c>
      <c r="AI6" s="259" t="s">
        <v>595</v>
      </c>
      <c r="AJ6" s="259" t="s">
        <v>596</v>
      </c>
      <c r="AK6" s="259" t="s">
        <v>597</v>
      </c>
      <c r="AL6" s="259" t="s">
        <v>598</v>
      </c>
      <c r="AM6" s="259" t="s">
        <v>599</v>
      </c>
    </row>
    <row r="7" spans="1:63" x14ac:dyDescent="0.25">
      <c r="B7" s="257" t="s">
        <v>600</v>
      </c>
      <c r="C7" s="258">
        <v>57279312</v>
      </c>
      <c r="D7" s="257">
        <v>8.6999999999999997E-6</v>
      </c>
      <c r="E7" s="257">
        <v>2.764E-4</v>
      </c>
      <c r="F7" s="257">
        <v>1.629E-4</v>
      </c>
      <c r="G7" s="257">
        <v>2.3499999999999999E-5</v>
      </c>
      <c r="H7" s="257">
        <v>1.4420000000000001E-4</v>
      </c>
      <c r="I7" s="257">
        <v>1.305E-4</v>
      </c>
      <c r="J7" s="257">
        <v>1.205E-4</v>
      </c>
      <c r="K7" s="257">
        <v>0</v>
      </c>
      <c r="L7" s="257">
        <v>3.0259999999999998E-4</v>
      </c>
      <c r="M7" s="257">
        <v>1.1790000000000001E-4</v>
      </c>
      <c r="N7" s="257">
        <v>1.211E-4</v>
      </c>
      <c r="O7" s="257">
        <v>2.0770000000000001E-4</v>
      </c>
      <c r="P7" s="257">
        <v>1.106E-4</v>
      </c>
      <c r="Q7" s="257">
        <v>1.5970000000000001E-4</v>
      </c>
      <c r="R7" s="257">
        <v>8.6999999999999997E-6</v>
      </c>
      <c r="S7" s="257">
        <v>2.5579999999999998E-4</v>
      </c>
      <c r="T7" s="257">
        <v>1.438E-4</v>
      </c>
      <c r="U7" s="257">
        <v>0</v>
      </c>
      <c r="V7" s="257">
        <v>4.8099999999999998E-4</v>
      </c>
      <c r="W7" s="257">
        <v>2.0999999999999998E-6</v>
      </c>
      <c r="X7" s="257">
        <v>1.5119999999999999E-4</v>
      </c>
      <c r="Y7" s="257">
        <v>4.8490000000000002E-4</v>
      </c>
      <c r="Z7" s="257">
        <v>0</v>
      </c>
      <c r="AA7" s="257">
        <v>1.5650000000000001E-4</v>
      </c>
      <c r="AB7" s="257">
        <v>1.46E-4</v>
      </c>
      <c r="AC7" s="257">
        <v>0</v>
      </c>
      <c r="AD7" s="257">
        <v>1.9999999999999999E-7</v>
      </c>
      <c r="AE7" s="257">
        <v>1.8699999999999999E-4</v>
      </c>
      <c r="AF7" s="257">
        <v>1.5310000000000001E-4</v>
      </c>
      <c r="AG7" s="257">
        <v>1.214E-4</v>
      </c>
      <c r="AH7" s="257">
        <v>1.3990000000000001E-4</v>
      </c>
      <c r="AI7" s="257">
        <v>1.705E-4</v>
      </c>
      <c r="AJ7" s="257">
        <v>4.8099999999999998E-4</v>
      </c>
      <c r="AK7" s="257">
        <v>2.9200000000000002E-5</v>
      </c>
      <c r="AL7" s="257">
        <v>1.7780000000000001E-4</v>
      </c>
      <c r="AM7" s="257">
        <v>0</v>
      </c>
    </row>
    <row r="8" spans="1:63" x14ac:dyDescent="0.25">
      <c r="B8" s="257" t="s">
        <v>601</v>
      </c>
      <c r="C8" s="258">
        <v>84420784</v>
      </c>
      <c r="D8" s="257">
        <v>5.8000000000000004E-6</v>
      </c>
      <c r="E8" s="257">
        <v>2.655E-4</v>
      </c>
      <c r="F8" s="257">
        <v>1.2879999999999999E-4</v>
      </c>
      <c r="G8" s="257">
        <v>1.15E-5</v>
      </c>
      <c r="H8" s="257">
        <v>1.4410000000000001E-4</v>
      </c>
      <c r="I8" s="257">
        <v>1.036E-4</v>
      </c>
      <c r="J8" s="257">
        <v>1.138E-4</v>
      </c>
      <c r="K8" s="257">
        <v>1.04E-5</v>
      </c>
      <c r="L8" s="257">
        <v>2.9530000000000002E-4</v>
      </c>
      <c r="M8" s="257">
        <v>9.6100000000000005E-5</v>
      </c>
      <c r="N8" s="257">
        <v>9.0699999999999996E-5</v>
      </c>
      <c r="O8" s="257">
        <v>4.0200000000000001E-5</v>
      </c>
      <c r="P8" s="257">
        <v>1.147E-4</v>
      </c>
      <c r="Q8" s="257">
        <v>1.3200000000000001E-4</v>
      </c>
      <c r="R8" s="257">
        <v>5.8000000000000004E-6</v>
      </c>
      <c r="S8" s="257">
        <v>2.4420000000000003E-4</v>
      </c>
      <c r="T8" s="257">
        <v>1.125E-4</v>
      </c>
      <c r="U8" s="257">
        <v>0</v>
      </c>
      <c r="V8" s="257">
        <v>3.414E-4</v>
      </c>
      <c r="W8" s="257">
        <v>4.9999999999999998E-7</v>
      </c>
      <c r="X8" s="257">
        <v>1.031E-4</v>
      </c>
      <c r="Y8" s="257">
        <v>3.0229999999999998E-4</v>
      </c>
      <c r="Z8" s="257">
        <v>0</v>
      </c>
      <c r="AA8" s="257">
        <v>1.2219999999999999E-4</v>
      </c>
      <c r="AB8" s="257">
        <v>1.1459999999999999E-4</v>
      </c>
      <c r="AC8" s="257">
        <v>2.9819999999999998E-4</v>
      </c>
      <c r="AD8" s="257">
        <v>4.4000000000000002E-6</v>
      </c>
      <c r="AE8" s="257">
        <v>1.031E-4</v>
      </c>
      <c r="AF8" s="257">
        <v>1.3430000000000001E-4</v>
      </c>
      <c r="AG8" s="257">
        <v>2.0489999999999999E-4</v>
      </c>
      <c r="AH8" s="257">
        <v>1.5449999999999999E-4</v>
      </c>
      <c r="AI8" s="257">
        <v>1.047E-4</v>
      </c>
      <c r="AJ8" s="257">
        <v>3.414E-4</v>
      </c>
      <c r="AK8" s="257">
        <v>1.6500000000000001E-5</v>
      </c>
      <c r="AL8" s="257">
        <v>1.3300000000000001E-4</v>
      </c>
      <c r="AM8" s="257">
        <v>0</v>
      </c>
    </row>
    <row r="9" spans="1:63" x14ac:dyDescent="0.25">
      <c r="B9" s="257" t="s">
        <v>602</v>
      </c>
      <c r="C9" s="258">
        <v>66700680</v>
      </c>
      <c r="D9" s="257">
        <v>0</v>
      </c>
      <c r="E9" s="257">
        <v>2.8580000000000001E-4</v>
      </c>
      <c r="F9" s="257">
        <v>0</v>
      </c>
      <c r="G9" s="257">
        <v>4.7200000000000002E-5</v>
      </c>
      <c r="H9" s="257">
        <v>1.44E-4</v>
      </c>
      <c r="I9" s="257">
        <v>1.175E-4</v>
      </c>
      <c r="J9" s="257">
        <v>1.5200000000000001E-4</v>
      </c>
      <c r="K9" s="257">
        <v>6.4999999999999996E-6</v>
      </c>
      <c r="L9" s="257">
        <v>3.7579999999999997E-4</v>
      </c>
      <c r="M9" s="257">
        <v>1.238E-4</v>
      </c>
      <c r="N9" s="257">
        <v>8.2200000000000006E-5</v>
      </c>
      <c r="O9" s="257">
        <v>1.1739999999999999E-4</v>
      </c>
      <c r="P9" s="257">
        <v>1.132E-4</v>
      </c>
      <c r="Q9" s="257">
        <v>1.131E-4</v>
      </c>
      <c r="R9" s="257">
        <v>0</v>
      </c>
      <c r="S9" s="257">
        <v>2.8580000000000001E-4</v>
      </c>
      <c r="T9" s="257">
        <v>1.2799999999999999E-4</v>
      </c>
      <c r="U9" s="257">
        <v>0</v>
      </c>
      <c r="V9" s="257">
        <v>0</v>
      </c>
      <c r="W9" s="257">
        <v>3.0000000000000001E-6</v>
      </c>
      <c r="X9" s="257">
        <v>0</v>
      </c>
      <c r="Y9" s="257">
        <v>2.9490000000000001E-4</v>
      </c>
      <c r="Z9" s="257">
        <v>0</v>
      </c>
      <c r="AA9" s="257">
        <v>1.8469999999999999E-4</v>
      </c>
      <c r="AB9" s="257">
        <v>1.4349999999999999E-4</v>
      </c>
      <c r="AC9" s="257">
        <v>3.1510000000000002E-4</v>
      </c>
      <c r="AD9" s="257">
        <v>1.9999999999999999E-6</v>
      </c>
      <c r="AE9" s="257">
        <v>1.093E-4</v>
      </c>
      <c r="AF9" s="257">
        <v>5.6199999999999997E-5</v>
      </c>
      <c r="AG9" s="257">
        <v>1.156E-4</v>
      </c>
      <c r="AH9" s="257">
        <v>1.3549999999999999E-4</v>
      </c>
      <c r="AI9" s="257">
        <v>9.1799999999999995E-5</v>
      </c>
      <c r="AJ9" s="257">
        <v>0</v>
      </c>
      <c r="AK9" s="257">
        <v>3.0000000000000001E-6</v>
      </c>
      <c r="AL9" s="257">
        <v>1.362E-4</v>
      </c>
      <c r="AM9" s="257">
        <v>0</v>
      </c>
    </row>
    <row r="10" spans="1:63" x14ac:dyDescent="0.25">
      <c r="B10" s="257" t="s">
        <v>603</v>
      </c>
      <c r="C10" s="258">
        <v>191641872</v>
      </c>
      <c r="D10" s="257">
        <v>2.97E-5</v>
      </c>
      <c r="E10" s="257">
        <v>2.8830000000000001E-4</v>
      </c>
      <c r="F10" s="257">
        <v>1.584E-4</v>
      </c>
      <c r="G10" s="257">
        <v>3.5500000000000002E-5</v>
      </c>
      <c r="H10" s="257">
        <v>1.3999999999999999E-4</v>
      </c>
      <c r="I10" s="257">
        <v>1.136E-4</v>
      </c>
      <c r="J10" s="257">
        <v>1.4980000000000001E-4</v>
      </c>
      <c r="K10" s="257">
        <v>1.5299999999999999E-5</v>
      </c>
      <c r="L10" s="257">
        <v>3.0640000000000002E-4</v>
      </c>
      <c r="M10" s="257">
        <v>1.247E-4</v>
      </c>
      <c r="N10" s="257">
        <v>1.7110000000000001E-4</v>
      </c>
      <c r="O10" s="257">
        <v>8.4900000000000004E-5</v>
      </c>
      <c r="P10" s="257">
        <v>0</v>
      </c>
      <c r="Q10" s="257">
        <v>1.515E-4</v>
      </c>
      <c r="R10" s="257">
        <v>2.97E-5</v>
      </c>
      <c r="S10" s="257">
        <v>2.877E-4</v>
      </c>
      <c r="T10" s="257">
        <v>1.2740000000000001E-4</v>
      </c>
      <c r="U10" s="257">
        <v>0</v>
      </c>
      <c r="V10" s="257">
        <v>3.1250000000000001E-4</v>
      </c>
      <c r="W10" s="257">
        <v>1.5E-6</v>
      </c>
      <c r="X10" s="257">
        <v>1.2789999999999999E-4</v>
      </c>
      <c r="Y10" s="257">
        <v>3.1639999999999999E-4</v>
      </c>
      <c r="Z10" s="257">
        <v>0</v>
      </c>
      <c r="AA10" s="257">
        <v>1.674E-4</v>
      </c>
      <c r="AB10" s="257">
        <v>1.6330000000000001E-4</v>
      </c>
      <c r="AC10" s="257">
        <v>3.5950000000000001E-4</v>
      </c>
      <c r="AD10" s="257">
        <v>1.1999999999999999E-6</v>
      </c>
      <c r="AE10" s="257">
        <v>1.154E-4</v>
      </c>
      <c r="AF10" s="257">
        <v>1.259E-4</v>
      </c>
      <c r="AG10" s="257">
        <v>1.918E-4</v>
      </c>
      <c r="AH10" s="257">
        <v>0</v>
      </c>
      <c r="AI10" s="257">
        <v>1.3100000000000001E-4</v>
      </c>
      <c r="AJ10" s="257">
        <v>3.1250000000000001E-4</v>
      </c>
      <c r="AK10" s="257">
        <v>2.2000000000000001E-6</v>
      </c>
      <c r="AL10" s="257">
        <v>1.46E-4</v>
      </c>
      <c r="AM10" s="257">
        <v>0</v>
      </c>
    </row>
    <row r="11" spans="1:63" x14ac:dyDescent="0.25">
      <c r="B11" s="257" t="s">
        <v>604</v>
      </c>
      <c r="C11" s="258">
        <v>213385120</v>
      </c>
      <c r="D11" s="257">
        <v>1.13E-5</v>
      </c>
      <c r="E11" s="257">
        <v>3.0959999999999999E-4</v>
      </c>
      <c r="F11" s="257">
        <v>1.5249999999999999E-4</v>
      </c>
      <c r="G11" s="257">
        <v>2.0299999999999999E-5</v>
      </c>
      <c r="H11" s="257">
        <v>1.4249999999999999E-4</v>
      </c>
      <c r="I11" s="257">
        <v>1.2439999999999999E-4</v>
      </c>
      <c r="J11" s="257">
        <v>1.351E-4</v>
      </c>
      <c r="K11" s="257">
        <v>1.52E-5</v>
      </c>
      <c r="L11" s="257">
        <v>3.5940000000000001E-4</v>
      </c>
      <c r="M11" s="257">
        <v>1.2459999999999999E-4</v>
      </c>
      <c r="N11" s="257">
        <v>1.5779999999999999E-4</v>
      </c>
      <c r="O11" s="257">
        <v>1.211E-4</v>
      </c>
      <c r="P11" s="257">
        <v>0</v>
      </c>
      <c r="Q11" s="257">
        <v>1.5890000000000001E-4</v>
      </c>
      <c r="R11" s="257">
        <v>1.13E-5</v>
      </c>
      <c r="S11" s="257">
        <v>3.0669999999999997E-4</v>
      </c>
      <c r="T11" s="257">
        <v>1.4019999999999999E-4</v>
      </c>
      <c r="U11" s="257">
        <v>0</v>
      </c>
      <c r="V11" s="257">
        <v>3.5300000000000002E-4</v>
      </c>
      <c r="W11" s="257">
        <v>4.9999999999999998E-7</v>
      </c>
      <c r="X11" s="257">
        <v>1.473E-4</v>
      </c>
      <c r="Y11" s="257">
        <v>4.2719999999999998E-4</v>
      </c>
      <c r="Z11" s="257">
        <v>0</v>
      </c>
      <c r="AA11" s="257">
        <v>1.56E-4</v>
      </c>
      <c r="AB11" s="257">
        <v>1.4190000000000001E-4</v>
      </c>
      <c r="AC11" s="257">
        <v>4.2039999999999997E-4</v>
      </c>
      <c r="AD11" s="257">
        <v>1.9999999999999999E-7</v>
      </c>
      <c r="AE11" s="257">
        <v>1.164E-4</v>
      </c>
      <c r="AF11" s="257">
        <v>1.227E-4</v>
      </c>
      <c r="AG11" s="257">
        <v>1.4459999999999999E-4</v>
      </c>
      <c r="AH11" s="257">
        <v>0</v>
      </c>
      <c r="AI11" s="257">
        <v>1.3650000000000001E-4</v>
      </c>
      <c r="AJ11" s="257">
        <v>3.5300000000000002E-4</v>
      </c>
      <c r="AK11" s="257">
        <v>3.3000000000000002E-6</v>
      </c>
      <c r="AL11" s="257">
        <v>1.574E-4</v>
      </c>
      <c r="AM11" s="257">
        <v>0</v>
      </c>
    </row>
    <row r="12" spans="1:63" x14ac:dyDescent="0.25">
      <c r="B12" s="257" t="s">
        <v>605</v>
      </c>
      <c r="C12" s="258">
        <v>63367096</v>
      </c>
      <c r="D12" s="257">
        <v>0</v>
      </c>
      <c r="E12" s="257">
        <v>3.6739999999999999E-4</v>
      </c>
      <c r="F12" s="257">
        <v>9.6199999999999994E-5</v>
      </c>
      <c r="G12" s="257">
        <v>1.77E-5</v>
      </c>
      <c r="H12" s="257">
        <v>1.4310000000000001E-4</v>
      </c>
      <c r="I12" s="257">
        <v>1.2659999999999999E-4</v>
      </c>
      <c r="J12" s="257">
        <v>1.2540000000000001E-4</v>
      </c>
      <c r="K12" s="257">
        <v>1.1800000000000001E-5</v>
      </c>
      <c r="L12" s="257">
        <v>3.1809999999999998E-4</v>
      </c>
      <c r="M12" s="257">
        <v>1.3520000000000001E-4</v>
      </c>
      <c r="N12" s="257">
        <v>1.4750000000000001E-4</v>
      </c>
      <c r="O12" s="257">
        <v>7.1600000000000006E-5</v>
      </c>
      <c r="P12" s="257">
        <v>0</v>
      </c>
      <c r="Q12" s="257">
        <v>1.22E-4</v>
      </c>
      <c r="R12" s="257">
        <v>0</v>
      </c>
      <c r="S12" s="257">
        <v>3.5399999999999999E-4</v>
      </c>
      <c r="T12" s="257">
        <v>1.3070000000000001E-4</v>
      </c>
      <c r="U12" s="257">
        <v>0</v>
      </c>
      <c r="V12" s="257">
        <v>0</v>
      </c>
      <c r="W12" s="257">
        <v>6.9999999999999997E-7</v>
      </c>
      <c r="X12" s="257">
        <v>9.9500000000000006E-5</v>
      </c>
      <c r="Y12" s="257">
        <v>3.904E-4</v>
      </c>
      <c r="Z12" s="257">
        <v>0</v>
      </c>
      <c r="AA12" s="257">
        <v>1.5090000000000001E-4</v>
      </c>
      <c r="AB12" s="257">
        <v>1.3300000000000001E-4</v>
      </c>
      <c r="AC12" s="257">
        <v>3.793E-4</v>
      </c>
      <c r="AD12" s="257">
        <v>1.1999999999999999E-6</v>
      </c>
      <c r="AE12" s="257">
        <v>1.418E-4</v>
      </c>
      <c r="AF12" s="257">
        <v>1.7019999999999999E-4</v>
      </c>
      <c r="AG12" s="257">
        <v>1.996E-4</v>
      </c>
      <c r="AH12" s="257">
        <v>0</v>
      </c>
      <c r="AI12" s="257">
        <v>1.393E-4</v>
      </c>
      <c r="AJ12" s="257">
        <v>0</v>
      </c>
      <c r="AK12" s="257">
        <v>5.4999999999999999E-6</v>
      </c>
      <c r="AL12" s="257">
        <v>1.716E-4</v>
      </c>
      <c r="AM12" s="257">
        <v>0</v>
      </c>
    </row>
    <row r="13" spans="1:63" x14ac:dyDescent="0.25">
      <c r="B13" s="257" t="s">
        <v>606</v>
      </c>
      <c r="C13" s="258">
        <v>200822880</v>
      </c>
      <c r="D13" s="257">
        <v>0</v>
      </c>
      <c r="E13" s="257">
        <v>5.5119999999999995E-4</v>
      </c>
      <c r="F13" s="257">
        <v>2.1829999999999999E-4</v>
      </c>
      <c r="G13" s="257">
        <v>9.9000000000000001E-6</v>
      </c>
      <c r="H13" s="257">
        <v>1.439E-4</v>
      </c>
      <c r="I13" s="257">
        <v>1.9479999999999999E-4</v>
      </c>
      <c r="J13" s="257">
        <v>1.6469999999999999E-4</v>
      </c>
      <c r="K13" s="257">
        <v>1.3200000000000001E-5</v>
      </c>
      <c r="L13" s="257">
        <v>3.8549999999999999E-4</v>
      </c>
      <c r="M13" s="257">
        <v>1.4569999999999999E-4</v>
      </c>
      <c r="N13" s="257">
        <v>1.7090000000000001E-4</v>
      </c>
      <c r="O13" s="257">
        <v>1.7899999999999999E-4</v>
      </c>
      <c r="P13" s="257">
        <v>1.111E-4</v>
      </c>
      <c r="Q13" s="257">
        <v>2.064E-4</v>
      </c>
      <c r="R13" s="257">
        <v>0</v>
      </c>
      <c r="S13" s="257">
        <v>5.2079999999999997E-4</v>
      </c>
      <c r="T13" s="257">
        <v>2.0719999999999999E-4</v>
      </c>
      <c r="U13" s="257">
        <v>0</v>
      </c>
      <c r="V13" s="257">
        <v>0</v>
      </c>
      <c r="W13" s="257">
        <v>0</v>
      </c>
      <c r="X13" s="257">
        <v>1.952E-4</v>
      </c>
      <c r="Y13" s="257">
        <v>5.4020000000000001E-4</v>
      </c>
      <c r="Z13" s="257">
        <v>0</v>
      </c>
      <c r="AA13" s="257">
        <v>1.9570000000000001E-4</v>
      </c>
      <c r="AB13" s="257">
        <v>1.5770000000000001E-4</v>
      </c>
      <c r="AC13" s="257">
        <v>3.4010000000000003E-4</v>
      </c>
      <c r="AD13" s="257">
        <v>1.1399999999999999E-5</v>
      </c>
      <c r="AE13" s="257">
        <v>1.3669999999999999E-4</v>
      </c>
      <c r="AF13" s="257">
        <v>1.3689999999999999E-4</v>
      </c>
      <c r="AG13" s="257">
        <v>1.2510000000000001E-4</v>
      </c>
      <c r="AH13" s="257">
        <v>1.3530000000000001E-4</v>
      </c>
      <c r="AI13" s="257">
        <v>1.8100000000000001E-4</v>
      </c>
      <c r="AJ13" s="257">
        <v>0</v>
      </c>
      <c r="AK13" s="257">
        <v>1.7900000000000001E-5</v>
      </c>
      <c r="AL13" s="257">
        <v>1.808E-4</v>
      </c>
      <c r="AM13" s="257">
        <v>0</v>
      </c>
    </row>
    <row r="14" spans="1:63" x14ac:dyDescent="0.25">
      <c r="B14" s="257" t="s">
        <v>607</v>
      </c>
      <c r="C14" s="258">
        <v>7153139</v>
      </c>
      <c r="D14" s="257">
        <v>0</v>
      </c>
      <c r="E14" s="257">
        <v>0</v>
      </c>
      <c r="F14" s="257">
        <v>0</v>
      </c>
      <c r="G14" s="257">
        <v>4.9400000000000001E-5</v>
      </c>
      <c r="H14" s="257">
        <v>1.4550000000000001E-4</v>
      </c>
      <c r="I14" s="257">
        <v>1.339E-4</v>
      </c>
      <c r="J14" s="257">
        <v>0</v>
      </c>
      <c r="K14" s="257">
        <v>0</v>
      </c>
      <c r="L14" s="257">
        <v>3.3480000000000001E-4</v>
      </c>
      <c r="M14" s="257">
        <v>1.295E-4</v>
      </c>
      <c r="N14" s="257">
        <v>1.214E-4</v>
      </c>
      <c r="O14" s="257">
        <v>2.4889999999999998E-4</v>
      </c>
      <c r="P14" s="257">
        <v>1.109E-4</v>
      </c>
      <c r="Q14" s="257">
        <v>1.9039999999999999E-4</v>
      </c>
      <c r="R14" s="257">
        <v>0</v>
      </c>
      <c r="S14" s="257">
        <v>0</v>
      </c>
      <c r="T14" s="257">
        <v>1.418E-4</v>
      </c>
      <c r="U14" s="257">
        <v>0</v>
      </c>
      <c r="V14" s="257">
        <v>0</v>
      </c>
      <c r="W14" s="257">
        <v>0</v>
      </c>
      <c r="X14" s="257">
        <v>0</v>
      </c>
      <c r="Y14" s="257">
        <v>3.59E-4</v>
      </c>
      <c r="Z14" s="257">
        <v>0</v>
      </c>
      <c r="AA14" s="257">
        <v>1.572E-4</v>
      </c>
      <c r="AB14" s="257">
        <v>0</v>
      </c>
      <c r="AC14" s="257">
        <v>0</v>
      </c>
      <c r="AD14" s="257">
        <v>1.9999999999999999E-6</v>
      </c>
      <c r="AE14" s="257">
        <v>1.8110000000000001E-4</v>
      </c>
      <c r="AF14" s="257">
        <v>1.548E-4</v>
      </c>
      <c r="AG14" s="257">
        <v>4.9999999999999998E-7</v>
      </c>
      <c r="AH14" s="257">
        <v>1.3850000000000001E-4</v>
      </c>
      <c r="AI14" s="257">
        <v>1.682E-4</v>
      </c>
      <c r="AJ14" s="257">
        <v>0</v>
      </c>
      <c r="AK14" s="257">
        <v>0</v>
      </c>
      <c r="AL14" s="257">
        <v>1.7220000000000001E-4</v>
      </c>
      <c r="AM14" s="257">
        <v>0</v>
      </c>
    </row>
    <row r="15" spans="1:63" x14ac:dyDescent="0.25">
      <c r="B15" s="257" t="s">
        <v>608</v>
      </c>
      <c r="C15" s="258">
        <v>175729712</v>
      </c>
      <c r="D15" s="257">
        <v>0</v>
      </c>
      <c r="E15" s="257">
        <v>2.966E-4</v>
      </c>
      <c r="F15" s="257">
        <v>0</v>
      </c>
      <c r="G15" s="257">
        <v>7.5000000000000002E-6</v>
      </c>
      <c r="H15" s="257">
        <v>1.4520000000000001E-4</v>
      </c>
      <c r="I15" s="257">
        <v>1.2410000000000001E-4</v>
      </c>
      <c r="J15" s="257">
        <v>1.283E-4</v>
      </c>
      <c r="K15" s="257">
        <v>0</v>
      </c>
      <c r="L15" s="257">
        <v>3.2600000000000001E-4</v>
      </c>
      <c r="M15" s="257">
        <v>1.249E-4</v>
      </c>
      <c r="N15" s="257">
        <v>1.362E-4</v>
      </c>
      <c r="O15" s="257">
        <v>2.286E-4</v>
      </c>
      <c r="P15" s="257">
        <v>0</v>
      </c>
      <c r="Q15" s="257">
        <v>0</v>
      </c>
      <c r="R15" s="257">
        <v>0</v>
      </c>
      <c r="S15" s="257">
        <v>2.966E-4</v>
      </c>
      <c r="T15" s="257">
        <v>1.5239999999999999E-4</v>
      </c>
      <c r="U15" s="257">
        <v>0</v>
      </c>
      <c r="V15" s="257">
        <v>0</v>
      </c>
      <c r="W15" s="257">
        <v>9.9999999999999995E-8</v>
      </c>
      <c r="X15" s="257">
        <v>0</v>
      </c>
      <c r="Y15" s="257">
        <v>4.8759999999999998E-4</v>
      </c>
      <c r="Z15" s="257">
        <v>0</v>
      </c>
      <c r="AA15" s="257">
        <v>1.6330000000000001E-4</v>
      </c>
      <c r="AB15" s="257">
        <v>1.3870000000000001E-4</v>
      </c>
      <c r="AC15" s="257">
        <v>0</v>
      </c>
      <c r="AD15" s="257">
        <v>0</v>
      </c>
      <c r="AE15" s="257">
        <v>1.741E-4</v>
      </c>
      <c r="AF15" s="257">
        <v>1.6880000000000001E-4</v>
      </c>
      <c r="AG15" s="257">
        <v>4.9499999999999997E-5</v>
      </c>
      <c r="AH15" s="257">
        <v>0</v>
      </c>
      <c r="AI15" s="257">
        <v>0</v>
      </c>
      <c r="AJ15" s="257">
        <v>0</v>
      </c>
      <c r="AK15" s="257">
        <v>9.9999999999999995E-8</v>
      </c>
      <c r="AL15" s="257">
        <v>1.773E-4</v>
      </c>
      <c r="AM15" s="257">
        <v>0</v>
      </c>
    </row>
    <row r="16" spans="1:63" x14ac:dyDescent="0.25">
      <c r="B16" s="257" t="s">
        <v>609</v>
      </c>
      <c r="C16" s="258">
        <v>291158208</v>
      </c>
      <c r="D16" s="257">
        <v>0</v>
      </c>
      <c r="E16" s="257">
        <v>0</v>
      </c>
      <c r="F16" s="257">
        <v>0</v>
      </c>
      <c r="G16" s="257">
        <v>1.4600000000000001E-5</v>
      </c>
      <c r="H16" s="257">
        <v>1.4219999999999999E-4</v>
      </c>
      <c r="I16" s="257">
        <v>1.143E-4</v>
      </c>
      <c r="J16" s="257">
        <v>1.2180000000000001E-4</v>
      </c>
      <c r="K16" s="257">
        <v>2.0800000000000001E-5</v>
      </c>
      <c r="L16" s="257">
        <v>3.5070000000000001E-4</v>
      </c>
      <c r="M16" s="257">
        <v>1.203E-4</v>
      </c>
      <c r="N16" s="257">
        <v>1.3990000000000001E-4</v>
      </c>
      <c r="O16" s="257">
        <v>2.3049999999999999E-4</v>
      </c>
      <c r="P16" s="257">
        <v>0</v>
      </c>
      <c r="Q16" s="257">
        <v>1.515E-4</v>
      </c>
      <c r="R16" s="257">
        <v>0</v>
      </c>
      <c r="S16" s="257">
        <v>0</v>
      </c>
      <c r="T16" s="257">
        <v>1.4229999999999999E-4</v>
      </c>
      <c r="U16" s="257">
        <v>0</v>
      </c>
      <c r="V16" s="257">
        <v>0</v>
      </c>
      <c r="W16" s="257">
        <v>0</v>
      </c>
      <c r="X16" s="257">
        <v>0</v>
      </c>
      <c r="Y16" s="257">
        <v>4.6250000000000002E-4</v>
      </c>
      <c r="Z16" s="257">
        <v>0</v>
      </c>
      <c r="AA16" s="257">
        <v>1.853E-4</v>
      </c>
      <c r="AB16" s="257">
        <v>1.4640000000000001E-4</v>
      </c>
      <c r="AC16" s="257">
        <v>4.4289999999999998E-4</v>
      </c>
      <c r="AD16" s="257">
        <v>1.5E-6</v>
      </c>
      <c r="AE16" s="257">
        <v>1.5320000000000001E-4</v>
      </c>
      <c r="AF16" s="257">
        <v>1.7420000000000001E-4</v>
      </c>
      <c r="AG16" s="257">
        <v>2.87E-5</v>
      </c>
      <c r="AH16" s="257">
        <v>0</v>
      </c>
      <c r="AI16" s="257">
        <v>1.6540000000000001E-4</v>
      </c>
      <c r="AJ16" s="257">
        <v>0</v>
      </c>
      <c r="AK16" s="257">
        <v>0</v>
      </c>
      <c r="AL16" s="257">
        <v>1.896E-4</v>
      </c>
      <c r="AM16" s="257">
        <v>0</v>
      </c>
    </row>
    <row r="17" spans="2:39" x14ac:dyDescent="0.25">
      <c r="B17" s="257" t="s">
        <v>610</v>
      </c>
      <c r="C17" s="258">
        <v>128509056</v>
      </c>
      <c r="D17" s="257">
        <v>0</v>
      </c>
      <c r="E17" s="257">
        <v>3.2860000000000002E-4</v>
      </c>
      <c r="F17" s="257">
        <v>8.2899999999999996E-5</v>
      </c>
      <c r="G17" s="257">
        <v>7.6000000000000001E-6</v>
      </c>
      <c r="H17" s="257">
        <v>1.428E-4</v>
      </c>
      <c r="I17" s="257">
        <v>1.4430000000000001E-4</v>
      </c>
      <c r="J17" s="257">
        <v>1.4440000000000001E-4</v>
      </c>
      <c r="K17" s="257">
        <v>1.33E-5</v>
      </c>
      <c r="L17" s="257">
        <v>3.992E-4</v>
      </c>
      <c r="M17" s="257">
        <v>1.5100000000000001E-4</v>
      </c>
      <c r="N17" s="257">
        <v>1.649E-4</v>
      </c>
      <c r="O17" s="257">
        <v>1.3740000000000001E-4</v>
      </c>
      <c r="P17" s="257">
        <v>1.209E-4</v>
      </c>
      <c r="Q17" s="257">
        <v>2.1029999999999999E-4</v>
      </c>
      <c r="R17" s="257">
        <v>0</v>
      </c>
      <c r="S17" s="257">
        <v>3.2689999999999998E-4</v>
      </c>
      <c r="T17" s="257">
        <v>2.1550000000000001E-4</v>
      </c>
      <c r="U17" s="257">
        <v>0</v>
      </c>
      <c r="V17" s="257">
        <v>0</v>
      </c>
      <c r="W17" s="257">
        <v>3.1E-6</v>
      </c>
      <c r="X17" s="257">
        <v>1.395E-4</v>
      </c>
      <c r="Y17" s="257">
        <v>5.5110000000000001E-4</v>
      </c>
      <c r="Z17" s="257">
        <v>0</v>
      </c>
      <c r="AA17" s="257">
        <v>1.63E-4</v>
      </c>
      <c r="AB17" s="257">
        <v>1.462E-4</v>
      </c>
      <c r="AC17" s="257">
        <v>4.5429999999999998E-4</v>
      </c>
      <c r="AD17" s="257">
        <v>2.9999999999999999E-7</v>
      </c>
      <c r="AE17" s="257">
        <v>9.5000000000000005E-5</v>
      </c>
      <c r="AF17" s="257">
        <v>1.0289999999999999E-4</v>
      </c>
      <c r="AG17" s="257">
        <v>2.0259999999999999E-4</v>
      </c>
      <c r="AH17" s="257">
        <v>1.5669999999999999E-4</v>
      </c>
      <c r="AI17" s="257">
        <v>7.8899999999999993E-5</v>
      </c>
      <c r="AJ17" s="257">
        <v>0</v>
      </c>
      <c r="AK17" s="257">
        <v>3.9999999999999998E-6</v>
      </c>
      <c r="AL17" s="257">
        <v>1.4860000000000001E-4</v>
      </c>
      <c r="AM17" s="257">
        <v>0</v>
      </c>
    </row>
    <row r="18" spans="2:39" x14ac:dyDescent="0.25">
      <c r="B18" s="257" t="s">
        <v>611</v>
      </c>
      <c r="C18" s="258">
        <v>16886280</v>
      </c>
      <c r="D18" s="257">
        <v>0</v>
      </c>
      <c r="E18" s="257">
        <v>0</v>
      </c>
      <c r="F18" s="257">
        <v>0</v>
      </c>
      <c r="G18" s="257">
        <v>4.3999999999999999E-5</v>
      </c>
      <c r="H18" s="257">
        <v>1.4550000000000001E-4</v>
      </c>
      <c r="I18" s="257">
        <v>1.1E-4</v>
      </c>
      <c r="J18" s="257">
        <v>0</v>
      </c>
      <c r="K18" s="257">
        <v>0</v>
      </c>
      <c r="L18" s="257">
        <v>4.1120000000000002E-4</v>
      </c>
      <c r="M18" s="257">
        <v>1.1620000000000001E-4</v>
      </c>
      <c r="N18" s="257">
        <v>1.072E-4</v>
      </c>
      <c r="O18" s="257">
        <v>1.142E-4</v>
      </c>
      <c r="P18" s="257">
        <v>0</v>
      </c>
      <c r="Q18" s="257">
        <v>1.2970000000000001E-4</v>
      </c>
      <c r="R18" s="257">
        <v>0</v>
      </c>
      <c r="S18" s="257">
        <v>0</v>
      </c>
      <c r="T18" s="257">
        <v>1.193E-4</v>
      </c>
      <c r="U18" s="257">
        <v>0</v>
      </c>
      <c r="V18" s="257">
        <v>0</v>
      </c>
      <c r="W18" s="257">
        <v>0</v>
      </c>
      <c r="X18" s="257">
        <v>0</v>
      </c>
      <c r="Y18" s="257">
        <v>2.474E-4</v>
      </c>
      <c r="Z18" s="257">
        <v>0</v>
      </c>
      <c r="AA18" s="257">
        <v>1.8369999999999999E-4</v>
      </c>
      <c r="AB18" s="257">
        <v>0</v>
      </c>
      <c r="AC18" s="257">
        <v>0</v>
      </c>
      <c r="AD18" s="257">
        <v>0</v>
      </c>
      <c r="AE18" s="257">
        <v>6.9200000000000002E-5</v>
      </c>
      <c r="AF18" s="257">
        <v>6.2700000000000006E-5</v>
      </c>
      <c r="AG18" s="257">
        <v>1.142E-4</v>
      </c>
      <c r="AH18" s="257">
        <v>0</v>
      </c>
      <c r="AI18" s="257">
        <v>6.41E-5</v>
      </c>
      <c r="AJ18" s="257">
        <v>0</v>
      </c>
      <c r="AK18" s="257">
        <v>0</v>
      </c>
      <c r="AL18" s="257">
        <v>1.0399999999999999E-4</v>
      </c>
      <c r="AM18" s="257">
        <v>0</v>
      </c>
    </row>
    <row r="19" spans="2:39" x14ac:dyDescent="0.25">
      <c r="B19" s="257" t="s">
        <v>612</v>
      </c>
      <c r="C19" s="258">
        <v>197269744</v>
      </c>
      <c r="D19" s="257">
        <v>2.3E-6</v>
      </c>
      <c r="E19" s="257">
        <v>2.8140000000000001E-4</v>
      </c>
      <c r="F19" s="257">
        <v>2.174E-4</v>
      </c>
      <c r="G19" s="257">
        <v>5.0000000000000004E-6</v>
      </c>
      <c r="H19" s="257">
        <v>1.4349999999999999E-4</v>
      </c>
      <c r="I19" s="257">
        <v>1.3449999999999999E-4</v>
      </c>
      <c r="J19" s="257">
        <v>1.662E-4</v>
      </c>
      <c r="K19" s="257">
        <v>3.4000000000000001E-6</v>
      </c>
      <c r="L19" s="257">
        <v>4.0400000000000001E-4</v>
      </c>
      <c r="M19" s="257">
        <v>1.186E-4</v>
      </c>
      <c r="N19" s="257">
        <v>1.4540000000000001E-4</v>
      </c>
      <c r="O19" s="257">
        <v>1.5449999999999999E-4</v>
      </c>
      <c r="P19" s="257">
        <v>0</v>
      </c>
      <c r="Q19" s="257">
        <v>1.874E-4</v>
      </c>
      <c r="R19" s="257">
        <v>2.3E-6</v>
      </c>
      <c r="S19" s="257">
        <v>2.7940000000000002E-4</v>
      </c>
      <c r="T19" s="257">
        <v>1.571E-4</v>
      </c>
      <c r="U19" s="257">
        <v>0</v>
      </c>
      <c r="V19" s="257">
        <v>5.9679999999999998E-4</v>
      </c>
      <c r="W19" s="257">
        <v>9.9999999999999995E-7</v>
      </c>
      <c r="X19" s="257">
        <v>2.0220000000000001E-4</v>
      </c>
      <c r="Y19" s="257">
        <v>5.8569999999999998E-4</v>
      </c>
      <c r="Z19" s="257">
        <v>0</v>
      </c>
      <c r="AA19" s="257">
        <v>1.7689999999999999E-4</v>
      </c>
      <c r="AB19" s="257">
        <v>1.8149999999999999E-4</v>
      </c>
      <c r="AC19" s="257">
        <v>5.8770000000000003E-4</v>
      </c>
      <c r="AD19" s="257">
        <v>0</v>
      </c>
      <c r="AE19" s="257">
        <v>1.225E-4</v>
      </c>
      <c r="AF19" s="257">
        <v>1.7660000000000001E-4</v>
      </c>
      <c r="AG19" s="257">
        <v>1.429E-4</v>
      </c>
      <c r="AH19" s="257">
        <v>0</v>
      </c>
      <c r="AI19" s="257">
        <v>1.9469999999999999E-4</v>
      </c>
      <c r="AJ19" s="257">
        <v>5.9679999999999998E-4</v>
      </c>
      <c r="AK19" s="257">
        <v>7.3000000000000004E-6</v>
      </c>
      <c r="AL19" s="257">
        <v>1.7479999999999999E-4</v>
      </c>
      <c r="AM19" s="257">
        <v>0</v>
      </c>
    </row>
    <row r="20" spans="2:39" x14ac:dyDescent="0.25">
      <c r="B20" s="257" t="s">
        <v>613</v>
      </c>
      <c r="C20" s="258">
        <v>573285056</v>
      </c>
      <c r="D20" s="257">
        <v>0</v>
      </c>
      <c r="E20" s="257">
        <v>0</v>
      </c>
      <c r="F20" s="257">
        <v>0</v>
      </c>
      <c r="G20" s="257">
        <v>3.9999999999999998E-6</v>
      </c>
      <c r="H20" s="257">
        <v>1.4310000000000001E-4</v>
      </c>
      <c r="I20" s="257">
        <v>1.2679999999999999E-4</v>
      </c>
      <c r="J20" s="257">
        <v>1.3200000000000001E-4</v>
      </c>
      <c r="K20" s="257">
        <v>1.9999999999999999E-7</v>
      </c>
      <c r="L20" s="257">
        <v>3.7859999999999999E-4</v>
      </c>
      <c r="M20" s="257">
        <v>1.37E-4</v>
      </c>
      <c r="N20" s="257">
        <v>1.5689999999999999E-4</v>
      </c>
      <c r="O20" s="257">
        <v>2.7619999999999999E-4</v>
      </c>
      <c r="P20" s="257">
        <v>0</v>
      </c>
      <c r="Q20" s="257">
        <v>0</v>
      </c>
      <c r="R20" s="257">
        <v>0</v>
      </c>
      <c r="S20" s="257">
        <v>0</v>
      </c>
      <c r="T20" s="257">
        <v>1.5750000000000001E-4</v>
      </c>
      <c r="U20" s="257">
        <v>0</v>
      </c>
      <c r="V20" s="257">
        <v>0</v>
      </c>
      <c r="W20" s="257">
        <v>0</v>
      </c>
      <c r="X20" s="257">
        <v>0</v>
      </c>
      <c r="Y20" s="257">
        <v>6.2839999999999999E-4</v>
      </c>
      <c r="Z20" s="257">
        <v>0</v>
      </c>
      <c r="AA20" s="257">
        <v>1.95E-4</v>
      </c>
      <c r="AB20" s="257">
        <v>1.496E-4</v>
      </c>
      <c r="AC20" s="257">
        <v>6.2109999999999997E-4</v>
      </c>
      <c r="AD20" s="257">
        <v>0</v>
      </c>
      <c r="AE20" s="257">
        <v>1.7679999999999999E-4</v>
      </c>
      <c r="AF20" s="257">
        <v>2.039E-4</v>
      </c>
      <c r="AG20" s="257">
        <v>1.42E-5</v>
      </c>
      <c r="AH20" s="257">
        <v>0</v>
      </c>
      <c r="AI20" s="257">
        <v>0</v>
      </c>
      <c r="AJ20" s="257">
        <v>0</v>
      </c>
      <c r="AK20" s="257">
        <v>0</v>
      </c>
      <c r="AL20" s="257">
        <v>1.738E-4</v>
      </c>
      <c r="AM20" s="257">
        <v>0</v>
      </c>
    </row>
    <row r="21" spans="2:39" x14ac:dyDescent="0.25">
      <c r="B21" s="156"/>
      <c r="C21" s="156"/>
      <c r="D21" s="156"/>
      <c r="E21" s="156"/>
      <c r="F21" s="156"/>
      <c r="G21" s="156"/>
      <c r="H21" s="156"/>
      <c r="I21" s="156"/>
      <c r="J21" s="156"/>
      <c r="K21" s="156"/>
      <c r="L21" s="156"/>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row>
    <row r="26" spans="2:39" x14ac:dyDescent="0.25">
      <c r="C26" s="253"/>
      <c r="D26" s="253"/>
      <c r="E26" s="253"/>
      <c r="F26" s="253"/>
      <c r="G26" s="253"/>
      <c r="H26" s="253"/>
      <c r="I26" s="253"/>
      <c r="J26" s="253"/>
      <c r="K26" s="253"/>
      <c r="L26" s="253"/>
      <c r="M26" s="25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1b051ef0-edd4-46a5-9f74-d6eaace64f71">J72333MUYW4V-902815424-22980</_dlc_DocId>
    <_dlc_DocIdUrl xmlns="1b051ef0-edd4-46a5-9f74-d6eaace64f71">
      <Url>https://nmrgroupinc.sharepoint.com/PA_PUC_PhIV_Internal/_layouts/15/DocIdRedir.aspx?ID=J72333MUYW4V-902815424-22980</Url>
      <Description>J72333MUYW4V-902815424-22980</Description>
    </_dlc_DocIdUrl>
    <foranalystdownload xmlns="f735b6f4-3276-4351-82c8-0d73cd060bf4">true</foranalystdownload>
    <TaxCatchAll xmlns="1b051ef0-edd4-46a5-9f74-d6eaace64f71" xsi:nil="true"/>
    <lcf76f155ced4ddcb4097134ff3c332f xmlns="f735b6f4-3276-4351-82c8-0d73cd060bf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F26346B3BCBC614D82BCBD7EB1C88F16" ma:contentTypeVersion="21" ma:contentTypeDescription="Create a new document." ma:contentTypeScope="" ma:versionID="53426516f60d7530dd81bbad60eb47b7">
  <xsd:schema xmlns:xsd="http://www.w3.org/2001/XMLSchema" xmlns:xs="http://www.w3.org/2001/XMLSchema" xmlns:p="http://schemas.microsoft.com/office/2006/metadata/properties" xmlns:ns2="1b051ef0-edd4-46a5-9f74-d6eaace64f71" xmlns:ns3="f735b6f4-3276-4351-82c8-0d73cd060bf4" targetNamespace="http://schemas.microsoft.com/office/2006/metadata/properties" ma:root="true" ma:fieldsID="a518cc16d7c9e20fb61ab3872287b021" ns2:_="" ns3:_="">
    <xsd:import namespace="1b051ef0-edd4-46a5-9f74-d6eaace64f71"/>
    <xsd:import namespace="f735b6f4-3276-4351-82c8-0d73cd060bf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2:SharedWithUsers" minOccurs="0"/>
                <xsd:element ref="ns2:SharedWithDetails" minOccurs="0"/>
                <xsd:element ref="ns2:TaxCatchAll" minOccurs="0"/>
                <xsd:element ref="ns3:lcf76f155ced4ddcb4097134ff3c332f" minOccurs="0"/>
                <xsd:element ref="ns3:MediaServiceLocation" minOccurs="0"/>
                <xsd:element ref="ns3:MediaServiceObjectDetectorVersions" minOccurs="0"/>
                <xsd:element ref="ns3:foranalystdownload"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051ef0-edd4-46a5-9f74-d6eaace64f7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d280e23-32a7-4551-a5e3-05f0607f7292}" ma:internalName="TaxCatchAll" ma:showField="CatchAllData" ma:web="1b051ef0-edd4-46a5-9f74-d6eaace64f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735b6f4-3276-4351-82c8-0d73cd060bf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fe1438ef-f31e-47db-a6cd-d01751f8ccb9"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foranalystdownload" ma:index="28" nillable="true" ma:displayName="analyst download" ma:default="1" ma:format="Dropdown" ma:internalName="foranalystdownloa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180BB8-1A23-427D-809B-B14812159E0C}">
  <ds:schemaRefs>
    <ds:schemaRef ds:uri="http://schemas.microsoft.com/office/2006/metadata/properties"/>
    <ds:schemaRef ds:uri="http://schemas.microsoft.com/office/infopath/2007/PartnerControls"/>
    <ds:schemaRef ds:uri="1b051ef0-edd4-46a5-9f74-d6eaace64f71"/>
    <ds:schemaRef ds:uri="f735b6f4-3276-4351-82c8-0d73cd060bf4"/>
  </ds:schemaRefs>
</ds:datastoreItem>
</file>

<file path=customXml/itemProps2.xml><?xml version="1.0" encoding="utf-8"?>
<ds:datastoreItem xmlns:ds="http://schemas.openxmlformats.org/officeDocument/2006/customXml" ds:itemID="{AD9078B5-C419-4E54-A8D2-0063B94D1F9C}">
  <ds:schemaRefs>
    <ds:schemaRef ds:uri="http://schemas.microsoft.com/sharepoint/v3/contenttype/forms"/>
  </ds:schemaRefs>
</ds:datastoreItem>
</file>

<file path=customXml/itemProps3.xml><?xml version="1.0" encoding="utf-8"?>
<ds:datastoreItem xmlns:ds="http://schemas.openxmlformats.org/officeDocument/2006/customXml" ds:itemID="{6DE45FC4-A616-4797-8730-A04D94BC5F73}">
  <ds:schemaRefs>
    <ds:schemaRef ds:uri="http://schemas.microsoft.com/sharepoint/events"/>
  </ds:schemaRefs>
</ds:datastoreItem>
</file>

<file path=customXml/itemProps4.xml><?xml version="1.0" encoding="utf-8"?>
<ds:datastoreItem xmlns:ds="http://schemas.openxmlformats.org/officeDocument/2006/customXml" ds:itemID="{4454AAE1-4190-4092-97CA-7145BC5AD8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051ef0-edd4-46a5-9f74-d6eaace64f71"/>
    <ds:schemaRef ds:uri="f735b6f4-3276-4351-82c8-0d73cd060b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1. Manual</vt:lpstr>
      <vt:lpstr>2 .Facility Charaterization</vt:lpstr>
      <vt:lpstr>3. Savings</vt:lpstr>
      <vt:lpstr>3a. Relative Savings</vt:lpstr>
      <vt:lpstr>3b. Analysis</vt:lpstr>
      <vt:lpstr>CBECS Elec</vt:lpstr>
      <vt:lpstr>CBECS Gas</vt:lpstr>
      <vt:lpstr>ETDF</vt:lpstr>
      <vt:lpstr>ETDF Raw Data</vt:lpstr>
      <vt:lpstr>Baseline Tables</vt:lpstr>
      <vt:lpstr>Lookups</vt:lpstr>
      <vt:lpstr>Changelog</vt:lpstr>
      <vt:lpstr>CBECS_Elec_Building_List</vt:lpstr>
      <vt:lpstr>CBECS_Elec_End_Uses</vt:lpstr>
      <vt:lpstr>CBECS_Elec_Refrigeration_EUI</vt:lpstr>
      <vt:lpstr>CBECS_Elec_Rows</vt:lpstr>
      <vt:lpstr>CBECS_Gas_End_Uses</vt:lpstr>
      <vt:lpstr>CBECS_Gas_Rows</vt:lpstr>
      <vt:lpstr>ETDF_End_Use_Summer</vt:lpstr>
      <vt:lpstr>ETDF_End_Use_Winter</vt:lpstr>
      <vt:lpstr>FacilityChar_Building_Area</vt:lpstr>
      <vt:lpstr>FacilityChar_Building_Type_Workbook</vt:lpstr>
      <vt:lpstr>FacilityChar_Cooling_Percent</vt:lpstr>
      <vt:lpstr>FacilityChar_Heating_Percent</vt:lpstr>
      <vt:lpstr>FacilityChar_Nearby_City</vt:lpstr>
      <vt:lpstr>Lookups_Conversion_CF_to_kBTU</vt:lpstr>
      <vt:lpstr>Lookups_Lighting_EUI_Scale_Factor</vt:lpstr>
      <vt:lpstr>NREL_End_Use_ETDF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Sasha Baroiant</dc:creator>
  <cp:keywords/>
  <dc:description/>
  <cp:lastModifiedBy>Andrew Dionne</cp:lastModifiedBy>
  <cp:revision/>
  <dcterms:created xsi:type="dcterms:W3CDTF">2015-06-05T18:17:20Z</dcterms:created>
  <dcterms:modified xsi:type="dcterms:W3CDTF">2024-04-12T03:43:34Z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0x010100F26346B3BCBC614D82BCBD7EB1C88F16</vt:lpwstr>
  </property>
  <property fmtid="{D5CDD505-2E9C-101B-9397-08002B2CF9AE}" pid="3" name="_dlc_DocIdItemGuid">
    <vt:lpwstr>ef73d4c2-be98-4dd1-b606-e8162384bf23</vt:lpwstr>
  </property>
  <property fmtid="{D5CDD505-2E9C-101B-9397-08002B2CF9AE}" pid="4" name="MediaServiceImageTags">
    <vt:lpwstr/>
  </property>
</Properties>
</file>