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D926362A-FEF4-44C1-9F8F-67455F7C256D}" xr6:coauthVersionLast="47" xr6:coauthVersionMax="47" xr10:uidLastSave="{00000000-0000-0000-0000-000000000000}"/>
  <workbookProtection workbookPassword="FDB7" lockStructure="1"/>
  <bookViews>
    <workbookView xWindow="-28920" yWindow="-120" windowWidth="29040" windowHeight="15840" tabRatio="943" firstSheet="22" activeTab="22"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<sst xmlns="http://schemas.openxmlformats.org/spreadsheetml/2006/main" count="2569" uniqueCount="1282">
  <si>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</si>
  <si>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</si>
  <si>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</si>
  <si>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</si>
  <si>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</si>
  <si>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</si>
  <si>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</si>
  <si>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</si>
  <si>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</si>
  <si>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</si>
  <si>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</si>
  <si>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</si>
  <si>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</si>
  <si>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</si>
  <si>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</si>
  <si>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</si>
  <si>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</si>
  <si>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</si>
  <si>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</si>
  <si>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</si>
  <si>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</si>
  <si>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</si>
  <si>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</si>
  <si>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</si>
  <si>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</si>
  <si>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</si>
  <si>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</si>
  <si>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</si>
  <si>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</si>
  <si>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</si>
  <si>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</si>
  <si>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</si>
  <si>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</si>
  <si>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</si>
  <si>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</si>
  <si>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</si>
  <si>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</si>
  <si>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</si>
  <si>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</si>
  <si>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</si>
  <si>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</si>
  <si>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</si>
  <si>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</si>
  <si>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</si>
  <si>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</si>
  <si>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</si>
  <si>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</si>
  <si>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</si>
  <si>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</si>
  <si>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</si>
  <si>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</si>
  <si>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</si>
  <si>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</si>
  <si>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</si>
  <si>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</si>
  <si>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</si>
  <si>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</si>
  <si>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</si>
  <si>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</si>
  <si>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</si>
  <si>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</si>
  <si>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</si>
  <si>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</si>
  <si>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</si>
  <si>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</si>
  <si>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</si>
  <si>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</si>
  <si>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</si>
  <si>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</si>
  <si>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</si>
  <si>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</si>
  <si>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</si>
  <si>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</si>
  <si>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</si>
  <si>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</si>
  <si>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</si>
  <si>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</si>
  <si>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</si>
  <si>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</si>
  <si>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</si>
  <si>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</si>
  <si>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</si>
  <si>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</si>
  <si>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</si>
  <si>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</si>
  <si>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</si>
  <si>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</si>
  <si>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</si>
  <si>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</si>
  <si>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</si>
  <si>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</si>
  <si>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</si>
  <si>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</si>
  <si>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</si>
  <si>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</si>
  <si>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</si>
  <si>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</si>
  <si>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</si>
  <si>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</si>
  <si>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</si>
  <si>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</si>
  <si>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</si>
  <si>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</si>
  <si>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</si>
  <si>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</si>
  <si>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</si>
  <si>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</si>
  <si>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</si>
  <si>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</si>
  <si>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</si>
  <si>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</si>
  <si>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</si>
  <si>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</si>
  <si>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</si>
  <si>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</si>
  <si>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</si>
  <si>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</si>
  <si>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</si>
  <si>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</si>
  <si>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</si>
  <si>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</si>
  <si>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</si>
  <si>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</si>
  <si>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</si>
  <si>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</si>
  <si>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</si>
  <si>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</si>
  <si>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</si>
  <si>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</si>
  <si>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</si>
  <si>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</si>
  <si>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</si>
  <si>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</si>
  <si>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</si>
  <si>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</si>
  <si>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</si>
  <si>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</si>
  <si>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</si>
  <si>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</si>
  <si>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</si>
  <si>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</si>
  <si>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</si>
  <si>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</si>
  <si>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</si>
  <si>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</si>
  <si>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</si>
  <si>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</si>
  <si>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</si>
  <si>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</si>
  <si>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</si>
  <si>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</si>
  <si>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</si>
  <si>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</si>
  <si>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</si>
  <si>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</si>
  <si>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</si>
  <si>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</si>
  <si>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</si>
  <si>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</si>
  <si>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</si>
  <si>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</si>
  <si>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</si>
  <si>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</si>
  <si>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</si>
  <si>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</si>
  <si>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</si>
  <si>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</si>
  <si>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</si>
  <si>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</si>
  <si>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</si>
  <si>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</si>
  <si>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</si>
  <si>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</si>
  <si>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</si>
  <si>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</si>
  <si>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</si>
  <si>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</si>
  <si>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</si>
  <si>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</si>
  <si>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</si>
  <si>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</si>
  <si>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</si>
  <si>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</si>
  <si>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</si>
  <si>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</si>
  <si>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</si>
  <si>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</si>
  <si>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</si>
  <si>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</si>
  <si>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</si>
  <si>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</si>
  <si>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</si>
  <si>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</si>
  <si>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</si>
  <si>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</si>
  <si>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</si>
  <si>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</si>
  <si>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</si>
  <si>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</si>
  <si>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</si>
  <si>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</si>
  <si>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</si>
  <si>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</si>
  <si>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</si>
  <si>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</si>
  <si>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</si>
  <si>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</si>
  <si>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</si>
  <si>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</si>
  <si>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</si>
  <si>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</si>
  <si>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</si>
  <si>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</si>
  <si>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</si>
  <si>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</si>
  <si>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</si>
  <si>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</si>
  <si>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</si>
  <si>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</si>
  <si>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</si>
  <si>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</si>
  <si>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</si>
  <si>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</si>
  <si>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</si>
  <si>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</si>
  <si>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</si>
  <si>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</si>
  <si>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</si>
  <si>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</si>
  <si>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</si>
  <si>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</si>
  <si>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</si>
  <si>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</si>
  <si>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</si>
  <si>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</si>
  <si>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</si>
  <si>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</si>
  <si>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</si>
  <si>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</si>
  <si>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</si>
  <si>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</si>
  <si>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</si>
  <si>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</si>
  <si>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</si>
  <si>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</si>
  <si>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</si>
  <si>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</si>
  <si>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</si>
  <si>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</si>
  <si>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</si>
  <si>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</si>
  <si>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</si>
  <si>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</si>
  <si>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</si>
  <si>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</si>
  <si>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</si>
  <si>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</si>
  <si>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</si>
  <si>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</si>
  <si>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</si>
  <si>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</si>
  <si>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</si>
  <si>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</si>
  <si>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</si>
  <si>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</si>
  <si>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</si>
  <si>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</si>
  <si>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</si>
  <si>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</si>
  <si>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</si>
  <si>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</si>
  <si>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</si>
  <si>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</si>
  <si>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</si>
  <si>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</si>
  <si>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</si>
  <si>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</si>
  <si>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</si>
  <si>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</si>
  <si>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</si>
  <si>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</si>
  <si>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</si>
  <si>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</si>
  <si>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</si>
  <si>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</si>
  <si>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</si>
  <si>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</si>
  <si>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</si>
  <si>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</si>
  <si>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</si>
  <si>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</si>
  <si>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</si>
  <si>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</si>
  <si>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</si>
  <si>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</si>
  <si>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</si>
  <si>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</si>
  <si>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</si>
  <si>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</si>
  <si>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</si>
  <si>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</si>
  <si>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</si>
  <si>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</si>
  <si>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</si>
  <si>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</si>
  <si>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</si>
  <si>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</si>
  <si>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</si>
  <si>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</si>
  <si>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</si>
  <si>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</si>
  <si>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</si>
  <si>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</si>
  <si>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</si>
  <si>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</si>
  <si>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</si>
  <si>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</si>
  <si>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</si>
  <si>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</si>
  <si>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</si>
  <si>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</si>
  <si>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</si>
  <si>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</si>
  <si>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</si>
  <si>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</si>
  <si>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</si>
  <si>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</si>
  <si>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</si>
  <si>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</si>
  <si>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</si>
  <si>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</si>
  <si>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</si>
  <si>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</si>
  <si>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</si>
  <si>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</si>
  <si>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</si>
  <si>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</si>
  <si>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</si>
  <si>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</si>
  <si>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</si>
  <si>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</si>
  <si>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</si>
  <si>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</si>
  <si>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</si>
  <si>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</si>
  <si>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</si>
  <si>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</si>
  <si>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</si>
  <si>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</si>
  <si>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</si>
  <si>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</si>
  <si>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</si>
  <si>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</si>
  <si>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</si>
  <si>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</si>
  <si>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</si>
  <si>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</si>
  <si>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</si>
  <si>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</si>
  <si>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</si>
  <si>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</si>
  <si>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</si>
  <si>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</si>
  <si>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</si>
  <si>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</si>
  <si>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</si>
  <si>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</si>
  <si>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</si>
  <si>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</si>
  <si>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</si>
  <si>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</si>
  <si>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</si>
  <si>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</si>
  <si>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</si>
  <si>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</si>
  <si>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</si>
  <si>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</si>
  <si>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</si>
  <si>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</si>
  <si>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</si>
  <si>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</si>
  <si>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</si>
  <si>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</si>
  <si>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</si>
  <si>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</si>
  <si>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</si>
  <si>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</si>
  <si>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</si>
  <si>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</si>
  <si>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</si>
  <si>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</si>
  <si>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</si>
  <si>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</si>
  <si>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</si>
  <si>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</si>
  <si>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</si>
  <si>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</si>
  <si>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</si>
  <si>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</si>
  <si>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</si>
  <si>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</si>
  <si>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</si>
  <si>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</si>
  <si>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</si>
  <si>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</si>
  <si>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</si>
  <si>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</si>
  <si>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</si>
  <si>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</si>
  <si>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</si>
  <si>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</si>
  <si>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</si>
  <si>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</si>
  <si>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</si>
  <si>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</si>
  <si>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</si>
  <si>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</si>
  <si>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</si>
  <si>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</si>
  <si>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</si>
  <si>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</si>
  <si>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</si>
  <si>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</si>
  <si>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</si>
  <si>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</si>
  <si>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</si>
  <si>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</si>
  <si>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</si>
  <si>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</si>
  <si>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</si>
  <si>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</si>
  <si>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</si>
  <si>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</si>
  <si>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</si>
  <si>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</si>
  <si>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</si>
  <si>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</si>
  <si>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</si>
  <si>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</si>
  <si>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</si>
  <si>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</si>
  <si>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</si>
  <si>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</si>
  <si>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</si>
  <si>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</si>
  <si>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</si>
  <si>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</si>
  <si>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</si>
  <si>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</si>
  <si>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</si>
  <si>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</si>
  <si>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</si>
  <si>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</si>
  <si>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</si>
  <si>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</si>
  <si>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</si>
  <si>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</si>
  <si>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</si>
  <si>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</si>
  <si>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</si>
  <si>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</si>
  <si>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</si>
  <si>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</si>
  <si>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</si>
  <si>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</si>
  <si>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</si>
  <si>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</si>
  <si>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</si>
  <si>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</si>
  <si>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</si>
  <si>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</si>
  <si>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</si>
  <si>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</si>
  <si>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</si>
  <si>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</si>
  <si>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</si>
  <si>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</si>
  <si>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</si>
  <si>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</si>
  <si>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</si>
  <si>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</si>
  <si>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</si>
  <si>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</si>
  <si>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</si>
  <si>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</si>
  <si>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</si>
  <si>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</si>
  <si>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</si>
  <si>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</si>
  <si>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</si>
  <si>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</si>
  <si>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</si>
  <si>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</si>
  <si>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</si>
  <si>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</si>
  <si>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</si>
  <si>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</si>
  <si>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</si>
  <si>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</si>
  <si>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</si>
  <si>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</si>
  <si>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</si>
  <si>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</si>
  <si>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</si>
  <si>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</si>
  <si>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</si>
  <si>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</si>
  <si>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</si>
  <si>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</si>
  <si>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</si>
  <si>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</si>
  <si>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</si>
  <si>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</si>
  <si>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</si>
  <si>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</si>
  <si>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</si>
  <si>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Pennsylvania American Water</t>
  </si>
  <si>
    <t>VOS</t>
  </si>
  <si>
    <t xml:space="preserve">Name of Contact Person: </t>
  </si>
  <si>
    <t>David Annarumo</t>
  </si>
  <si>
    <t>VOSEA</t>
  </si>
  <si>
    <t>VOS Error Adjustment</t>
  </si>
  <si>
    <t xml:space="preserve">Email: </t>
  </si>
  <si>
    <t>david.annarumo@amwater.com</t>
  </si>
  <si>
    <t>WI</t>
  </si>
  <si>
    <t>Worksheet</t>
  </si>
  <si>
    <t>Enter the required data on this worksheet to calculate the water balance and data grading.</t>
  </si>
  <si>
    <t xml:space="preserve">Telephone | Ext.: </t>
  </si>
  <si>
    <t>724-656-6744</t>
  </si>
  <si>
    <t>WIEA</t>
  </si>
  <si>
    <t>WI Error Adjustment</t>
  </si>
  <si>
    <t xml:space="preserve">City/Town/Municipality: </t>
  </si>
  <si>
    <t>PAW - All Districts</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</si>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</sst>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168" fontId="95" fillId="0" borderId="0" xfId="0" applyNumberFormat="1" applyFont="1" applyProtection="1">
      <protection locked="0"/>
    </xf>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0" fontId="57" fillId="0" borderId="148" xfId="0" applyFont="1" applyBorder="1" applyAlignment="1">
      <alignment horizontal="center" vertical="center" wrapTex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26" xfId="0" applyFont="1" applyBorder="1" applyAlignment="1">
      <alignment horizontal="left" vertical="center" wrapText="1"/>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73.984365739700294</c:v>
                </c:pt>
                <c:pt idx="1">
                  <c:v>2.0024160337996988</c:v>
                </c:pt>
                <c:pt idx="2">
                  <c:v>174.31522245146232</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4.5791523068244082</c:v>
                </c:pt>
                <c:pt idx="1">
                  <c:v>0.26113598867139654</c:v>
                </c:pt>
                <c:pt idx="2">
                  <c:v>27.801710288428765</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41.587156468633836</c:v>
                </c:pt>
                <c:pt idx="1">
                  <c:v>0.92482240795754933</c:v>
                </c:pt>
                <c:pt idx="2">
                  <c:v>73.090822118102281</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19.280015488368424</c:v>
                </c:pt>
                <c:pt idx="1">
                  <c:v>0.38772920688421864</c:v>
                </c:pt>
                <c:pt idx="2">
                  <c:v>28.798406165274685</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22.307140980265412</c:v>
                </c:pt>
                <c:pt idx="1">
                  <c:v>0.56875750335916142</c:v>
                </c:pt>
                <c:pt idx="2">
                  <c:v>48.218789436270605</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86</c:v>
                </c:pt>
                <c:pt idx="1">
                  <c:v>1.2666666666666666</c:v>
                </c:pt>
                <c:pt idx="2" formatCode="General">
                  <c:v>112.73333333333333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24,436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390.065</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5576.8950000000004</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111.74099749999999</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920.13191836734882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111.74099749999999</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17333.50682041658</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$33,709,405/Yr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343475.63639999996</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4910790.6612</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1297312.980975</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10597319.755640838</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1297312.980975</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15263192.765786022</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28.205808526427518</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3.2948312174463821</c:v>
                </c:pt>
                <c:pt idx="1">
                  <c:v>9.0856271993300333E-2</c:v>
                </c:pt>
                <c:pt idx="2">
                  <c:v>7.97134650972286</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69.405213432875883</c:v>
                </c:pt>
                <c:pt idx="1">
                  <c:v>1.8469276802355887</c:v>
                </c:pt>
                <c:pt idx="2">
                  <c:v>159.6138189163371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4590.9763903676758</c:v>
                </c:pt>
                <c:pt idx="1">
                  <c:v>97.186039594358903</c:v>
                </c:pt>
                <c:pt idx="2" formatCode="_(* #,##0_);_(* \(#,##0\);_(* &quot;-&quot;??_);_(@_)">
                  <c:v>7460.0925193328276</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image" Target="../media/image8.emf"/><Relationship Id="rId18" Type="http://schemas.openxmlformats.org/officeDocument/2006/relationships/hyperlink" Target="#'Interactive Data Grading'!VOSEA"/><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image" Target="../media/image11.emf"/><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VOS"/><Relationship Id="rId25" Type="http://schemas.openxmlformats.org/officeDocument/2006/relationships/hyperlink" Target="#'Interactive Data Grading'!Lp"/><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hyperlink" Target="#'Interactive Data Grading'!WI"/><Relationship Id="rId29" Type="http://schemas.openxmlformats.org/officeDocument/2006/relationships/hyperlink" Target="#'Interactive Data Grading'!UUAC"/><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image" Target="../media/image7.emf"/><Relationship Id="rId24" Type="http://schemas.openxmlformats.org/officeDocument/2006/relationships/hyperlink" Target="#'Interactive Data Grading'!Nc"/><Relationship Id="rId5" Type="http://schemas.openxmlformats.org/officeDocument/2006/relationships/hyperlink" Target="#'Interactive Data Grading'!UC"/><Relationship Id="rId15" Type="http://schemas.openxmlformats.org/officeDocument/2006/relationships/image" Target="../media/image9.emf"/><Relationship Id="rId23" Type="http://schemas.openxmlformats.org/officeDocument/2006/relationships/hyperlink" Target="#'Interactive Data Grading'!Lm"/><Relationship Id="rId28" Type="http://schemas.openxmlformats.org/officeDocument/2006/relationships/hyperlink" Target="#'Interactive Data Grading'!VPC"/><Relationship Id="rId10" Type="http://schemas.openxmlformats.org/officeDocument/2006/relationships/hyperlink" Target="#'Interactive Data Grading'!BUAC"/><Relationship Id="rId19" Type="http://schemas.openxmlformats.org/officeDocument/2006/relationships/image" Target="../media/image10.emf"/><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E"/><Relationship Id="rId22" Type="http://schemas.openxmlformats.org/officeDocument/2006/relationships/hyperlink" Target="#'Interactive Data Grading'!AOP"/><Relationship Id="rId27" Type="http://schemas.openxmlformats.org/officeDocument/2006/relationships/image" Target="../media/image12.emf"/><Relationship Id="rId30"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chart" Target="../charts/chart4.xml"/><Relationship Id="rId21" Type="http://schemas.openxmlformats.org/officeDocument/2006/relationships/image" Target="../media/image2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emf"/><Relationship Id="rId9"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235"/>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236"/>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237"/>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238"/>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239"/>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240"/>
                  </a:ext>
                </a:extLst>
              </xdr:cNvPicPr>
            </xdr:nvPicPr>
            <xdr:blipFill rotWithShape="1">
              <a:blip xmlns:r="http://schemas.openxmlformats.org/officeDocument/2006/relationships" r:embed="rId8"/>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241"/>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242"/>
                  </a:ext>
                </a:extLst>
              </xdr:cNvPicPr>
            </xdr:nvPicPr>
            <xdr:blipFill rotWithShape="1">
              <a:blip xmlns:r="http://schemas.openxmlformats.org/officeDocument/2006/relationships" r:embed="rId13"/>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243"/>
                  </a:ext>
                </a:extLst>
              </xdr:cNvPicPr>
            </xdr:nvPicPr>
            <xdr:blipFill rotWithShape="1">
              <a:blip xmlns:r="http://schemas.openxmlformats.org/officeDocument/2006/relationships" r:embed="rId15"/>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244"/>
                  </a:ext>
                </a:extLst>
              </xdr:cNvPicPr>
            </xdr:nvPicPr>
            <xdr:blipFill rotWithShape="1">
              <a:blip xmlns:r="http://schemas.openxmlformats.org/officeDocument/2006/relationships" r:embed="rId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245"/>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246"/>
                  </a:ext>
                </a:extLst>
              </xdr:cNvPicPr>
            </xdr:nvPicPr>
            <xdr:blipFill rotWithShape="1">
              <a:blip xmlns:r="http://schemas.openxmlformats.org/officeDocument/2006/relationships" r:embed="rId1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0"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247"/>
                  </a:ext>
                </a:extLst>
              </xdr:cNvPicPr>
            </xdr:nvPicPr>
            <xdr:blipFill rotWithShape="1">
              <a:blip xmlns:r="http://schemas.openxmlformats.org/officeDocument/2006/relationships" r:embed="rId21"/>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2"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248"/>
                  </a:ext>
                </a:extLst>
              </xdr:cNvPicPr>
            </xdr:nvPicPr>
            <xdr:blipFill rotWithShape="1">
              <a:blip xmlns:r="http://schemas.openxmlformats.org/officeDocument/2006/relationships" r:embed="rId8"/>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3"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249"/>
                  </a:ext>
                </a:extLst>
              </xdr:cNvPicPr>
            </xdr:nvPicPr>
            <xdr:blipFill rotWithShape="1">
              <a:blip xmlns:r="http://schemas.openxmlformats.org/officeDocument/2006/relationships" r:embed="rId8"/>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4"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250"/>
                  </a:ext>
                </a:extLst>
              </xdr:cNvPicPr>
            </xdr:nvPicPr>
            <xdr:blipFill rotWithShape="1">
              <a:blip xmlns:r="http://schemas.openxmlformats.org/officeDocument/2006/relationships" r:embed="rId8"/>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5"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251"/>
                  </a:ext>
                </a:extLst>
              </xdr:cNvPicPr>
            </xdr:nvPicPr>
            <xdr:blipFill rotWithShape="1">
              <a:blip xmlns:r="http://schemas.openxmlformats.org/officeDocument/2006/relationships" r:embed="rId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252"/>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253"/>
                  </a:ext>
                </a:extLst>
              </xdr:cNvPicPr>
            </xdr:nvPicPr>
            <xdr:blipFill rotWithShape="1">
              <a:blip xmlns:r="http://schemas.openxmlformats.org/officeDocument/2006/relationships" r:embed="rId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9"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31"/>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8" t="s">
        <v>256</v>
      </c>
      <c r="D4" s="638" t="s">
        <v>257</v>
      </c>
      <c r="E4" s="148" t="s">
        <v>213</v>
      </c>
      <c r="F4" s="150"/>
    </row>
    <row r="5" spans="1:7" ht="51">
      <c r="B5" s="148" t="s">
        <v>27</v>
      </c>
      <c r="C5" s="470" t="s">
        <v>258</v>
      </c>
      <c r="D5" s="470" t="s">
        <v>259</v>
      </c>
      <c r="E5" s="815" t="s">
        <v>260</v>
      </c>
      <c r="F5" s="144"/>
      <c r="G5" s="144"/>
    </row>
    <row r="6" spans="1:7">
      <c r="B6" s="149">
        <v>1</v>
      </c>
      <c r="C6" s="636" t="s">
        <v>238</v>
      </c>
      <c r="D6" s="636" t="s">
        <v>261</v>
      </c>
      <c r="E6" s="636" t="s">
        <v>262</v>
      </c>
      <c r="F6" s="149">
        <v>1</v>
      </c>
    </row>
    <row r="7" spans="1:7">
      <c r="B7" s="149">
        <v>2</v>
      </c>
      <c r="C7" s="636"/>
      <c r="D7" s="636"/>
      <c r="E7" s="636"/>
      <c r="F7" s="149">
        <v>2</v>
      </c>
      <c r="G7" s="144"/>
    </row>
    <row r="8" spans="1:7">
      <c r="B8" s="149">
        <v>3</v>
      </c>
      <c r="C8" s="639"/>
      <c r="D8" s="636"/>
      <c r="E8" s="636"/>
      <c r="F8" s="149">
        <v>3</v>
      </c>
    </row>
    <row r="9" spans="1:7" ht="25.5">
      <c r="B9" s="149">
        <v>4</v>
      </c>
      <c r="C9" s="636" t="s">
        <v>263</v>
      </c>
      <c r="D9" s="636"/>
      <c r="E9" s="636"/>
      <c r="F9" s="149">
        <v>4</v>
      </c>
      <c r="G9" s="144"/>
    </row>
    <row r="10" spans="1:7" ht="38.25">
      <c r="B10" s="149">
        <v>5</v>
      </c>
      <c r="C10" s="818"/>
      <c r="D10" s="640"/>
      <c r="E10" s="636" t="s">
        <v>264</v>
      </c>
      <c r="F10" s="149">
        <v>5</v>
      </c>
    </row>
    <row r="11" spans="1:7" ht="25.5">
      <c r="B11" s="149">
        <v>6</v>
      </c>
      <c r="C11" s="815"/>
      <c r="D11" s="636" t="s">
        <v>265</v>
      </c>
      <c r="E11" s="636"/>
      <c r="F11" s="149">
        <v>6</v>
      </c>
      <c r="G11" s="144"/>
    </row>
    <row r="12" spans="1:7">
      <c r="B12" s="149">
        <v>7</v>
      </c>
      <c r="C12" s="818"/>
      <c r="D12" s="641"/>
      <c r="E12" s="636"/>
      <c r="F12" s="149">
        <v>7</v>
      </c>
    </row>
    <row r="13" spans="1:7" ht="38.25">
      <c r="B13" s="149">
        <v>8</v>
      </c>
      <c r="C13" s="636" t="s">
        <v>266</v>
      </c>
      <c r="D13" s="636"/>
      <c r="E13" s="636" t="s">
        <v>267</v>
      </c>
      <c r="F13" s="149">
        <v>8</v>
      </c>
      <c r="G13" s="144"/>
    </row>
    <row r="14" spans="1:7">
      <c r="B14" s="149">
        <v>9</v>
      </c>
      <c r="C14" s="636"/>
      <c r="D14" s="636"/>
      <c r="E14" s="636"/>
      <c r="F14" s="149">
        <v>9</v>
      </c>
    </row>
    <row r="15" spans="1:7" ht="25.5">
      <c r="B15" s="149">
        <v>10</v>
      </c>
      <c r="C15" s="636" t="s">
        <v>268</v>
      </c>
      <c r="D15" s="636" t="s">
        <v>269</v>
      </c>
      <c r="E15" s="636" t="s">
        <v>270</v>
      </c>
      <c r="F15" s="149">
        <v>10</v>
      </c>
      <c r="G15" s="144"/>
    </row>
    <row r="16" spans="1:7">
      <c r="B16" s="47"/>
      <c r="C16" s="118"/>
      <c r="D16" s="118"/>
      <c r="E16" s="150"/>
      <c r="F16" s="150"/>
    </row>
    <row r="17" spans="2:13" ht="38.25">
      <c r="B17" s="47" t="s">
        <v>271</v>
      </c>
      <c r="C17" s="639"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8" t="s">
        <v>277</v>
      </c>
      <c r="D4" s="638" t="s">
        <v>278</v>
      </c>
      <c r="E4" s="150"/>
    </row>
    <row r="5" spans="1:6" ht="25.5">
      <c r="B5" s="148" t="s">
        <v>27</v>
      </c>
      <c r="C5" s="470" t="s">
        <v>279</v>
      </c>
      <c r="D5" s="470" t="s">
        <v>280</v>
      </c>
      <c r="E5" s="144"/>
      <c r="F5" s="144"/>
    </row>
    <row r="6" spans="1:6">
      <c r="B6" s="149">
        <v>1</v>
      </c>
      <c r="C6" s="636" t="s">
        <v>218</v>
      </c>
      <c r="D6" s="636"/>
      <c r="E6" s="149">
        <v>1</v>
      </c>
    </row>
    <row r="7" spans="1:6">
      <c r="B7" s="149">
        <v>2</v>
      </c>
      <c r="C7" s="636"/>
      <c r="D7" s="636" t="s">
        <v>281</v>
      </c>
      <c r="E7" s="149">
        <v>2</v>
      </c>
      <c r="F7" s="144"/>
    </row>
    <row r="8" spans="1:6">
      <c r="B8" s="149">
        <v>3</v>
      </c>
      <c r="D8" s="636"/>
      <c r="E8" s="149">
        <v>3</v>
      </c>
    </row>
    <row r="9" spans="1:6">
      <c r="B9" s="149">
        <v>4</v>
      </c>
      <c r="C9" s="636"/>
      <c r="D9" s="636" t="s">
        <v>282</v>
      </c>
      <c r="E9" s="149">
        <v>4</v>
      </c>
      <c r="F9" s="144"/>
    </row>
    <row r="10" spans="1:6">
      <c r="B10" s="149">
        <v>5</v>
      </c>
      <c r="C10" s="818"/>
      <c r="D10" s="640"/>
      <c r="E10" s="149">
        <v>5</v>
      </c>
    </row>
    <row r="11" spans="1:6" ht="63.75">
      <c r="B11" s="149">
        <v>6</v>
      </c>
      <c r="C11" s="815" t="s">
        <v>283</v>
      </c>
      <c r="D11" s="636" t="s">
        <v>284</v>
      </c>
      <c r="E11" s="149">
        <v>6</v>
      </c>
      <c r="F11" s="144"/>
    </row>
    <row r="12" spans="1:6">
      <c r="B12" s="149">
        <v>7</v>
      </c>
      <c r="C12" s="818"/>
      <c r="D12" s="641"/>
      <c r="E12" s="149">
        <v>7</v>
      </c>
    </row>
    <row r="13" spans="1:6" ht="51">
      <c r="B13" s="149">
        <v>8</v>
      </c>
      <c r="C13" s="636" t="s">
        <v>285</v>
      </c>
      <c r="D13" s="636" t="s">
        <v>286</v>
      </c>
      <c r="E13" s="149">
        <v>8</v>
      </c>
      <c r="F13" s="144"/>
    </row>
    <row r="14" spans="1:6">
      <c r="B14" s="149">
        <v>9</v>
      </c>
      <c r="C14" s="636"/>
      <c r="D14" s="636"/>
      <c r="E14" s="149">
        <v>9</v>
      </c>
    </row>
    <row r="15" spans="1:6" ht="38.25">
      <c r="B15" s="149">
        <v>10</v>
      </c>
      <c r="C15" s="636" t="s">
        <v>287</v>
      </c>
      <c r="D15" s="636" t="s">
        <v>288</v>
      </c>
      <c r="E15" s="149">
        <v>10</v>
      </c>
      <c r="F15" s="144"/>
    </row>
    <row r="16" spans="1:6">
      <c r="B16" s="47"/>
      <c r="C16" s="118"/>
      <c r="D16" s="118"/>
      <c r="E16" s="150"/>
    </row>
    <row r="17" spans="2:12" ht="38.25">
      <c r="B17" s="47" t="s">
        <v>289</v>
      </c>
      <c r="C17" s="639"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3" t="s">
        <v>291</v>
      </c>
      <c r="D2" s="139"/>
      <c r="E2" s="139"/>
      <c r="F2" s="118" t="s">
        <v>292</v>
      </c>
      <c r="G2" s="118"/>
      <c r="H2" s="118"/>
      <c r="I2" s="118"/>
      <c r="K2" s="75" t="s">
        <v>293</v>
      </c>
      <c r="L2" s="118"/>
    </row>
    <row r="3" spans="2:12" ht="25.5">
      <c r="B3" s="439" t="s">
        <v>5</v>
      </c>
      <c r="C3" s="815" t="s">
        <v>294</v>
      </c>
      <c r="D3" s="815" t="s">
        <v>295</v>
      </c>
      <c r="E3" s="815" t="s">
        <v>296</v>
      </c>
      <c r="F3" s="815" t="s">
        <v>297</v>
      </c>
      <c r="G3" s="815" t="s">
        <v>298</v>
      </c>
      <c r="H3" s="815" t="s">
        <v>299</v>
      </c>
      <c r="I3" s="815" t="s">
        <v>300</v>
      </c>
      <c r="K3" s="819" t="s">
        <v>301</v>
      </c>
      <c r="L3" s="820" t="s">
        <v>302</v>
      </c>
    </row>
    <row r="4" spans="2:12" ht="25.5">
      <c r="B4" s="148" t="s">
        <v>16</v>
      </c>
      <c r="C4" s="638" t="s">
        <v>303</v>
      </c>
      <c r="D4" s="638" t="s">
        <v>304</v>
      </c>
      <c r="E4" s="638" t="s">
        <v>305</v>
      </c>
      <c r="F4" s="638" t="s">
        <v>306</v>
      </c>
      <c r="G4" t="s">
        <v>307</v>
      </c>
      <c r="H4" s="638" t="s">
        <v>308</v>
      </c>
      <c r="I4" t="s">
        <v>309</v>
      </c>
      <c r="K4" s="183" t="s">
        <v>310</v>
      </c>
      <c r="L4" s="184" t="s">
        <v>311</v>
      </c>
    </row>
    <row r="5" spans="2:12" ht="76.5">
      <c r="B5" s="634" t="s">
        <v>27</v>
      </c>
      <c r="C5" s="635" t="s">
        <v>312</v>
      </c>
      <c r="D5" s="635" t="s">
        <v>313</v>
      </c>
      <c r="E5" s="635" t="s">
        <v>314</v>
      </c>
      <c r="F5" s="635" t="s">
        <v>315</v>
      </c>
      <c r="G5" s="635" t="s">
        <v>316</v>
      </c>
      <c r="H5" s="635" t="s">
        <v>279</v>
      </c>
      <c r="I5" s="635" t="s">
        <v>317</v>
      </c>
      <c r="K5" s="821" t="s">
        <v>318</v>
      </c>
      <c r="L5" s="822" t="s">
        <v>319</v>
      </c>
    </row>
    <row r="6" spans="2:12" ht="25.5">
      <c r="B6" s="343">
        <v>1</v>
      </c>
      <c r="C6" s="636" t="s">
        <v>320</v>
      </c>
      <c r="D6" s="636"/>
      <c r="E6" s="636"/>
      <c r="F6" s="636"/>
      <c r="G6" s="636"/>
      <c r="H6" s="636"/>
      <c r="I6" s="636"/>
      <c r="J6">
        <f t="shared" ref="J6:J14" si="0">B6</f>
        <v>1</v>
      </c>
      <c r="K6" s="823" t="s">
        <v>321</v>
      </c>
      <c r="L6" s="642" t="s">
        <v>322</v>
      </c>
    </row>
    <row r="7" spans="2:12" ht="51">
      <c r="B7" s="343">
        <v>2</v>
      </c>
      <c r="C7" s="636"/>
      <c r="D7" s="636"/>
      <c r="E7" s="636"/>
      <c r="F7" s="636"/>
      <c r="G7" s="636"/>
      <c r="H7" s="636" t="s">
        <v>323</v>
      </c>
      <c r="I7" s="636"/>
      <c r="J7">
        <f t="shared" si="0"/>
        <v>2</v>
      </c>
      <c r="K7" s="823" t="s">
        <v>324</v>
      </c>
      <c r="L7" s="642" t="s">
        <v>325</v>
      </c>
    </row>
    <row r="8" spans="2:12" ht="51">
      <c r="B8" s="343">
        <v>3</v>
      </c>
      <c r="C8" s="636"/>
      <c r="D8" s="636" t="s">
        <v>326</v>
      </c>
      <c r="E8" s="636"/>
      <c r="F8" s="636" t="s">
        <v>327</v>
      </c>
      <c r="G8" s="636"/>
      <c r="H8" s="636"/>
      <c r="I8" s="636"/>
      <c r="J8">
        <f t="shared" si="0"/>
        <v>3</v>
      </c>
      <c r="K8" s="823" t="s">
        <v>328</v>
      </c>
      <c r="L8" s="642" t="s">
        <v>329</v>
      </c>
    </row>
    <row r="9" spans="2:12" ht="51.75" thickBot="1">
      <c r="B9" s="343">
        <v>4</v>
      </c>
      <c r="C9" s="636"/>
      <c r="D9" s="636" t="s">
        <v>330</v>
      </c>
      <c r="E9" s="636"/>
      <c r="F9" s="636" t="s">
        <v>331</v>
      </c>
      <c r="G9" s="636"/>
      <c r="H9" s="636"/>
      <c r="I9" s="636"/>
      <c r="J9">
        <f t="shared" si="0"/>
        <v>4</v>
      </c>
      <c r="K9" s="893" t="s">
        <v>332</v>
      </c>
      <c r="L9" s="894"/>
    </row>
    <row r="10" spans="2:12">
      <c r="B10" s="343">
        <v>5</v>
      </c>
      <c r="C10" s="636"/>
      <c r="D10" s="636"/>
      <c r="E10" s="636"/>
      <c r="F10" s="636"/>
      <c r="G10" s="636"/>
      <c r="H10" s="636"/>
      <c r="I10" s="636"/>
      <c r="J10">
        <f t="shared" si="0"/>
        <v>5</v>
      </c>
      <c r="K10" s="439"/>
      <c r="L10" s="439"/>
    </row>
    <row r="11" spans="2:12" ht="51">
      <c r="B11" s="343">
        <v>6</v>
      </c>
      <c r="C11" s="636"/>
      <c r="D11" s="636" t="s">
        <v>333</v>
      </c>
      <c r="E11" s="636"/>
      <c r="F11" s="636" t="s">
        <v>333</v>
      </c>
      <c r="G11" s="637"/>
      <c r="H11" s="636" t="s">
        <v>334</v>
      </c>
      <c r="I11" s="636"/>
      <c r="J11">
        <f t="shared" si="0"/>
        <v>6</v>
      </c>
      <c r="K11" s="439"/>
      <c r="L11" s="439"/>
    </row>
    <row r="12" spans="2:12" ht="38.25">
      <c r="B12" s="343">
        <v>7</v>
      </c>
      <c r="C12" s="636"/>
      <c r="D12" s="636"/>
      <c r="E12" s="636" t="s">
        <v>335</v>
      </c>
      <c r="F12" s="636"/>
      <c r="G12" s="636" t="s">
        <v>336</v>
      </c>
      <c r="H12" s="636"/>
      <c r="I12" s="636"/>
      <c r="J12">
        <f t="shared" si="0"/>
        <v>7</v>
      </c>
      <c r="K12" s="439"/>
      <c r="L12" s="439"/>
    </row>
    <row r="13" spans="2:12" ht="51">
      <c r="B13" s="343">
        <v>8</v>
      </c>
      <c r="C13" s="636"/>
      <c r="D13" s="636" t="s">
        <v>337</v>
      </c>
      <c r="E13" s="636"/>
      <c r="F13" s="636" t="s">
        <v>338</v>
      </c>
      <c r="G13" s="818"/>
      <c r="H13" s="636" t="s">
        <v>339</v>
      </c>
      <c r="I13" s="636"/>
      <c r="J13">
        <f t="shared" si="0"/>
        <v>8</v>
      </c>
      <c r="K13" s="439"/>
      <c r="L13" s="439"/>
    </row>
    <row r="14" spans="2:12" ht="51">
      <c r="B14" s="343">
        <v>9</v>
      </c>
      <c r="C14" s="636"/>
      <c r="D14" s="636" t="s">
        <v>340</v>
      </c>
      <c r="E14" s="636"/>
      <c r="F14" s="636"/>
      <c r="G14" s="818"/>
      <c r="H14" s="636" t="s">
        <v>341</v>
      </c>
      <c r="I14" s="636" t="s">
        <v>49</v>
      </c>
      <c r="J14">
        <f t="shared" si="0"/>
        <v>9</v>
      </c>
      <c r="K14" s="439"/>
      <c r="L14" s="439"/>
    </row>
    <row r="15" spans="2:12" ht="25.5">
      <c r="B15" s="343">
        <v>9</v>
      </c>
      <c r="C15" s="636"/>
      <c r="D15" s="636" t="s">
        <v>342</v>
      </c>
      <c r="E15" s="636"/>
      <c r="F15" s="636"/>
      <c r="G15" s="818"/>
      <c r="H15" s="636"/>
      <c r="I15" s="818"/>
      <c r="J15">
        <v>9</v>
      </c>
      <c r="K15" s="439"/>
      <c r="L15" s="439"/>
    </row>
    <row r="16" spans="2:12" ht="51">
      <c r="B16" s="343">
        <v>10</v>
      </c>
      <c r="C16" s="636" t="s">
        <v>343</v>
      </c>
      <c r="D16" s="636" t="s">
        <v>344</v>
      </c>
      <c r="E16" s="636" t="s">
        <v>345</v>
      </c>
      <c r="F16" s="636" t="s">
        <v>344</v>
      </c>
      <c r="G16" s="637" t="s">
        <v>346</v>
      </c>
      <c r="H16" s="636" t="s">
        <v>347</v>
      </c>
      <c r="I16" s="636"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8" t="s">
        <v>277</v>
      </c>
      <c r="D4" s="638" t="s">
        <v>356</v>
      </c>
      <c r="E4" s="638" t="s">
        <v>357</v>
      </c>
      <c r="F4" s="638" t="s">
        <v>358</v>
      </c>
      <c r="G4" s="150"/>
    </row>
    <row r="5" spans="1:8" ht="51">
      <c r="B5" s="148" t="s">
        <v>27</v>
      </c>
      <c r="C5" s="470" t="s">
        <v>279</v>
      </c>
      <c r="D5" s="470" t="s">
        <v>359</v>
      </c>
      <c r="E5" s="470" t="s">
        <v>360</v>
      </c>
      <c r="F5" s="470" t="s">
        <v>361</v>
      </c>
      <c r="G5" s="144"/>
      <c r="H5" s="144"/>
    </row>
    <row r="6" spans="1:8">
      <c r="B6" s="149">
        <v>1</v>
      </c>
      <c r="C6" s="636"/>
      <c r="D6" s="636" t="s">
        <v>321</v>
      </c>
      <c r="E6" s="636" t="s">
        <v>362</v>
      </c>
      <c r="F6" s="636" t="s">
        <v>321</v>
      </c>
      <c r="G6" s="149">
        <v>1</v>
      </c>
    </row>
    <row r="7" spans="1:8">
      <c r="B7" s="149">
        <v>2</v>
      </c>
      <c r="C7" s="636" t="s">
        <v>218</v>
      </c>
      <c r="D7" s="636"/>
      <c r="E7" s="636" t="s">
        <v>363</v>
      </c>
      <c r="F7" s="636"/>
      <c r="G7" s="149">
        <v>2</v>
      </c>
      <c r="H7" s="144"/>
    </row>
    <row r="8" spans="1:8">
      <c r="B8" s="149">
        <v>3</v>
      </c>
      <c r="C8" s="639"/>
      <c r="D8" s="636"/>
      <c r="E8" s="636"/>
      <c r="F8" s="636"/>
      <c r="G8" s="149">
        <v>3</v>
      </c>
    </row>
    <row r="9" spans="1:8">
      <c r="B9" s="149">
        <v>4</v>
      </c>
      <c r="C9" s="636"/>
      <c r="D9" s="636"/>
      <c r="E9" s="636"/>
      <c r="F9" s="636"/>
      <c r="G9" s="149">
        <v>4</v>
      </c>
      <c r="H9" s="144"/>
    </row>
    <row r="10" spans="1:8" ht="25.5">
      <c r="B10" s="149">
        <v>5</v>
      </c>
      <c r="C10" s="818"/>
      <c r="D10" s="640"/>
      <c r="E10" s="640" t="s">
        <v>364</v>
      </c>
      <c r="F10" s="640"/>
      <c r="G10" s="149">
        <v>5</v>
      </c>
    </row>
    <row r="11" spans="1:8" ht="38.25">
      <c r="B11" s="149">
        <v>6</v>
      </c>
      <c r="C11" s="815" t="s">
        <v>365</v>
      </c>
      <c r="D11" s="636"/>
      <c r="E11" s="636"/>
      <c r="F11" s="636" t="s">
        <v>366</v>
      </c>
      <c r="G11" s="149">
        <v>6</v>
      </c>
      <c r="H11" s="144"/>
    </row>
    <row r="12" spans="1:8" ht="38.25">
      <c r="B12" s="149">
        <v>7</v>
      </c>
      <c r="C12" s="818"/>
      <c r="D12" s="640" t="s">
        <v>367</v>
      </c>
      <c r="E12" s="641"/>
      <c r="F12" s="641"/>
      <c r="G12" s="149">
        <v>7</v>
      </c>
    </row>
    <row r="13" spans="1:8" ht="38.25">
      <c r="B13" s="149">
        <v>8</v>
      </c>
      <c r="C13" s="636"/>
      <c r="D13" s="636"/>
      <c r="E13" s="636"/>
      <c r="F13" s="636" t="s">
        <v>368</v>
      </c>
      <c r="G13" s="149">
        <v>8</v>
      </c>
      <c r="H13" s="144"/>
    </row>
    <row r="14" spans="1:8">
      <c r="B14" s="149">
        <v>9</v>
      </c>
      <c r="C14" s="636"/>
      <c r="D14" s="636"/>
      <c r="E14" s="636"/>
      <c r="F14" s="636"/>
      <c r="G14" s="149">
        <v>9</v>
      </c>
    </row>
    <row r="15" spans="1:8" ht="38.25">
      <c r="B15" s="149">
        <v>10</v>
      </c>
      <c r="C15" s="636" t="s">
        <v>369</v>
      </c>
      <c r="D15" s="636" t="s">
        <v>370</v>
      </c>
      <c r="E15" s="636" t="s">
        <v>371</v>
      </c>
      <c r="F15" s="636" t="s">
        <v>372</v>
      </c>
      <c r="G15" s="149">
        <v>10</v>
      </c>
      <c r="H15" s="144"/>
    </row>
    <row r="16" spans="1:8">
      <c r="B16" s="47"/>
      <c r="C16" s="118"/>
      <c r="D16" s="118"/>
      <c r="E16" s="118"/>
      <c r="F16" s="118"/>
      <c r="G16" s="150"/>
    </row>
    <row r="17" spans="2:14" ht="25.5">
      <c r="B17" s="47" t="s">
        <v>289</v>
      </c>
      <c r="C17" s="639"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8" t="s">
        <v>277</v>
      </c>
      <c r="D4" s="638" t="s">
        <v>378</v>
      </c>
      <c r="E4" s="638" t="s">
        <v>379</v>
      </c>
      <c r="F4" s="638" t="s">
        <v>380</v>
      </c>
      <c r="G4" s="150"/>
    </row>
    <row r="5" spans="2:8" ht="38.25">
      <c r="B5" s="148" t="s">
        <v>27</v>
      </c>
      <c r="C5" s="470" t="s">
        <v>381</v>
      </c>
      <c r="D5" s="470" t="s">
        <v>382</v>
      </c>
      <c r="E5" s="470" t="s">
        <v>383</v>
      </c>
      <c r="F5" s="470" t="s">
        <v>384</v>
      </c>
      <c r="G5" s="144"/>
      <c r="H5" s="144"/>
    </row>
    <row r="6" spans="2:8">
      <c r="B6" s="149">
        <v>1</v>
      </c>
      <c r="C6" s="636" t="s">
        <v>218</v>
      </c>
      <c r="D6" s="636"/>
      <c r="E6" s="636"/>
      <c r="F6" s="636"/>
      <c r="G6" s="149">
        <v>1</v>
      </c>
    </row>
    <row r="7" spans="2:8">
      <c r="B7" s="149">
        <v>2</v>
      </c>
      <c r="C7" s="636"/>
      <c r="D7" s="636"/>
      <c r="E7" s="636"/>
      <c r="F7" s="636"/>
      <c r="G7" s="149">
        <v>2</v>
      </c>
      <c r="H7" s="144"/>
    </row>
    <row r="8" spans="2:8" ht="25.5">
      <c r="B8" s="149">
        <v>3</v>
      </c>
      <c r="C8" s="815"/>
      <c r="D8" s="636"/>
      <c r="E8" s="636" t="s">
        <v>385</v>
      </c>
      <c r="F8" s="636"/>
      <c r="G8" s="149">
        <v>3</v>
      </c>
    </row>
    <row r="9" spans="2:8">
      <c r="B9" s="149">
        <v>4</v>
      </c>
      <c r="C9" s="636"/>
      <c r="D9" s="636"/>
      <c r="E9" s="636"/>
      <c r="F9" s="636"/>
      <c r="G9" s="149">
        <v>4</v>
      </c>
      <c r="H9" s="144"/>
    </row>
    <row r="10" spans="2:8">
      <c r="B10" s="149">
        <v>5</v>
      </c>
      <c r="C10" s="636"/>
      <c r="D10" s="640"/>
      <c r="E10" s="640"/>
      <c r="F10" s="640"/>
      <c r="G10" s="149">
        <v>5</v>
      </c>
    </row>
    <row r="11" spans="2:8" ht="25.5">
      <c r="B11" s="149">
        <v>6</v>
      </c>
      <c r="C11" s="815"/>
      <c r="D11" s="636"/>
      <c r="E11" s="636" t="s">
        <v>386</v>
      </c>
      <c r="F11" s="636"/>
      <c r="G11" s="149">
        <v>6</v>
      </c>
      <c r="H11" s="144"/>
    </row>
    <row r="12" spans="2:8">
      <c r="B12" s="149">
        <v>7</v>
      </c>
      <c r="C12" s="636"/>
      <c r="D12" s="640"/>
      <c r="E12" s="640"/>
      <c r="F12" s="640" t="s">
        <v>387</v>
      </c>
      <c r="G12" s="149">
        <v>7</v>
      </c>
    </row>
    <row r="13" spans="2:8">
      <c r="B13" s="149">
        <v>8</v>
      </c>
      <c r="C13" s="636"/>
      <c r="D13" s="636" t="s">
        <v>49</v>
      </c>
      <c r="E13" s="636"/>
      <c r="F13" s="636"/>
      <c r="G13" s="149">
        <v>8</v>
      </c>
      <c r="H13" s="144"/>
    </row>
    <row r="14" spans="2:8">
      <c r="B14" s="149">
        <v>9</v>
      </c>
      <c r="C14" s="636"/>
      <c r="D14" s="636"/>
      <c r="E14" s="636"/>
      <c r="F14" s="636"/>
      <c r="G14" s="149">
        <v>9</v>
      </c>
    </row>
    <row r="15" spans="2:8" ht="25.5">
      <c r="B15" s="149">
        <v>10</v>
      </c>
      <c r="C15" s="636" t="s">
        <v>388</v>
      </c>
      <c r="D15" s="636" t="s">
        <v>62</v>
      </c>
      <c r="E15" s="636" t="s">
        <v>389</v>
      </c>
      <c r="F15" s="636"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8" t="s">
        <v>277</v>
      </c>
      <c r="D4" s="638" t="s">
        <v>397</v>
      </c>
      <c r="E4" s="638" t="s">
        <v>397</v>
      </c>
      <c r="F4" s="638" t="s">
        <v>379</v>
      </c>
      <c r="G4" s="638" t="s">
        <v>380</v>
      </c>
      <c r="H4" s="150"/>
    </row>
    <row r="5" spans="2:9" ht="63.75">
      <c r="B5" s="148" t="s">
        <v>27</v>
      </c>
      <c r="C5" s="470" t="s">
        <v>381</v>
      </c>
      <c r="D5" s="470" t="s">
        <v>398</v>
      </c>
      <c r="E5" s="470" t="s">
        <v>399</v>
      </c>
      <c r="F5" s="470" t="s">
        <v>400</v>
      </c>
      <c r="G5" s="470" t="s">
        <v>401</v>
      </c>
      <c r="H5" s="144"/>
      <c r="I5" s="144"/>
    </row>
    <row r="6" spans="2:9" ht="25.5">
      <c r="B6" s="149">
        <v>1</v>
      </c>
      <c r="C6" s="636"/>
      <c r="D6" s="636"/>
      <c r="E6" s="636"/>
      <c r="F6" s="636" t="s">
        <v>402</v>
      </c>
      <c r="G6" s="636"/>
      <c r="H6" s="149">
        <v>1</v>
      </c>
    </row>
    <row r="7" spans="2:9">
      <c r="B7" s="149">
        <v>2</v>
      </c>
      <c r="C7" s="636" t="s">
        <v>218</v>
      </c>
      <c r="D7" s="636"/>
      <c r="E7" s="636"/>
      <c r="F7" s="636"/>
      <c r="G7" s="636"/>
      <c r="H7" s="149">
        <v>2</v>
      </c>
      <c r="I7" s="144"/>
    </row>
    <row r="8" spans="2:9">
      <c r="B8" s="149">
        <v>3</v>
      </c>
      <c r="C8" s="815"/>
      <c r="D8" s="636"/>
      <c r="E8" s="636"/>
      <c r="F8" s="636"/>
      <c r="G8" s="636"/>
      <c r="H8" s="149">
        <v>3</v>
      </c>
    </row>
    <row r="9" spans="2:9">
      <c r="B9" s="149">
        <v>4</v>
      </c>
      <c r="C9" s="636"/>
      <c r="D9" s="636" t="s">
        <v>403</v>
      </c>
      <c r="E9" s="636"/>
      <c r="F9" s="636"/>
      <c r="G9" s="636"/>
      <c r="H9" s="149">
        <v>4</v>
      </c>
      <c r="I9" s="144"/>
    </row>
    <row r="10" spans="2:9">
      <c r="B10" s="149">
        <v>5</v>
      </c>
      <c r="C10" s="636"/>
      <c r="D10" s="640"/>
      <c r="E10" s="640" t="s">
        <v>49</v>
      </c>
      <c r="F10" s="640"/>
      <c r="G10" s="640" t="s">
        <v>387</v>
      </c>
      <c r="H10" s="149">
        <v>5</v>
      </c>
    </row>
    <row r="11" spans="2:9" ht="38.25">
      <c r="B11" s="149">
        <v>6</v>
      </c>
      <c r="C11" s="815"/>
      <c r="D11" s="636"/>
      <c r="E11" s="636"/>
      <c r="F11" s="636" t="s">
        <v>404</v>
      </c>
      <c r="G11" s="636"/>
      <c r="H11" s="149">
        <v>6</v>
      </c>
      <c r="I11" s="144"/>
    </row>
    <row r="12" spans="2:9">
      <c r="B12" s="149">
        <v>7</v>
      </c>
      <c r="C12" s="636"/>
      <c r="D12" s="640"/>
      <c r="E12" s="640"/>
      <c r="F12" s="640"/>
      <c r="G12" s="640"/>
      <c r="H12" s="149">
        <v>7</v>
      </c>
    </row>
    <row r="13" spans="2:9" ht="51">
      <c r="B13" s="149">
        <v>8</v>
      </c>
      <c r="C13" s="636"/>
      <c r="D13" s="636" t="s">
        <v>405</v>
      </c>
      <c r="E13" s="636"/>
      <c r="F13" s="636"/>
      <c r="G13" s="636" t="s">
        <v>406</v>
      </c>
      <c r="H13" s="149">
        <v>8</v>
      </c>
      <c r="I13" s="144"/>
    </row>
    <row r="14" spans="2:9">
      <c r="B14" s="149">
        <v>9</v>
      </c>
      <c r="C14" s="636"/>
      <c r="D14" s="636"/>
      <c r="E14" s="636"/>
      <c r="F14" s="636"/>
      <c r="G14" s="636"/>
      <c r="H14" s="149">
        <v>9</v>
      </c>
    </row>
    <row r="15" spans="2:9" ht="51">
      <c r="B15" s="149">
        <v>10</v>
      </c>
      <c r="C15" s="636" t="s">
        <v>407</v>
      </c>
      <c r="D15" s="636" t="s">
        <v>408</v>
      </c>
      <c r="E15" s="636" t="s">
        <v>62</v>
      </c>
      <c r="F15" s="636" t="s">
        <v>409</v>
      </c>
      <c r="G15" s="636"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8" t="s">
        <v>277</v>
      </c>
      <c r="D4" s="638" t="s">
        <v>417</v>
      </c>
      <c r="E4" s="638" t="s">
        <v>380</v>
      </c>
      <c r="F4" s="638" t="s">
        <v>418</v>
      </c>
      <c r="G4" s="150"/>
    </row>
    <row r="5" spans="1:8" ht="38.25">
      <c r="B5" s="148" t="s">
        <v>27</v>
      </c>
      <c r="C5" s="470" t="s">
        <v>381</v>
      </c>
      <c r="D5" s="470" t="s">
        <v>419</v>
      </c>
      <c r="E5" s="470" t="s">
        <v>420</v>
      </c>
      <c r="F5" s="470" t="s">
        <v>421</v>
      </c>
      <c r="G5" s="144"/>
      <c r="H5" s="144"/>
    </row>
    <row r="6" spans="1:8" ht="25.5">
      <c r="B6" s="149">
        <v>1</v>
      </c>
      <c r="C6" s="636" t="s">
        <v>218</v>
      </c>
      <c r="D6" s="636" t="s">
        <v>422</v>
      </c>
      <c r="E6" s="636"/>
      <c r="F6" s="636" t="s">
        <v>362</v>
      </c>
      <c r="G6" s="149">
        <v>1</v>
      </c>
    </row>
    <row r="7" spans="1:8">
      <c r="B7" s="149">
        <v>2</v>
      </c>
      <c r="C7" s="636"/>
      <c r="D7" s="636"/>
      <c r="E7" s="636"/>
      <c r="F7" s="636" t="s">
        <v>363</v>
      </c>
      <c r="G7" s="149">
        <v>2</v>
      </c>
      <c r="H7" s="144"/>
    </row>
    <row r="8" spans="1:8">
      <c r="B8" s="149">
        <v>3</v>
      </c>
      <c r="C8" s="815"/>
      <c r="D8" s="636"/>
      <c r="E8" s="636"/>
      <c r="F8" s="636"/>
      <c r="G8" s="149">
        <v>3</v>
      </c>
    </row>
    <row r="9" spans="1:8">
      <c r="B9" s="149">
        <v>4</v>
      </c>
      <c r="C9" s="636"/>
      <c r="D9" s="636"/>
      <c r="E9" s="636"/>
      <c r="F9" s="636"/>
      <c r="G9" s="149">
        <v>4</v>
      </c>
      <c r="H9" s="144"/>
    </row>
    <row r="10" spans="1:8">
      <c r="B10" s="149">
        <v>5</v>
      </c>
      <c r="C10" s="636"/>
      <c r="D10" s="640"/>
      <c r="E10" s="640"/>
      <c r="F10" s="640"/>
      <c r="G10" s="149">
        <v>5</v>
      </c>
    </row>
    <row r="11" spans="1:8" ht="38.25">
      <c r="B11" s="149">
        <v>6</v>
      </c>
      <c r="C11" s="815"/>
      <c r="D11" s="636" t="s">
        <v>423</v>
      </c>
      <c r="E11" s="636"/>
      <c r="F11" s="636" t="s">
        <v>424</v>
      </c>
      <c r="G11" s="149">
        <v>6</v>
      </c>
      <c r="H11" s="144"/>
    </row>
    <row r="12" spans="1:8" ht="25.5">
      <c r="B12" s="149">
        <v>7</v>
      </c>
      <c r="C12" s="636" t="s">
        <v>425</v>
      </c>
      <c r="D12" s="640"/>
      <c r="E12" s="640"/>
      <c r="F12" s="640"/>
      <c r="G12" s="149">
        <v>7</v>
      </c>
    </row>
    <row r="13" spans="1:8">
      <c r="B13" s="149">
        <v>8</v>
      </c>
      <c r="C13" s="636"/>
      <c r="D13" s="636"/>
      <c r="E13" s="636" t="s">
        <v>387</v>
      </c>
      <c r="F13" s="636"/>
      <c r="G13" s="149">
        <v>8</v>
      </c>
      <c r="H13" s="144"/>
    </row>
    <row r="14" spans="1:8">
      <c r="B14" s="149">
        <v>9</v>
      </c>
      <c r="C14" s="636"/>
      <c r="D14" s="636"/>
      <c r="E14" s="636"/>
      <c r="F14" s="636"/>
      <c r="G14" s="149">
        <v>9</v>
      </c>
    </row>
    <row r="15" spans="1:8" ht="25.5">
      <c r="B15" s="149">
        <v>10</v>
      </c>
      <c r="C15" s="636" t="s">
        <v>426</v>
      </c>
      <c r="D15" s="636" t="s">
        <v>427</v>
      </c>
      <c r="E15" s="636" t="s">
        <v>428</v>
      </c>
      <c r="F15" s="636"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8" t="s">
        <v>435</v>
      </c>
      <c r="D4" s="638" t="s">
        <v>436</v>
      </c>
      <c r="E4" s="638" t="s">
        <v>437</v>
      </c>
      <c r="F4" s="638" t="s">
        <v>438</v>
      </c>
      <c r="G4" s="150" t="s">
        <v>277</v>
      </c>
    </row>
    <row r="5" spans="2:8" ht="51">
      <c r="B5" s="148" t="s">
        <v>27</v>
      </c>
      <c r="C5" s="470" t="s">
        <v>439</v>
      </c>
      <c r="D5" s="470" t="s">
        <v>440</v>
      </c>
      <c r="E5" s="470" t="s">
        <v>441</v>
      </c>
      <c r="F5" s="470" t="s">
        <v>442</v>
      </c>
      <c r="G5" s="640" t="s">
        <v>381</v>
      </c>
      <c r="H5" s="144"/>
    </row>
    <row r="6" spans="2:8">
      <c r="B6" s="151">
        <v>1</v>
      </c>
      <c r="C6" s="636"/>
      <c r="D6" s="636"/>
      <c r="E6" s="636"/>
      <c r="F6" s="636"/>
      <c r="G6" s="640"/>
      <c r="H6" s="151">
        <v>1</v>
      </c>
    </row>
    <row r="7" spans="2:8">
      <c r="B7" s="151">
        <v>2</v>
      </c>
      <c r="C7" s="636"/>
      <c r="D7" s="636"/>
      <c r="E7" s="636"/>
      <c r="F7" s="636"/>
      <c r="G7" s="640"/>
      <c r="H7" s="151">
        <v>2</v>
      </c>
    </row>
    <row r="8" spans="2:8">
      <c r="B8" s="151">
        <v>3</v>
      </c>
      <c r="D8" s="636"/>
      <c r="F8" s="636"/>
      <c r="G8" s="640" t="s">
        <v>218</v>
      </c>
      <c r="H8" s="151">
        <v>3</v>
      </c>
    </row>
    <row r="9" spans="2:8">
      <c r="B9" s="151">
        <v>4</v>
      </c>
      <c r="C9" s="636"/>
      <c r="D9" s="636"/>
      <c r="E9" s="636"/>
      <c r="F9" s="636"/>
      <c r="G9" s="640"/>
      <c r="H9" s="151">
        <v>4</v>
      </c>
    </row>
    <row r="10" spans="2:8" ht="38.25">
      <c r="B10" s="151">
        <v>5</v>
      </c>
      <c r="C10" s="636"/>
      <c r="D10" s="640"/>
      <c r="F10" s="640"/>
      <c r="G10" s="640" t="s">
        <v>443</v>
      </c>
      <c r="H10" s="151">
        <v>5</v>
      </c>
    </row>
    <row r="11" spans="2:8" ht="25.5">
      <c r="B11" s="151">
        <v>6</v>
      </c>
      <c r="C11" s="815" t="s">
        <v>444</v>
      </c>
      <c r="D11" s="636"/>
      <c r="E11" s="636" t="s">
        <v>445</v>
      </c>
      <c r="F11" s="636"/>
      <c r="G11" s="640"/>
      <c r="H11" s="151">
        <v>6</v>
      </c>
    </row>
    <row r="12" spans="2:8" ht="38.25">
      <c r="B12" s="151">
        <v>7</v>
      </c>
      <c r="C12" s="636"/>
      <c r="D12" s="640"/>
      <c r="F12" s="640" t="s">
        <v>446</v>
      </c>
      <c r="G12" s="640" t="s">
        <v>447</v>
      </c>
      <c r="H12" s="151">
        <v>7</v>
      </c>
    </row>
    <row r="13" spans="2:8" ht="38.25">
      <c r="B13" s="151">
        <v>8</v>
      </c>
      <c r="C13" s="636" t="s">
        <v>448</v>
      </c>
      <c r="D13" s="636" t="s">
        <v>449</v>
      </c>
      <c r="E13" s="640" t="s">
        <v>450</v>
      </c>
      <c r="F13" s="636"/>
      <c r="G13" s="640"/>
      <c r="H13" s="151">
        <v>8</v>
      </c>
    </row>
    <row r="14" spans="2:8" ht="51">
      <c r="B14" s="151">
        <v>9</v>
      </c>
      <c r="C14" s="636"/>
      <c r="D14" s="636"/>
      <c r="E14" s="640" t="s">
        <v>451</v>
      </c>
      <c r="F14" s="636" t="s">
        <v>452</v>
      </c>
      <c r="G14" s="640" t="s">
        <v>453</v>
      </c>
      <c r="H14" s="151">
        <v>9</v>
      </c>
    </row>
    <row r="15" spans="2:8" ht="38.25">
      <c r="B15" s="151">
        <v>9</v>
      </c>
      <c r="C15" s="636"/>
      <c r="D15" s="636"/>
      <c r="E15" s="636"/>
      <c r="F15" s="636"/>
      <c r="G15" s="643" t="s">
        <v>454</v>
      </c>
      <c r="H15" s="151">
        <v>9</v>
      </c>
    </row>
    <row r="16" spans="2:8" ht="38.25">
      <c r="B16" s="152">
        <v>10</v>
      </c>
      <c r="C16" s="643" t="s">
        <v>455</v>
      </c>
      <c r="D16" s="640" t="s">
        <v>456</v>
      </c>
      <c r="E16" s="640" t="s">
        <v>457</v>
      </c>
      <c r="F16" s="640" t="s">
        <v>458</v>
      </c>
      <c r="G16" s="640" t="s">
        <v>459</v>
      </c>
      <c r="H16" s="152">
        <v>10</v>
      </c>
    </row>
    <row r="17" spans="2:14" ht="25.5">
      <c r="B17" s="152">
        <v>10</v>
      </c>
      <c r="C17" s="640" t="s">
        <v>460</v>
      </c>
      <c r="D17" s="641" t="s">
        <v>461</v>
      </c>
      <c r="E17" s="640"/>
      <c r="F17" s="640"/>
      <c r="G17" s="640"/>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8" t="s">
        <v>468</v>
      </c>
      <c r="D4" s="638" t="s">
        <v>277</v>
      </c>
      <c r="E4" s="638" t="s">
        <v>469</v>
      </c>
      <c r="F4" s="638" t="s">
        <v>309</v>
      </c>
    </row>
    <row r="5" spans="2:7" ht="51">
      <c r="B5" s="148" t="s">
        <v>27</v>
      </c>
      <c r="C5" s="470" t="s">
        <v>470</v>
      </c>
      <c r="D5" s="470" t="s">
        <v>471</v>
      </c>
      <c r="E5" s="470" t="s">
        <v>472</v>
      </c>
      <c r="F5" s="470" t="s">
        <v>317</v>
      </c>
      <c r="G5" s="144"/>
    </row>
    <row r="6" spans="2:7" ht="38.25">
      <c r="B6" s="151">
        <v>1</v>
      </c>
      <c r="C6" s="636" t="s">
        <v>473</v>
      </c>
      <c r="D6" s="636" t="s">
        <v>218</v>
      </c>
      <c r="E6" s="636"/>
      <c r="F6" s="636"/>
      <c r="G6" s="151">
        <v>1</v>
      </c>
    </row>
    <row r="7" spans="2:7">
      <c r="B7" s="151">
        <v>2</v>
      </c>
      <c r="C7" s="636"/>
      <c r="D7" s="636"/>
      <c r="E7" s="636"/>
      <c r="F7" s="636"/>
      <c r="G7" s="151">
        <v>2</v>
      </c>
    </row>
    <row r="8" spans="2:7">
      <c r="B8" s="151">
        <v>3</v>
      </c>
      <c r="C8" s="815"/>
      <c r="D8" s="636"/>
      <c r="E8" s="636"/>
      <c r="F8" s="636"/>
      <c r="G8" s="151">
        <v>3</v>
      </c>
    </row>
    <row r="9" spans="2:7">
      <c r="B9" s="151">
        <v>4</v>
      </c>
      <c r="C9" s="636"/>
      <c r="E9" s="636"/>
      <c r="F9" s="636"/>
      <c r="G9" s="151">
        <v>4</v>
      </c>
    </row>
    <row r="10" spans="2:7" ht="38.25">
      <c r="B10" s="151">
        <v>5</v>
      </c>
      <c r="C10" s="636"/>
      <c r="D10" s="636" t="s">
        <v>474</v>
      </c>
      <c r="E10" s="640"/>
      <c r="F10" s="640"/>
      <c r="G10" s="151">
        <v>5</v>
      </c>
    </row>
    <row r="11" spans="2:7" ht="25.5">
      <c r="B11" s="151">
        <v>5</v>
      </c>
      <c r="C11" s="815"/>
      <c r="D11" s="643" t="s">
        <v>475</v>
      </c>
      <c r="E11" s="640"/>
      <c r="F11" s="636"/>
      <c r="G11" s="151">
        <v>5</v>
      </c>
    </row>
    <row r="12" spans="2:7">
      <c r="B12" s="151">
        <v>6</v>
      </c>
      <c r="C12" s="636"/>
      <c r="D12" s="640"/>
      <c r="E12" s="640"/>
      <c r="F12" s="640"/>
      <c r="G12" s="151">
        <v>6</v>
      </c>
    </row>
    <row r="13" spans="2:7" ht="38.25">
      <c r="B13" s="151">
        <v>7</v>
      </c>
      <c r="C13" s="636"/>
      <c r="D13" s="636"/>
      <c r="E13" s="640" t="s">
        <v>476</v>
      </c>
      <c r="F13" s="636"/>
      <c r="G13" s="151">
        <v>7</v>
      </c>
    </row>
    <row r="14" spans="2:7">
      <c r="B14" s="151">
        <v>8</v>
      </c>
      <c r="C14" s="636"/>
      <c r="D14" s="636"/>
      <c r="E14" s="636"/>
      <c r="F14" s="636"/>
      <c r="G14" s="151">
        <v>8</v>
      </c>
    </row>
    <row r="15" spans="2:7">
      <c r="B15" s="151">
        <v>9</v>
      </c>
      <c r="C15" s="636"/>
      <c r="D15" s="636"/>
      <c r="E15" s="636"/>
      <c r="F15" s="636" t="s">
        <v>49</v>
      </c>
      <c r="G15" s="151">
        <v>9</v>
      </c>
    </row>
    <row r="16" spans="2:7" ht="38.25">
      <c r="B16" s="152">
        <v>10</v>
      </c>
      <c r="C16" s="640" t="s">
        <v>477</v>
      </c>
      <c r="D16" s="640" t="s">
        <v>478</v>
      </c>
      <c r="E16" s="640" t="s">
        <v>49</v>
      </c>
      <c r="F16" s="640" t="s">
        <v>62</v>
      </c>
      <c r="G16" s="152">
        <v>10</v>
      </c>
    </row>
    <row r="17" spans="2:13" ht="38.25">
      <c r="B17" s="152">
        <v>10</v>
      </c>
      <c r="C17" s="640"/>
      <c r="D17" s="643" t="s">
        <v>479</v>
      </c>
      <c r="E17" s="643" t="s">
        <v>480</v>
      </c>
      <c r="F17" s="640"/>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4" t="s">
        <v>483</v>
      </c>
      <c r="E56" s="804" t="s">
        <v>484</v>
      </c>
      <c r="G56" s="118"/>
    </row>
    <row r="57" spans="2:7">
      <c r="B57" s="47"/>
      <c r="D57" s="638" t="s">
        <v>486</v>
      </c>
      <c r="E57" s="638" t="s">
        <v>487</v>
      </c>
      <c r="G57" s="118"/>
    </row>
    <row r="58" spans="2:7" ht="191.25">
      <c r="B58" s="47"/>
      <c r="D58" s="470" t="s">
        <v>504</v>
      </c>
      <c r="E58" s="470" t="s">
        <v>505</v>
      </c>
      <c r="G58" s="118"/>
    </row>
    <row r="59" spans="2:7" ht="25.5">
      <c r="B59" s="47"/>
      <c r="D59" s="664" t="s">
        <v>490</v>
      </c>
      <c r="E59" s="665" t="s">
        <v>492</v>
      </c>
      <c r="G59" s="118"/>
    </row>
    <row r="60" spans="2:7" ht="25.5">
      <c r="B60" s="47"/>
      <c r="D60" s="664" t="s">
        <v>495</v>
      </c>
      <c r="E60" s="664" t="s">
        <v>493</v>
      </c>
      <c r="G60" s="118"/>
    </row>
    <row r="61" spans="2:7" ht="34.15" customHeight="1">
      <c r="B61" s="47"/>
      <c r="D61" s="47"/>
      <c r="E61" s="666"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I28" sqref="AI28:AL28"/>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6" t="s">
        <v>506</v>
      </c>
      <c r="B1" s="527"/>
      <c r="C1" s="824"/>
      <c r="D1" s="824"/>
      <c r="E1" s="824"/>
      <c r="F1" s="824"/>
      <c r="G1" s="824"/>
      <c r="H1" s="824"/>
      <c r="I1" s="824"/>
      <c r="J1" s="824"/>
      <c r="K1" s="824"/>
      <c r="L1" s="824"/>
      <c r="M1" s="824"/>
      <c r="N1" s="824"/>
      <c r="O1" s="824"/>
      <c r="P1" s="824"/>
      <c r="Q1" s="824"/>
      <c r="R1" s="824"/>
      <c r="S1" s="824"/>
      <c r="T1" s="824"/>
      <c r="U1" s="824"/>
      <c r="V1" s="824"/>
      <c r="W1" s="824"/>
      <c r="X1" s="824"/>
      <c r="Y1" s="824"/>
      <c r="Z1" s="824"/>
      <c r="AA1" s="824"/>
      <c r="AB1" s="824"/>
      <c r="AC1" s="824"/>
      <c r="AD1" s="824"/>
      <c r="AE1" s="824"/>
      <c r="AF1" s="824"/>
      <c r="AG1" s="824"/>
      <c r="AH1" s="824"/>
      <c r="AI1" s="824"/>
      <c r="AJ1" s="824"/>
      <c r="AK1" s="824"/>
      <c r="AL1" s="824"/>
      <c r="AM1" s="824"/>
      <c r="AN1" s="824"/>
      <c r="AO1" s="824"/>
      <c r="AP1" s="824"/>
      <c r="AQ1" s="824"/>
      <c r="AR1" s="824"/>
      <c r="AS1" s="824"/>
      <c r="AT1" s="824"/>
      <c r="AU1" s="824"/>
      <c r="AV1" s="824"/>
      <c r="AW1" s="824"/>
      <c r="AX1" s="824"/>
      <c r="AY1" s="824"/>
      <c r="AZ1" s="824"/>
      <c r="BA1" s="824"/>
      <c r="BB1" s="824"/>
      <c r="BC1" s="824"/>
    </row>
    <row r="2" spans="1:55" s="77" customFormat="1" ht="42.75" customHeight="1" thickTop="1">
      <c r="A2" s="825"/>
      <c r="B2" s="948" t="s">
        <v>507</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50"/>
      <c r="AJ2" s="950"/>
      <c r="AK2" s="950"/>
      <c r="AL2" s="950"/>
      <c r="AM2" s="950"/>
      <c r="AN2" s="950"/>
      <c r="AO2" s="950"/>
      <c r="AP2" s="950"/>
      <c r="AQ2" s="950"/>
      <c r="AR2" s="950"/>
      <c r="AS2" s="950"/>
      <c r="AT2" s="950"/>
      <c r="AU2" s="950"/>
      <c r="AV2" s="950"/>
      <c r="AW2" s="950"/>
      <c r="AX2" s="950"/>
      <c r="AY2" s="950"/>
      <c r="AZ2" s="950"/>
      <c r="BA2" s="950"/>
      <c r="BB2" s="951"/>
      <c r="BC2" s="825"/>
    </row>
    <row r="3" spans="1:55" s="41" customFormat="1" ht="12.95" customHeight="1">
      <c r="A3" s="824"/>
      <c r="B3" s="962" t="s">
        <v>508</v>
      </c>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4"/>
      <c r="BC3" s="824"/>
    </row>
    <row r="4" spans="1:55" s="41" customFormat="1" ht="12.95" customHeight="1">
      <c r="A4" s="824"/>
      <c r="B4" s="962"/>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4"/>
      <c r="BC4" s="824"/>
    </row>
    <row r="5" spans="1:55" s="41" customFormat="1" ht="12.95" customHeight="1">
      <c r="A5" s="824"/>
      <c r="B5" s="962"/>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4"/>
      <c r="BC5" s="824"/>
    </row>
    <row r="6" spans="1:55" s="41" customFormat="1" ht="12.95" customHeight="1">
      <c r="A6" s="824"/>
      <c r="B6" s="962"/>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BA6" s="963"/>
      <c r="BB6" s="964"/>
      <c r="BC6" s="824"/>
    </row>
    <row r="7" spans="1:55" s="41" customFormat="1" ht="12.95" customHeight="1">
      <c r="A7" s="824"/>
      <c r="B7" s="505"/>
      <c r="C7" s="959" t="s">
        <v>509</v>
      </c>
      <c r="D7" s="959"/>
      <c r="E7" s="959"/>
      <c r="F7" s="959"/>
      <c r="G7" s="959"/>
      <c r="H7" s="959"/>
      <c r="I7" s="959"/>
      <c r="J7" s="959"/>
      <c r="K7" s="959"/>
      <c r="L7" s="959"/>
      <c r="M7" s="959"/>
      <c r="N7" s="959"/>
      <c r="O7" s="959"/>
      <c r="P7" s="959"/>
      <c r="Q7" s="959"/>
      <c r="R7" s="959"/>
      <c r="S7" s="959"/>
      <c r="T7" s="959"/>
      <c r="U7" s="952" t="s">
        <v>510</v>
      </c>
      <c r="V7" s="952"/>
      <c r="W7" s="952"/>
      <c r="X7" s="952"/>
      <c r="Y7" s="952"/>
      <c r="Z7" s="952"/>
      <c r="AA7" s="952"/>
      <c r="AB7" s="952"/>
      <c r="AC7" s="952"/>
      <c r="AD7" s="952"/>
      <c r="AE7" s="952"/>
      <c r="AF7" s="952"/>
      <c r="AG7" s="952"/>
      <c r="AH7" s="952"/>
      <c r="AI7" s="952"/>
      <c r="AJ7" s="952"/>
      <c r="AK7" s="952"/>
      <c r="AL7" s="952"/>
      <c r="AM7" s="952"/>
      <c r="AN7" s="118"/>
      <c r="AO7" s="952" t="s">
        <v>511</v>
      </c>
      <c r="AP7" s="952"/>
      <c r="AQ7" s="952"/>
      <c r="AR7" s="952"/>
      <c r="AS7" s="952"/>
      <c r="AT7" s="952"/>
      <c r="AU7" s="952"/>
      <c r="AV7" s="952"/>
      <c r="AW7" s="960" t="s">
        <v>512</v>
      </c>
      <c r="AX7" s="960"/>
      <c r="AY7" s="960"/>
      <c r="AZ7" s="960"/>
      <c r="BA7" s="960"/>
      <c r="BB7" s="961"/>
      <c r="BC7" s="824"/>
    </row>
    <row r="8" spans="1:55" s="41" customFormat="1" ht="16.899999999999999" customHeight="1">
      <c r="A8" s="824"/>
      <c r="B8" s="505"/>
      <c r="C8" s="959"/>
      <c r="D8" s="959"/>
      <c r="E8" s="959"/>
      <c r="F8" s="959"/>
      <c r="G8" s="959"/>
      <c r="H8" s="959"/>
      <c r="I8" s="959"/>
      <c r="J8" s="959"/>
      <c r="K8" s="959"/>
      <c r="L8" s="959"/>
      <c r="M8" s="959"/>
      <c r="N8" s="959"/>
      <c r="O8" s="959"/>
      <c r="P8" s="959"/>
      <c r="Q8" s="959"/>
      <c r="R8" s="959"/>
      <c r="S8" s="959"/>
      <c r="T8" s="959"/>
      <c r="U8" s="952"/>
      <c r="V8" s="952"/>
      <c r="W8" s="952"/>
      <c r="X8" s="952"/>
      <c r="Y8" s="952"/>
      <c r="Z8" s="952"/>
      <c r="AA8" s="952"/>
      <c r="AB8" s="952"/>
      <c r="AC8" s="952"/>
      <c r="AD8" s="952"/>
      <c r="AE8" s="952"/>
      <c r="AF8" s="952"/>
      <c r="AG8" s="952"/>
      <c r="AH8" s="952"/>
      <c r="AI8" s="952"/>
      <c r="AJ8" s="952"/>
      <c r="AK8" s="952"/>
      <c r="AL8" s="952"/>
      <c r="AM8" s="952"/>
      <c r="AN8" s="118"/>
      <c r="AO8" s="952"/>
      <c r="AP8" s="952"/>
      <c r="AQ8" s="952"/>
      <c r="AR8" s="952"/>
      <c r="AS8" s="952"/>
      <c r="AT8" s="952"/>
      <c r="AU8" s="952"/>
      <c r="AV8" s="952"/>
      <c r="AW8" s="960"/>
      <c r="AX8" s="960"/>
      <c r="AY8" s="960"/>
      <c r="AZ8" s="960"/>
      <c r="BA8" s="960"/>
      <c r="BB8" s="961"/>
      <c r="BC8" s="824"/>
    </row>
    <row r="9" spans="1:55" s="41" customFormat="1" ht="12.95" customHeight="1">
      <c r="A9" s="824"/>
      <c r="B9" s="965" t="s">
        <v>513</v>
      </c>
      <c r="C9" s="966"/>
      <c r="D9" s="966"/>
      <c r="E9" s="966"/>
      <c r="F9" s="966"/>
      <c r="G9" s="947" t="s">
        <v>514</v>
      </c>
      <c r="H9" s="947"/>
      <c r="I9" s="947"/>
      <c r="J9" s="947"/>
      <c r="K9" s="947"/>
      <c r="L9" s="947"/>
      <c r="M9" s="947"/>
      <c r="N9" s="947"/>
      <c r="O9" s="947"/>
      <c r="P9" s="947"/>
      <c r="Q9" s="947"/>
      <c r="R9" s="947"/>
      <c r="S9" s="947"/>
      <c r="T9" s="947"/>
      <c r="U9" s="472"/>
      <c r="V9" s="472"/>
      <c r="W9" s="472"/>
      <c r="X9" s="472"/>
      <c r="Y9" s="472"/>
      <c r="Z9" s="472"/>
      <c r="AA9" s="164" t="s">
        <v>515</v>
      </c>
      <c r="AB9" s="953" t="s">
        <v>516</v>
      </c>
      <c r="AC9" s="954"/>
      <c r="AD9" s="954"/>
      <c r="AE9" s="954"/>
      <c r="AF9" s="954"/>
      <c r="AG9" s="954"/>
      <c r="AH9" s="954"/>
      <c r="AI9" s="954"/>
      <c r="AJ9" s="954"/>
      <c r="AK9" s="954"/>
      <c r="AL9" s="955"/>
      <c r="AM9" s="118"/>
      <c r="AN9" s="118"/>
      <c r="AO9"/>
      <c r="AP9" s="473" t="s">
        <v>517</v>
      </c>
      <c r="AQ9" s="205" t="s">
        <v>0</v>
      </c>
      <c r="AR9" s="439"/>
      <c r="AS9" s="118"/>
      <c r="AT9" s="118"/>
      <c r="AU9" s="118"/>
      <c r="AV9"/>
      <c r="AW9"/>
      <c r="AX9"/>
      <c r="AY9"/>
      <c r="AZ9"/>
      <c r="BA9"/>
      <c r="BB9" s="471"/>
      <c r="BC9" s="824"/>
    </row>
    <row r="10" spans="1:55" s="41" customFormat="1" ht="12.95" customHeight="1">
      <c r="A10" s="824"/>
      <c r="B10" s="965"/>
      <c r="C10" s="966"/>
      <c r="D10" s="966"/>
      <c r="E10" s="966"/>
      <c r="F10" s="966"/>
      <c r="G10" s="947"/>
      <c r="H10" s="947"/>
      <c r="I10" s="947"/>
      <c r="J10" s="947"/>
      <c r="K10" s="947"/>
      <c r="L10" s="947"/>
      <c r="M10" s="947"/>
      <c r="N10" s="947"/>
      <c r="O10" s="947"/>
      <c r="P10" s="947"/>
      <c r="Q10" s="947"/>
      <c r="R10" s="947"/>
      <c r="S10" s="947"/>
      <c r="T10" s="947"/>
      <c r="U10" s="472"/>
      <c r="V10" s="472"/>
      <c r="W10" s="472"/>
      <c r="X10" s="472"/>
      <c r="Y10" s="472"/>
      <c r="Z10" s="472"/>
      <c r="AA10" s="164" t="s">
        <v>518</v>
      </c>
      <c r="AB10" s="953" t="s">
        <v>519</v>
      </c>
      <c r="AC10" s="954"/>
      <c r="AD10" s="954"/>
      <c r="AE10" s="954"/>
      <c r="AF10" s="954"/>
      <c r="AG10" s="954"/>
      <c r="AH10" s="954"/>
      <c r="AI10" s="954"/>
      <c r="AJ10" s="954"/>
      <c r="AK10" s="954"/>
      <c r="AL10" s="955"/>
      <c r="AM10" s="118"/>
      <c r="AN10" s="118"/>
      <c r="AO10"/>
      <c r="AP10" s="473" t="s">
        <v>520</v>
      </c>
      <c r="AQ10" s="205" t="s">
        <v>521</v>
      </c>
      <c r="AR10" s="118"/>
      <c r="AS10" s="118"/>
      <c r="AT10" s="118"/>
      <c r="AU10" s="118"/>
      <c r="AV10"/>
      <c r="AW10"/>
      <c r="AX10"/>
      <c r="AY10"/>
      <c r="AZ10"/>
      <c r="BA10"/>
      <c r="BB10" s="471"/>
      <c r="BC10" s="824"/>
    </row>
    <row r="11" spans="1:55" s="41" customFormat="1" ht="12.95" customHeight="1">
      <c r="A11" s="824"/>
      <c r="B11" s="965"/>
      <c r="C11" s="966"/>
      <c r="D11" s="966"/>
      <c r="E11" s="966"/>
      <c r="F11" s="966"/>
      <c r="G11" s="947"/>
      <c r="H11" s="947"/>
      <c r="I11" s="947"/>
      <c r="J11" s="947"/>
      <c r="K11" s="947"/>
      <c r="L11" s="947"/>
      <c r="M11" s="947"/>
      <c r="N11" s="947"/>
      <c r="O11" s="947"/>
      <c r="P11" s="947"/>
      <c r="Q11" s="947"/>
      <c r="R11" s="947"/>
      <c r="S11" s="947"/>
      <c r="T11" s="947"/>
      <c r="U11" s="472"/>
      <c r="V11" s="472"/>
      <c r="W11" s="472"/>
      <c r="X11" s="472"/>
      <c r="Y11" s="472"/>
      <c r="Z11" s="472"/>
      <c r="AA11" s="164" t="s">
        <v>522</v>
      </c>
      <c r="AB11" s="956" t="s">
        <v>523</v>
      </c>
      <c r="AC11" s="957"/>
      <c r="AD11" s="957"/>
      <c r="AE11" s="957"/>
      <c r="AF11" s="957"/>
      <c r="AG11" s="957"/>
      <c r="AH11" s="957"/>
      <c r="AI11" s="957"/>
      <c r="AJ11" s="957"/>
      <c r="AK11" s="957"/>
      <c r="AL11" s="958"/>
      <c r="AM11" s="118"/>
      <c r="AN11" s="118"/>
      <c r="AO11"/>
      <c r="AP11" s="473" t="s">
        <v>524</v>
      </c>
      <c r="AQ11" s="205" t="s">
        <v>95</v>
      </c>
      <c r="AR11" s="118"/>
      <c r="AS11" s="118"/>
      <c r="AT11" s="118"/>
      <c r="AU11" s="118"/>
      <c r="AV11"/>
      <c r="AW11"/>
      <c r="AX11"/>
      <c r="AY11"/>
      <c r="AZ11"/>
      <c r="BA11"/>
      <c r="BB11" s="471"/>
      <c r="BC11" s="824"/>
    </row>
    <row r="12" spans="1:55" s="41" customFormat="1" ht="12.95" customHeight="1">
      <c r="A12" s="824"/>
      <c r="B12" s="965" t="s">
        <v>525</v>
      </c>
      <c r="C12" s="966"/>
      <c r="D12" s="966"/>
      <c r="E12" s="966"/>
      <c r="F12" s="966"/>
      <c r="G12" s="947" t="s">
        <v>526</v>
      </c>
      <c r="H12" s="947"/>
      <c r="I12" s="947"/>
      <c r="J12" s="947"/>
      <c r="K12" s="947"/>
      <c r="L12" s="947"/>
      <c r="M12" s="947"/>
      <c r="N12" s="947"/>
      <c r="O12" s="947"/>
      <c r="P12" s="947"/>
      <c r="Q12" s="947"/>
      <c r="R12" s="947"/>
      <c r="S12" s="947"/>
      <c r="T12" s="947"/>
      <c r="U12" s="472"/>
      <c r="V12" s="472"/>
      <c r="W12" s="472"/>
      <c r="X12" s="472"/>
      <c r="Y12" s="472"/>
      <c r="Z12" s="472"/>
      <c r="AA12" s="164" t="s">
        <v>527</v>
      </c>
      <c r="AB12" s="969" t="s">
        <v>528</v>
      </c>
      <c r="AC12" s="967"/>
      <c r="AD12" s="967"/>
      <c r="AE12" s="967"/>
      <c r="AF12" s="967"/>
      <c r="AG12" s="967"/>
      <c r="AH12" s="970"/>
      <c r="AI12" s="967"/>
      <c r="AJ12" s="967"/>
      <c r="AK12" s="967"/>
      <c r="AL12" s="968"/>
      <c r="AM12" s="118"/>
      <c r="AN12" s="118"/>
      <c r="AO12"/>
      <c r="AP12" s="473" t="s">
        <v>529</v>
      </c>
      <c r="AQ12" s="205" t="s">
        <v>530</v>
      </c>
      <c r="AR12" s="118"/>
      <c r="AS12" s="118"/>
      <c r="AT12"/>
      <c r="AU12"/>
      <c r="AV12"/>
      <c r="AW12"/>
      <c r="AX12"/>
      <c r="AY12"/>
      <c r="AZ12"/>
      <c r="BA12"/>
      <c r="BB12" s="471"/>
      <c r="BC12" s="824"/>
    </row>
    <row r="13" spans="1:55" s="41" customFormat="1" ht="12.95" customHeight="1">
      <c r="A13" s="824"/>
      <c r="B13" s="965"/>
      <c r="C13" s="966"/>
      <c r="D13" s="966"/>
      <c r="E13" s="966"/>
      <c r="F13" s="966"/>
      <c r="G13" s="947"/>
      <c r="H13" s="947"/>
      <c r="I13" s="947"/>
      <c r="J13" s="947"/>
      <c r="K13" s="947"/>
      <c r="L13" s="947"/>
      <c r="M13" s="947"/>
      <c r="N13" s="947"/>
      <c r="O13" s="947"/>
      <c r="P13" s="947"/>
      <c r="Q13" s="947"/>
      <c r="R13" s="947"/>
      <c r="S13" s="947"/>
      <c r="T13" s="947"/>
      <c r="U13" s="472"/>
      <c r="V13" s="472"/>
      <c r="W13" s="472"/>
      <c r="X13" s="472"/>
      <c r="Y13" s="472"/>
      <c r="Z13" s="472"/>
      <c r="AA13" s="164" t="s">
        <v>531</v>
      </c>
      <c r="AB13" s="953" t="s">
        <v>532</v>
      </c>
      <c r="AC13" s="954"/>
      <c r="AD13" s="954"/>
      <c r="AE13" s="954"/>
      <c r="AF13" s="954"/>
      <c r="AG13" s="954"/>
      <c r="AH13" s="954"/>
      <c r="AI13" s="954"/>
      <c r="AJ13" s="954"/>
      <c r="AK13" s="954"/>
      <c r="AL13" s="955"/>
      <c r="AM13" s="118"/>
      <c r="AN13" s="118"/>
      <c r="AO13"/>
      <c r="AP13" s="473" t="s">
        <v>533</v>
      </c>
      <c r="AQ13" s="205" t="s">
        <v>141</v>
      </c>
      <c r="AR13" s="118"/>
      <c r="AS13" s="118"/>
      <c r="AT13"/>
      <c r="AU13"/>
      <c r="AV13"/>
      <c r="AW13"/>
      <c r="AX13"/>
      <c r="AY13"/>
      <c r="AZ13" s="118"/>
      <c r="BA13" s="118"/>
      <c r="BB13" s="469"/>
      <c r="BC13" s="824"/>
    </row>
    <row r="14" spans="1:55" s="41" customFormat="1" ht="12.95" customHeight="1">
      <c r="A14" s="824"/>
      <c r="B14" s="965"/>
      <c r="C14" s="966"/>
      <c r="D14" s="966"/>
      <c r="E14" s="966"/>
      <c r="F14" s="966"/>
      <c r="G14" s="947"/>
      <c r="H14" s="947"/>
      <c r="I14" s="947"/>
      <c r="J14" s="947"/>
      <c r="K14" s="947"/>
      <c r="L14" s="947"/>
      <c r="M14" s="947"/>
      <c r="N14" s="947"/>
      <c r="O14" s="947"/>
      <c r="P14" s="947"/>
      <c r="Q14" s="947"/>
      <c r="R14" s="947"/>
      <c r="S14" s="947"/>
      <c r="T14" s="947"/>
      <c r="U14" s="472"/>
      <c r="V14" s="472"/>
      <c r="W14" s="472"/>
      <c r="X14" s="472"/>
      <c r="Y14" s="472"/>
      <c r="Z14" s="472"/>
      <c r="AA14" s="164" t="s">
        <v>534</v>
      </c>
      <c r="AB14" s="981" t="s">
        <v>535</v>
      </c>
      <c r="AC14" s="982"/>
      <c r="AD14" s="982"/>
      <c r="AE14" s="982"/>
      <c r="AF14" s="982"/>
      <c r="AG14" s="982"/>
      <c r="AH14" s="982"/>
      <c r="AI14" s="982"/>
      <c r="AJ14" s="982"/>
      <c r="AK14" s="982"/>
      <c r="AL14" s="983"/>
      <c r="AM14" s="118"/>
      <c r="AN14" s="118"/>
      <c r="AO14"/>
      <c r="AP14" s="473" t="s">
        <v>536</v>
      </c>
      <c r="AQ14" s="205" t="s">
        <v>537</v>
      </c>
      <c r="AR14" s="118"/>
      <c r="AS14" s="118"/>
      <c r="AT14"/>
      <c r="AU14"/>
      <c r="AV14"/>
      <c r="AW14"/>
      <c r="AX14"/>
      <c r="AY14"/>
      <c r="AZ14" s="118"/>
      <c r="BA14" s="118"/>
      <c r="BB14" s="469"/>
      <c r="BC14" s="824"/>
    </row>
    <row r="15" spans="1:55" s="41" customFormat="1" ht="12.95" customHeight="1">
      <c r="A15" s="824"/>
      <c r="B15" s="945" t="s">
        <v>538</v>
      </c>
      <c r="C15" s="946"/>
      <c r="D15" s="946"/>
      <c r="E15" s="946"/>
      <c r="F15" s="946"/>
      <c r="G15" s="947" t="s">
        <v>539</v>
      </c>
      <c r="H15" s="947"/>
      <c r="I15" s="947"/>
      <c r="J15" s="947"/>
      <c r="K15" s="947"/>
      <c r="L15" s="947"/>
      <c r="M15" s="947"/>
      <c r="N15" s="947"/>
      <c r="O15" s="947"/>
      <c r="P15" s="947"/>
      <c r="Q15" s="947"/>
      <c r="R15" s="947"/>
      <c r="S15" s="947"/>
      <c r="T15" s="947"/>
      <c r="U15" s="472"/>
      <c r="V15" s="472"/>
      <c r="W15" s="472"/>
      <c r="X15" s="472"/>
      <c r="Y15" s="472"/>
      <c r="Z15" s="472"/>
      <c r="AA15" s="484" t="s">
        <v>540</v>
      </c>
      <c r="AB15" s="971"/>
      <c r="AC15" s="971"/>
      <c r="AD15" s="971"/>
      <c r="AE15" s="971"/>
      <c r="AF15" s="971"/>
      <c r="AG15" s="971"/>
      <c r="AH15" s="971"/>
      <c r="AI15" s="971"/>
      <c r="AJ15" s="971"/>
      <c r="AK15" s="971"/>
      <c r="AL15" s="971"/>
      <c r="AM15" s="118"/>
      <c r="AN15" s="118"/>
      <c r="AO15"/>
      <c r="AP15" s="473" t="s">
        <v>541</v>
      </c>
      <c r="AQ15" s="205" t="s">
        <v>164</v>
      </c>
      <c r="AR15" s="118"/>
      <c r="AS15" s="118"/>
      <c r="AT15"/>
      <c r="AU15"/>
      <c r="AV15"/>
      <c r="AW15"/>
      <c r="AX15"/>
      <c r="AY15"/>
      <c r="AZ15" s="118"/>
      <c r="BA15" s="118"/>
      <c r="BB15" s="469"/>
      <c r="BC15" s="824"/>
    </row>
    <row r="16" spans="1:55" s="41" customFormat="1" ht="12.95" customHeight="1">
      <c r="A16" s="824"/>
      <c r="B16" s="945"/>
      <c r="C16" s="946"/>
      <c r="D16" s="946"/>
      <c r="E16" s="946"/>
      <c r="F16" s="946"/>
      <c r="G16" s="947"/>
      <c r="H16" s="947"/>
      <c r="I16" s="947"/>
      <c r="J16" s="947"/>
      <c r="K16" s="947"/>
      <c r="L16" s="947"/>
      <c r="M16" s="947"/>
      <c r="N16" s="947"/>
      <c r="O16" s="947"/>
      <c r="P16" s="947"/>
      <c r="Q16" s="947"/>
      <c r="R16" s="947"/>
      <c r="S16" s="947"/>
      <c r="T16" s="947"/>
      <c r="U16" s="472"/>
      <c r="V16" s="472"/>
      <c r="W16" s="472"/>
      <c r="X16" s="472"/>
      <c r="Y16" s="472"/>
      <c r="Z16" s="472"/>
      <c r="AA16" s="164" t="s">
        <v>542</v>
      </c>
      <c r="AB16" s="972" t="s">
        <v>543</v>
      </c>
      <c r="AC16" s="973"/>
      <c r="AD16" s="973"/>
      <c r="AE16" s="973"/>
      <c r="AF16" s="973"/>
      <c r="AG16" s="973"/>
      <c r="AH16" s="973"/>
      <c r="AI16" s="973"/>
      <c r="AJ16" s="973"/>
      <c r="AK16" s="973"/>
      <c r="AL16" s="974"/>
      <c r="AM16" s="118"/>
      <c r="AN16" s="118"/>
      <c r="AO16"/>
      <c r="AP16" s="474" t="s">
        <v>544</v>
      </c>
      <c r="AQ16" s="205" t="s">
        <v>207</v>
      </c>
      <c r="AR16" s="118"/>
      <c r="AS16" s="118"/>
      <c r="AT16"/>
      <c r="AU16"/>
      <c r="AV16"/>
      <c r="AW16"/>
      <c r="AX16"/>
      <c r="AY16" s="118"/>
      <c r="AZ16" s="118"/>
      <c r="BA16" s="118"/>
      <c r="BB16" s="469"/>
      <c r="BC16" s="824"/>
    </row>
    <row r="17" spans="1:55" s="41" customFormat="1" ht="12.95" customHeight="1">
      <c r="A17" s="824"/>
      <c r="B17" s="945"/>
      <c r="C17" s="946"/>
      <c r="D17" s="946"/>
      <c r="E17" s="946"/>
      <c r="F17" s="946"/>
      <c r="G17" s="947"/>
      <c r="H17" s="947"/>
      <c r="I17" s="947"/>
      <c r="J17" s="947"/>
      <c r="K17" s="947"/>
      <c r="L17" s="947"/>
      <c r="M17" s="947"/>
      <c r="N17" s="947"/>
      <c r="O17" s="947"/>
      <c r="P17" s="947"/>
      <c r="Q17" s="947"/>
      <c r="R17" s="947"/>
      <c r="S17" s="947"/>
      <c r="T17" s="947"/>
      <c r="U17" s="472"/>
      <c r="V17" s="472"/>
      <c r="W17" s="472"/>
      <c r="X17" s="472"/>
      <c r="Y17" s="472"/>
      <c r="Z17" s="472"/>
      <c r="AA17" s="164" t="s">
        <v>545</v>
      </c>
      <c r="AB17" s="978">
        <v>45377</v>
      </c>
      <c r="AC17" s="979"/>
      <c r="AD17" s="979"/>
      <c r="AE17" s="979"/>
      <c r="AF17" s="979"/>
      <c r="AG17" s="979"/>
      <c r="AH17" s="979"/>
      <c r="AI17" s="979"/>
      <c r="AJ17" s="979"/>
      <c r="AK17" s="979"/>
      <c r="AL17" s="980"/>
      <c r="AM17" s="118"/>
      <c r="AN17" s="118"/>
      <c r="AO17"/>
      <c r="AP17" s="474" t="s">
        <v>546</v>
      </c>
      <c r="AQ17" s="205" t="s">
        <v>224</v>
      </c>
      <c r="AR17" s="118"/>
      <c r="AS17" s="118"/>
      <c r="AT17"/>
      <c r="AU17"/>
      <c r="AV17"/>
      <c r="AW17"/>
      <c r="AX17"/>
      <c r="AY17" s="118"/>
      <c r="AZ17" s="118"/>
      <c r="BA17" s="118"/>
      <c r="BB17" s="469"/>
      <c r="BC17" s="824"/>
    </row>
    <row r="18" spans="1:55" s="41" customFormat="1" ht="12.95" customHeight="1">
      <c r="A18" s="824"/>
      <c r="B18" s="945" t="s">
        <v>547</v>
      </c>
      <c r="C18" s="946"/>
      <c r="D18" s="946"/>
      <c r="E18" s="946"/>
      <c r="F18" s="946"/>
      <c r="G18" s="947" t="s">
        <v>548</v>
      </c>
      <c r="H18" s="947"/>
      <c r="I18" s="947"/>
      <c r="J18" s="947"/>
      <c r="K18" s="947"/>
      <c r="L18" s="947"/>
      <c r="M18" s="947"/>
      <c r="N18" s="947"/>
      <c r="O18" s="947"/>
      <c r="P18" s="947"/>
      <c r="Q18" s="947"/>
      <c r="R18" s="947"/>
      <c r="S18" s="947"/>
      <c r="T18" s="947"/>
      <c r="U18" s="472"/>
      <c r="V18" s="472"/>
      <c r="W18" s="472"/>
      <c r="X18" s="472"/>
      <c r="Y18" s="472"/>
      <c r="Z18" s="472"/>
      <c r="AA18" s="164" t="s">
        <v>549</v>
      </c>
      <c r="AB18" s="953">
        <v>2023</v>
      </c>
      <c r="AC18" s="954"/>
      <c r="AD18" s="954"/>
      <c r="AE18" s="954"/>
      <c r="AF18" s="954"/>
      <c r="AG18" s="954"/>
      <c r="AH18" s="954"/>
      <c r="AI18" s="954"/>
      <c r="AJ18" s="954"/>
      <c r="AK18" s="954"/>
      <c r="AL18" s="955"/>
      <c r="AM18" s="118"/>
      <c r="AN18" s="118"/>
      <c r="AO18"/>
      <c r="AP18" s="473" t="s">
        <v>550</v>
      </c>
      <c r="AQ18" s="205" t="s">
        <v>248</v>
      </c>
      <c r="AR18" s="118"/>
      <c r="AS18" s="118"/>
      <c r="AT18"/>
      <c r="AU18"/>
      <c r="AV18"/>
      <c r="AW18"/>
      <c r="AX18"/>
      <c r="AY18" s="118"/>
      <c r="AZ18" s="118"/>
      <c r="BA18" s="118"/>
      <c r="BB18" s="469"/>
      <c r="BC18" s="824"/>
    </row>
    <row r="19" spans="1:55" s="41" customFormat="1" ht="12.95" customHeight="1">
      <c r="A19" s="824"/>
      <c r="B19" s="945"/>
      <c r="C19" s="946"/>
      <c r="D19" s="946"/>
      <c r="E19" s="946"/>
      <c r="F19" s="946"/>
      <c r="G19" s="947"/>
      <c r="H19" s="947"/>
      <c r="I19" s="947"/>
      <c r="J19" s="947"/>
      <c r="K19" s="947"/>
      <c r="L19" s="947"/>
      <c r="M19" s="947"/>
      <c r="N19" s="947"/>
      <c r="O19" s="947"/>
      <c r="P19" s="947"/>
      <c r="Q19" s="947"/>
      <c r="R19" s="947"/>
      <c r="S19" s="947"/>
      <c r="T19" s="947"/>
      <c r="U19" s="472"/>
      <c r="V19" s="472"/>
      <c r="W19" s="472"/>
      <c r="X19" s="472"/>
      <c r="Y19" s="472"/>
      <c r="Z19" s="472"/>
      <c r="AA19" s="164" t="s">
        <v>551</v>
      </c>
      <c r="AB19" s="953" t="s">
        <v>552</v>
      </c>
      <c r="AC19" s="954"/>
      <c r="AD19" s="954"/>
      <c r="AE19" s="954"/>
      <c r="AF19" s="955"/>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4"/>
    </row>
    <row r="20" spans="1:55" s="41" customFormat="1" ht="12.95" customHeight="1">
      <c r="A20" s="824"/>
      <c r="B20" s="945"/>
      <c r="C20" s="946"/>
      <c r="D20" s="946"/>
      <c r="E20" s="946"/>
      <c r="F20" s="946"/>
      <c r="G20" s="947"/>
      <c r="H20" s="947"/>
      <c r="I20" s="947"/>
      <c r="J20" s="947"/>
      <c r="K20" s="947"/>
      <c r="L20" s="947"/>
      <c r="M20" s="947"/>
      <c r="N20" s="947"/>
      <c r="O20" s="947"/>
      <c r="P20" s="947"/>
      <c r="Q20" s="947"/>
      <c r="R20" s="947"/>
      <c r="S20" s="947"/>
      <c r="T20" s="947"/>
      <c r="U20" s="472"/>
      <c r="V20" s="472"/>
      <c r="W20" s="472"/>
      <c r="X20" s="472"/>
      <c r="Y20" s="472"/>
      <c r="Z20" s="472"/>
      <c r="AA20" s="164" t="s">
        <v>555</v>
      </c>
      <c r="AB20" s="978">
        <v>44927</v>
      </c>
      <c r="AC20" s="979"/>
      <c r="AD20" s="979"/>
      <c r="AE20" s="979"/>
      <c r="AF20" s="979"/>
      <c r="AG20" s="979"/>
      <c r="AH20" s="979"/>
      <c r="AI20" s="979"/>
      <c r="AJ20" s="979"/>
      <c r="AK20" s="979"/>
      <c r="AL20" s="980"/>
      <c r="AM20" s="118"/>
      <c r="AN20" s="118"/>
      <c r="AO20"/>
      <c r="AP20" s="473" t="s">
        <v>556</v>
      </c>
      <c r="AQ20" s="205" t="s">
        <v>290</v>
      </c>
      <c r="AR20" s="118"/>
      <c r="AS20" s="118"/>
      <c r="AT20"/>
      <c r="AU20"/>
      <c r="AV20"/>
      <c r="AW20" s="164"/>
      <c r="AX20"/>
      <c r="AY20" s="118"/>
      <c r="AZ20" s="118"/>
      <c r="BA20" s="118"/>
      <c r="BB20" s="469"/>
      <c r="BC20" s="824"/>
    </row>
    <row r="21" spans="1:55" s="41" customFormat="1" ht="12.95" customHeight="1">
      <c r="A21" s="824"/>
      <c r="B21" s="945" t="s">
        <v>557</v>
      </c>
      <c r="C21" s="946"/>
      <c r="D21" s="946"/>
      <c r="E21" s="946"/>
      <c r="F21" s="946"/>
      <c r="G21" s="947" t="s">
        <v>558</v>
      </c>
      <c r="H21" s="947"/>
      <c r="I21" s="947"/>
      <c r="J21" s="947"/>
      <c r="K21" s="947"/>
      <c r="L21" s="947"/>
      <c r="M21" s="947"/>
      <c r="N21" s="947"/>
      <c r="O21" s="947"/>
      <c r="P21" s="947"/>
      <c r="Q21" s="947"/>
      <c r="R21" s="947"/>
      <c r="S21" s="947"/>
      <c r="T21" s="947"/>
      <c r="U21" s="472"/>
      <c r="V21" s="472"/>
      <c r="W21" s="472"/>
      <c r="X21" s="472"/>
      <c r="Y21" s="472"/>
      <c r="Z21" s="472"/>
      <c r="AA21" s="164" t="s">
        <v>559</v>
      </c>
      <c r="AB21" s="984">
        <v>45291</v>
      </c>
      <c r="AC21" s="985"/>
      <c r="AD21" s="985"/>
      <c r="AE21" s="985"/>
      <c r="AF21" s="985"/>
      <c r="AG21" s="985"/>
      <c r="AH21" s="985"/>
      <c r="AI21" s="985"/>
      <c r="AJ21" s="985"/>
      <c r="AK21" s="985"/>
      <c r="AL21" s="986"/>
      <c r="AM21" s="118"/>
      <c r="AN21" s="118"/>
      <c r="AO21"/>
      <c r="AP21" s="473" t="s">
        <v>560</v>
      </c>
      <c r="AQ21" s="205" t="s">
        <v>274</v>
      </c>
      <c r="AR21" s="118"/>
      <c r="AS21" s="118"/>
      <c r="AT21"/>
      <c r="AU21"/>
      <c r="AV21"/>
      <c r="AW21" s="164"/>
      <c r="AX21"/>
      <c r="AY21" s="118"/>
      <c r="AZ21" s="118"/>
      <c r="BA21" s="118"/>
      <c r="BB21" s="469"/>
      <c r="BC21" s="824"/>
    </row>
    <row r="22" spans="1:55" s="41" customFormat="1" ht="12.95" customHeight="1">
      <c r="A22" s="824"/>
      <c r="B22" s="945"/>
      <c r="C22" s="946"/>
      <c r="D22" s="946"/>
      <c r="E22" s="946"/>
      <c r="F22" s="946"/>
      <c r="G22" s="947"/>
      <c r="H22" s="947"/>
      <c r="I22" s="947"/>
      <c r="J22" s="947"/>
      <c r="K22" s="947"/>
      <c r="L22" s="947"/>
      <c r="M22" s="947"/>
      <c r="N22" s="947"/>
      <c r="O22" s="947"/>
      <c r="P22" s="947"/>
      <c r="Q22" s="947"/>
      <c r="R22" s="947"/>
      <c r="S22" s="947"/>
      <c r="T22" s="947"/>
      <c r="U22" s="472"/>
      <c r="V22" s="472"/>
      <c r="W22" s="472"/>
      <c r="X22" s="472"/>
      <c r="Y22" s="472"/>
      <c r="Z22" s="472"/>
      <c r="AA22" s="164" t="s">
        <v>561</v>
      </c>
      <c r="AB22" s="975" t="s">
        <v>562</v>
      </c>
      <c r="AC22" s="976"/>
      <c r="AD22" s="976"/>
      <c r="AE22" s="976"/>
      <c r="AF22" s="976"/>
      <c r="AG22" s="976"/>
      <c r="AH22" s="976"/>
      <c r="AI22" s="976"/>
      <c r="AJ22" s="976"/>
      <c r="AK22" s="976"/>
      <c r="AL22" s="977"/>
      <c r="AM22" s="118"/>
      <c r="AN22" s="118"/>
      <c r="AO22"/>
      <c r="AP22" s="473" t="s">
        <v>563</v>
      </c>
      <c r="AQ22" s="205" t="s">
        <v>564</v>
      </c>
      <c r="AR22" s="118"/>
      <c r="AS22" s="118"/>
      <c r="AT22"/>
      <c r="AU22"/>
      <c r="AV22"/>
      <c r="AW22" s="164"/>
      <c r="AX22"/>
      <c r="AY22" s="118"/>
      <c r="AZ22" s="118"/>
      <c r="BA22" s="118"/>
      <c r="BB22" s="469"/>
      <c r="BC22" s="824"/>
    </row>
    <row r="23" spans="1:55" s="41" customFormat="1" ht="12.95" customHeight="1">
      <c r="A23" s="824"/>
      <c r="B23" s="945"/>
      <c r="C23" s="946"/>
      <c r="D23" s="946"/>
      <c r="E23" s="946"/>
      <c r="F23" s="946"/>
      <c r="G23" s="947"/>
      <c r="H23" s="947"/>
      <c r="I23" s="947"/>
      <c r="J23" s="947"/>
      <c r="K23" s="947"/>
      <c r="L23" s="947"/>
      <c r="M23" s="947"/>
      <c r="N23" s="947"/>
      <c r="O23" s="947"/>
      <c r="P23" s="947"/>
      <c r="Q23" s="947"/>
      <c r="R23" s="947"/>
      <c r="S23" s="947"/>
      <c r="T23" s="947"/>
      <c r="U23" s="472"/>
      <c r="V23" s="118"/>
      <c r="W23" s="118"/>
      <c r="X23" s="118"/>
      <c r="Y23" s="118"/>
      <c r="Z23" s="118"/>
      <c r="AA23" s="164" t="s">
        <v>565</v>
      </c>
      <c r="AB23" s="913" t="s">
        <v>566</v>
      </c>
      <c r="AC23" s="914"/>
      <c r="AD23" s="914"/>
      <c r="AE23" s="914"/>
      <c r="AF23" s="915"/>
      <c r="AG23" s="916"/>
      <c r="AH23" s="916"/>
      <c r="AI23" s="916"/>
      <c r="AJ23" s="916"/>
      <c r="AK23" s="916"/>
      <c r="AL23" s="916"/>
      <c r="AM23" s="118"/>
      <c r="AN23" s="118"/>
      <c r="AO23"/>
      <c r="AP23" s="473" t="s">
        <v>567</v>
      </c>
      <c r="AQ23" s="205" t="s">
        <v>568</v>
      </c>
      <c r="AR23" s="118"/>
      <c r="AS23" s="118"/>
      <c r="AT23" s="118"/>
      <c r="AU23" s="118"/>
      <c r="AV23" s="118"/>
      <c r="AW23" s="118"/>
      <c r="AX23" s="118"/>
      <c r="AY23" s="118"/>
      <c r="AZ23" s="118"/>
      <c r="BA23" s="118"/>
      <c r="BB23" s="469"/>
      <c r="BC23" s="824"/>
    </row>
    <row r="24" spans="1:55" s="41" customFormat="1" ht="12.95" customHeight="1">
      <c r="A24" s="824"/>
      <c r="B24" s="945" t="s">
        <v>569</v>
      </c>
      <c r="C24" s="946"/>
      <c r="D24" s="946"/>
      <c r="E24" s="946"/>
      <c r="F24" s="946"/>
      <c r="G24" s="947" t="s">
        <v>570</v>
      </c>
      <c r="H24" s="947"/>
      <c r="I24" s="947"/>
      <c r="J24" s="947"/>
      <c r="K24" s="947"/>
      <c r="L24" s="947"/>
      <c r="M24" s="947"/>
      <c r="N24" s="947"/>
      <c r="O24" s="947"/>
      <c r="P24" s="947"/>
      <c r="Q24" s="947"/>
      <c r="R24" s="947"/>
      <c r="S24" s="947"/>
      <c r="T24" s="947"/>
      <c r="U24" s="472"/>
      <c r="V24" s="118"/>
      <c r="W24" s="118"/>
      <c r="X24" s="118"/>
      <c r="Y24" s="118"/>
      <c r="Z24" s="118"/>
      <c r="AA24" s="164" t="s">
        <v>571</v>
      </c>
      <c r="AB24" s="917" t="s">
        <v>572</v>
      </c>
      <c r="AC24" s="918"/>
      <c r="AD24" s="918"/>
      <c r="AE24" s="918"/>
      <c r="AF24" s="919"/>
      <c r="AG24" s="920"/>
      <c r="AH24" s="921"/>
      <c r="AI24" s="921"/>
      <c r="AJ24" s="921"/>
      <c r="AK24" s="921"/>
      <c r="AL24" s="921"/>
      <c r="AM24" s="118"/>
      <c r="AN24" s="118"/>
      <c r="AO24"/>
      <c r="AP24" s="473" t="s">
        <v>573</v>
      </c>
      <c r="AQ24" s="205" t="s">
        <v>574</v>
      </c>
      <c r="AR24" s="118"/>
      <c r="AS24" s="118"/>
      <c r="AT24" s="118"/>
      <c r="AU24" s="118"/>
      <c r="AV24" s="118"/>
      <c r="AW24" s="118"/>
      <c r="AX24" s="118"/>
      <c r="AY24" s="118"/>
      <c r="AZ24" s="118"/>
      <c r="BA24" s="118"/>
      <c r="BB24" s="469"/>
      <c r="BC24" s="824"/>
    </row>
    <row r="25" spans="1:55" s="41" customFormat="1" ht="12.95" customHeight="1">
      <c r="A25" s="824"/>
      <c r="B25" s="945"/>
      <c r="C25" s="946"/>
      <c r="D25" s="946"/>
      <c r="E25" s="946"/>
      <c r="F25" s="946"/>
      <c r="G25" s="947"/>
      <c r="H25" s="947"/>
      <c r="I25" s="947"/>
      <c r="J25" s="947"/>
      <c r="K25" s="947"/>
      <c r="L25" s="947"/>
      <c r="M25" s="947"/>
      <c r="N25" s="947"/>
      <c r="O25" s="947"/>
      <c r="P25" s="947"/>
      <c r="Q25" s="947"/>
      <c r="R25" s="947"/>
      <c r="S25" s="947"/>
      <c r="T25" s="947"/>
      <c r="U25" s="472"/>
      <c r="V25" s="472"/>
      <c r="W25" s="472"/>
      <c r="X25" s="472"/>
      <c r="Y25" s="472"/>
      <c r="Z25" s="472"/>
      <c r="AA25" s="164" t="s">
        <v>575</v>
      </c>
      <c r="AB25" s="917"/>
      <c r="AC25" s="918"/>
      <c r="AD25" s="918"/>
      <c r="AE25" s="918"/>
      <c r="AF25" s="918"/>
      <c r="AG25" s="918"/>
      <c r="AH25" s="918"/>
      <c r="AI25" s="918"/>
      <c r="AJ25" s="918"/>
      <c r="AK25" s="918"/>
      <c r="AL25" s="927"/>
      <c r="AM25" s="118"/>
      <c r="AN25" s="118"/>
      <c r="AO25"/>
      <c r="AP25" s="473" t="s">
        <v>576</v>
      </c>
      <c r="AQ25" s="205" t="s">
        <v>429</v>
      </c>
      <c r="AR25" s="118"/>
      <c r="AS25" s="118"/>
      <c r="AT25" s="118"/>
      <c r="AU25" s="118"/>
      <c r="AV25" s="118"/>
      <c r="AW25" s="118"/>
      <c r="AX25" s="118"/>
      <c r="AY25" s="118"/>
      <c r="AZ25" s="118"/>
      <c r="BA25" s="118"/>
      <c r="BB25" s="469"/>
      <c r="BC25" s="824"/>
    </row>
    <row r="26" spans="1:55" s="41" customFormat="1" ht="12.95" customHeight="1">
      <c r="A26" s="824"/>
      <c r="B26" s="945"/>
      <c r="C26" s="946"/>
      <c r="D26" s="946"/>
      <c r="E26" s="946"/>
      <c r="F26" s="946"/>
      <c r="G26" s="947"/>
      <c r="H26" s="947"/>
      <c r="I26" s="947"/>
      <c r="J26" s="947"/>
      <c r="K26" s="947"/>
      <c r="L26" s="947"/>
      <c r="M26" s="947"/>
      <c r="N26" s="947"/>
      <c r="O26" s="947"/>
      <c r="P26" s="947"/>
      <c r="Q26" s="947"/>
      <c r="R26" s="947"/>
      <c r="S26" s="947"/>
      <c r="T26" s="947"/>
      <c r="U26" s="472"/>
      <c r="V26" s="472"/>
      <c r="W26" s="472"/>
      <c r="X26" s="472"/>
      <c r="Y26" s="472"/>
      <c r="Z26" s="472"/>
      <c r="AA26" s="477" t="s">
        <v>577</v>
      </c>
      <c r="AB26" s="917"/>
      <c r="AC26" s="918"/>
      <c r="AD26" s="918"/>
      <c r="AE26" s="918"/>
      <c r="AF26" s="918"/>
      <c r="AG26" s="918"/>
      <c r="AH26" s="918"/>
      <c r="AI26" s="918"/>
      <c r="AJ26" s="918"/>
      <c r="AK26" s="918"/>
      <c r="AL26" s="927"/>
      <c r="AM26" s="118"/>
      <c r="AN26" s="118"/>
      <c r="AO26"/>
      <c r="AP26" s="473" t="s">
        <v>578</v>
      </c>
      <c r="AQ26" s="205" t="s">
        <v>462</v>
      </c>
      <c r="AR26" s="118"/>
      <c r="AS26" s="118"/>
      <c r="AT26" s="118"/>
      <c r="AU26" s="118"/>
      <c r="AV26" s="118"/>
      <c r="AW26" s="118"/>
      <c r="AX26" s="118"/>
      <c r="AY26" s="118"/>
      <c r="AZ26" s="118"/>
      <c r="BA26" s="118"/>
      <c r="BB26" s="469"/>
      <c r="BC26" s="824"/>
    </row>
    <row r="27" spans="1:55" s="41" customFormat="1" ht="12.95" customHeight="1">
      <c r="A27" s="824"/>
      <c r="B27" s="945" t="s">
        <v>579</v>
      </c>
      <c r="C27" s="946"/>
      <c r="D27" s="946"/>
      <c r="E27" s="946"/>
      <c r="F27" s="946"/>
      <c r="G27" s="947" t="s">
        <v>580</v>
      </c>
      <c r="H27" s="947"/>
      <c r="I27" s="947"/>
      <c r="J27" s="947"/>
      <c r="K27" s="947"/>
      <c r="L27" s="947"/>
      <c r="M27" s="947"/>
      <c r="N27" s="947"/>
      <c r="O27" s="947"/>
      <c r="P27" s="947"/>
      <c r="Q27" s="947"/>
      <c r="R27" s="947"/>
      <c r="S27" s="947"/>
      <c r="T27" s="947"/>
      <c r="U27" s="472"/>
      <c r="V27" s="118"/>
      <c r="W27" s="118"/>
      <c r="X27" s="118"/>
      <c r="Y27" s="118"/>
      <c r="Z27" s="118"/>
      <c r="AA27" s="477" t="s">
        <v>581</v>
      </c>
      <c r="AB27" s="917"/>
      <c r="AC27" s="918"/>
      <c r="AD27" s="918"/>
      <c r="AE27" s="918"/>
      <c r="AF27" s="918"/>
      <c r="AG27" s="918"/>
      <c r="AH27" s="918"/>
      <c r="AI27" s="918"/>
      <c r="AJ27" s="918"/>
      <c r="AK27" s="918"/>
      <c r="AL27" s="927"/>
      <c r="AM27" s="118"/>
      <c r="AN27" s="118"/>
      <c r="AO27"/>
      <c r="AP27" s="473" t="s">
        <v>582</v>
      </c>
      <c r="AQ27" s="205" t="s">
        <v>481</v>
      </c>
      <c r="AR27" s="118"/>
      <c r="AS27" s="118"/>
      <c r="AT27" s="118"/>
      <c r="AU27" s="118"/>
      <c r="AV27" s="118"/>
      <c r="AW27" s="118"/>
      <c r="AX27" s="118"/>
      <c r="AY27" s="118"/>
      <c r="AZ27" s="118"/>
      <c r="BA27" s="118"/>
      <c r="BB27" s="469"/>
      <c r="BC27" s="824"/>
    </row>
    <row r="28" spans="1:55" s="41" customFormat="1" ht="12.95" customHeight="1">
      <c r="A28" s="824"/>
      <c r="B28" s="945"/>
      <c r="C28" s="946"/>
      <c r="D28" s="946"/>
      <c r="E28" s="946"/>
      <c r="F28" s="946"/>
      <c r="G28" s="947"/>
      <c r="H28" s="947"/>
      <c r="I28" s="947"/>
      <c r="J28" s="947"/>
      <c r="K28" s="947"/>
      <c r="L28" s="947"/>
      <c r="M28" s="947"/>
      <c r="N28" s="947"/>
      <c r="O28" s="947"/>
      <c r="P28" s="947"/>
      <c r="Q28" s="947"/>
      <c r="R28" s="947"/>
      <c r="S28" s="947"/>
      <c r="T28" s="947"/>
      <c r="U28" s="502"/>
      <c r="V28" s="472"/>
      <c r="W28" s="472"/>
      <c r="X28" s="472"/>
      <c r="Y28" s="472"/>
      <c r="Z28" s="472"/>
      <c r="AA28" s="118"/>
      <c r="AB28" s="470"/>
      <c r="AC28" s="470"/>
      <c r="AD28" s="470"/>
      <c r="AE28" s="470"/>
      <c r="AF28" s="470"/>
      <c r="AG28" s="470"/>
      <c r="AH28" s="164" t="s">
        <v>583</v>
      </c>
      <c r="AI28" s="929">
        <v>677153</v>
      </c>
      <c r="AJ28" s="930"/>
      <c r="AK28" s="930"/>
      <c r="AL28" s="931"/>
      <c r="AM28" s="499"/>
      <c r="AN28" s="499"/>
      <c r="AO28" s="499"/>
      <c r="AP28" s="499"/>
      <c r="AQ28" s="499"/>
      <c r="AR28" s="499"/>
      <c r="AS28" s="499"/>
      <c r="AT28" s="499"/>
      <c r="AU28" s="499"/>
      <c r="AV28" s="499"/>
      <c r="AW28" s="499"/>
      <c r="AX28" s="499"/>
      <c r="AY28" s="499"/>
      <c r="AZ28" s="499"/>
      <c r="BA28" s="499"/>
      <c r="BB28" s="469"/>
      <c r="BC28" s="824"/>
    </row>
    <row r="29" spans="1:55" s="41" customFormat="1" ht="12.95" customHeight="1">
      <c r="A29" s="824"/>
      <c r="B29" s="945"/>
      <c r="C29" s="946"/>
      <c r="D29" s="946"/>
      <c r="E29" s="946"/>
      <c r="F29" s="946"/>
      <c r="G29" s="947"/>
      <c r="H29" s="947"/>
      <c r="I29" s="947"/>
      <c r="J29" s="947"/>
      <c r="K29" s="947"/>
      <c r="L29" s="947"/>
      <c r="M29" s="947"/>
      <c r="N29" s="947"/>
      <c r="O29" s="947"/>
      <c r="P29" s="947"/>
      <c r="Q29" s="947"/>
      <c r="R29" s="947"/>
      <c r="S29" s="947"/>
      <c r="T29" s="947"/>
      <c r="U29" s="502"/>
      <c r="V29" s="502"/>
      <c r="W29" s="118"/>
      <c r="X29" s="118"/>
      <c r="Y29" s="502"/>
      <c r="Z29" s="502"/>
      <c r="AA29" s="493"/>
      <c r="AB29" s="493"/>
      <c r="AC29" s="493"/>
      <c r="AD29" s="493"/>
      <c r="AE29" s="493"/>
      <c r="AF29" s="493"/>
      <c r="AG29" s="470"/>
      <c r="AH29" s="470"/>
      <c r="AI29" s="499"/>
      <c r="AJ29" s="499"/>
      <c r="AK29" s="499"/>
      <c r="AL29" s="499"/>
      <c r="AM29" s="499"/>
      <c r="AN29" s="499"/>
      <c r="AO29" s="499"/>
      <c r="AP29" s="499"/>
      <c r="AQ29" s="499"/>
      <c r="AR29" s="499"/>
      <c r="AS29" s="499"/>
      <c r="AT29" s="499"/>
      <c r="AU29" s="499"/>
      <c r="AV29" s="499"/>
      <c r="AW29" s="499"/>
      <c r="AX29" s="499"/>
      <c r="AY29" s="499"/>
      <c r="AZ29" s="499"/>
      <c r="BA29" s="499"/>
      <c r="BB29" s="469"/>
      <c r="BC29" s="824"/>
    </row>
    <row r="30" spans="1:55" s="41" customFormat="1" ht="12.95" customHeight="1">
      <c r="A30" s="824"/>
      <c r="B30" s="945" t="s">
        <v>584</v>
      </c>
      <c r="C30" s="946"/>
      <c r="D30" s="946"/>
      <c r="E30" s="946"/>
      <c r="F30" s="946"/>
      <c r="G30" s="947" t="s">
        <v>585</v>
      </c>
      <c r="H30" s="947"/>
      <c r="I30" s="947"/>
      <c r="J30" s="947"/>
      <c r="K30" s="947"/>
      <c r="L30" s="947"/>
      <c r="M30" s="947"/>
      <c r="N30" s="947"/>
      <c r="O30" s="947"/>
      <c r="P30" s="947"/>
      <c r="Q30" s="947"/>
      <c r="R30" s="947"/>
      <c r="S30" s="947"/>
      <c r="T30" s="947"/>
      <c r="U30" s="502"/>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4"/>
    </row>
    <row r="31" spans="1:55" s="41" customFormat="1" ht="12.95" customHeight="1">
      <c r="A31" s="824"/>
      <c r="B31" s="945"/>
      <c r="C31" s="946"/>
      <c r="D31" s="946"/>
      <c r="E31" s="946"/>
      <c r="F31" s="946"/>
      <c r="G31" s="947"/>
      <c r="H31" s="947"/>
      <c r="I31" s="947"/>
      <c r="J31" s="947"/>
      <c r="K31" s="947"/>
      <c r="L31" s="947"/>
      <c r="M31" s="947"/>
      <c r="N31" s="947"/>
      <c r="O31" s="947"/>
      <c r="P31" s="947"/>
      <c r="Q31" s="947"/>
      <c r="R31" s="947"/>
      <c r="S31" s="947"/>
      <c r="T31" s="947"/>
      <c r="U31" s="502"/>
      <c r="V31" s="502"/>
      <c r="W31" s="118"/>
      <c r="X31" s="118"/>
      <c r="Y31" s="506" t="s">
        <v>586</v>
      </c>
      <c r="Z31" s="502"/>
      <c r="AA31" s="118"/>
      <c r="AB31" s="118"/>
      <c r="AC31" s="826"/>
      <c r="AD31" s="521" t="s">
        <v>587</v>
      </c>
      <c r="AE31" s="515"/>
      <c r="AF31" s="516"/>
      <c r="AG31" s="517"/>
      <c r="AH31" s="518"/>
      <c r="AI31" s="519"/>
      <c r="AJ31" s="519"/>
      <c r="AK31" s="519"/>
      <c r="AL31" s="521" t="s">
        <v>588</v>
      </c>
      <c r="AM31" s="520"/>
      <c r="AN31" s="520"/>
      <c r="AO31" s="520"/>
      <c r="AP31" s="519"/>
      <c r="AQ31" s="519"/>
      <c r="AR31" s="519"/>
      <c r="AS31" s="519"/>
      <c r="AT31" s="826"/>
      <c r="AU31" s="514" t="s">
        <v>589</v>
      </c>
      <c r="AV31" s="528"/>
      <c r="AW31" s="529"/>
      <c r="AX31" s="530"/>
      <c r="AY31" s="499"/>
      <c r="AZ31" s="499"/>
      <c r="BA31" s="499"/>
      <c r="BB31" s="469"/>
      <c r="BC31" s="824"/>
    </row>
    <row r="32" spans="1:55" s="41" customFormat="1" ht="12.95" customHeight="1">
      <c r="A32" s="824"/>
      <c r="B32" s="945"/>
      <c r="C32" s="946"/>
      <c r="D32" s="946"/>
      <c r="E32" s="946"/>
      <c r="F32" s="946"/>
      <c r="G32" s="947"/>
      <c r="H32" s="947"/>
      <c r="I32" s="947"/>
      <c r="J32" s="947"/>
      <c r="K32" s="947"/>
      <c r="L32" s="947"/>
      <c r="M32" s="947"/>
      <c r="N32" s="947"/>
      <c r="O32" s="947"/>
      <c r="P32" s="947"/>
      <c r="Q32" s="947"/>
      <c r="R32" s="947"/>
      <c r="S32" s="947"/>
      <c r="T32" s="947"/>
      <c r="U32" s="502"/>
      <c r="V32" s="502"/>
      <c r="W32" s="502"/>
      <c r="X32" s="502"/>
      <c r="Y32" s="502"/>
      <c r="Z32" s="502"/>
      <c r="AA32" s="118"/>
      <c r="AB32" s="118"/>
      <c r="AC32" s="118"/>
      <c r="AD32" s="118"/>
      <c r="AE32" s="493"/>
      <c r="AF32" s="493"/>
      <c r="AG32" s="470"/>
      <c r="AH32" s="470"/>
      <c r="AI32" s="500"/>
      <c r="AJ32" s="500"/>
      <c r="AK32" s="500"/>
      <c r="AL32" s="500"/>
      <c r="AM32" s="501"/>
      <c r="AN32" s="501"/>
      <c r="AO32" s="501"/>
      <c r="AP32" s="501"/>
      <c r="AQ32" s="501"/>
      <c r="AR32" s="501"/>
      <c r="AS32" s="501"/>
      <c r="AT32" s="501"/>
      <c r="AU32" s="501"/>
      <c r="AV32" s="501"/>
      <c r="AW32" s="501"/>
      <c r="AX32" s="501"/>
      <c r="AY32" s="501"/>
      <c r="AZ32" s="501"/>
      <c r="BA32" s="501"/>
      <c r="BB32" s="469"/>
      <c r="BC32" s="824"/>
    </row>
    <row r="33" spans="1:55" s="41" customFormat="1" ht="12.95" customHeight="1">
      <c r="A33" s="824"/>
      <c r="B33" s="945" t="s">
        <v>590</v>
      </c>
      <c r="C33" s="946"/>
      <c r="D33" s="946"/>
      <c r="E33" s="946"/>
      <c r="F33" s="946"/>
      <c r="G33" s="947" t="s">
        <v>591</v>
      </c>
      <c r="H33" s="947"/>
      <c r="I33" s="947"/>
      <c r="J33" s="947"/>
      <c r="K33" s="947"/>
      <c r="L33" s="947"/>
      <c r="M33" s="947"/>
      <c r="N33" s="947"/>
      <c r="O33" s="947"/>
      <c r="P33" s="947"/>
      <c r="Q33" s="947"/>
      <c r="R33" s="947"/>
      <c r="S33" s="947"/>
      <c r="T33" s="947"/>
      <c r="U33" s="502"/>
      <c r="V33" s="502"/>
      <c r="W33" s="502"/>
      <c r="X33" s="502"/>
      <c r="Y33" s="502"/>
      <c r="Z33" s="502"/>
      <c r="AA33" s="118"/>
      <c r="AB33" s="118"/>
      <c r="AC33" s="118"/>
      <c r="AD33" s="118"/>
      <c r="AE33" s="493"/>
      <c r="AF33" s="493"/>
      <c r="AG33" s="470"/>
      <c r="AH33" s="470"/>
      <c r="AI33" s="500"/>
      <c r="AJ33" s="500"/>
      <c r="AK33" s="500"/>
      <c r="AL33" s="500"/>
      <c r="AM33" s="501"/>
      <c r="AN33" s="501"/>
      <c r="AO33" s="501"/>
      <c r="AP33" s="501"/>
      <c r="AQ33" s="501"/>
      <c r="AR33" s="501"/>
      <c r="AS33" s="501"/>
      <c r="AT33" s="501"/>
      <c r="AU33" s="501"/>
      <c r="AV33" s="501"/>
      <c r="AW33" s="501"/>
      <c r="AX33" s="501"/>
      <c r="AY33" s="501"/>
      <c r="AZ33" s="501"/>
      <c r="BA33" s="501"/>
      <c r="BB33" s="469"/>
      <c r="BC33" s="824"/>
    </row>
    <row r="34" spans="1:55" s="41" customFormat="1" ht="12.95" customHeight="1">
      <c r="A34" s="824"/>
      <c r="B34" s="945"/>
      <c r="C34" s="946"/>
      <c r="D34" s="946"/>
      <c r="E34" s="946"/>
      <c r="F34" s="946"/>
      <c r="G34" s="947"/>
      <c r="H34" s="947"/>
      <c r="I34" s="947"/>
      <c r="J34" s="947"/>
      <c r="K34" s="947"/>
      <c r="L34" s="947"/>
      <c r="M34" s="947"/>
      <c r="N34" s="947"/>
      <c r="O34" s="947"/>
      <c r="P34" s="947"/>
      <c r="Q34" s="947"/>
      <c r="R34" s="947"/>
      <c r="S34" s="947"/>
      <c r="T34" s="947"/>
      <c r="U34" s="801"/>
      <c r="V34" s="502"/>
      <c r="W34" s="118"/>
      <c r="X34" s="525"/>
      <c r="Y34" s="525"/>
      <c r="Z34" s="118"/>
      <c r="AA34" s="765" t="s">
        <v>592</v>
      </c>
      <c r="AB34" s="933" t="s">
        <v>525</v>
      </c>
      <c r="AC34" s="933"/>
      <c r="AD34" s="933"/>
      <c r="AE34" s="933"/>
      <c r="AF34" s="493"/>
      <c r="AG34" s="493"/>
      <c r="AH34" s="493"/>
      <c r="AI34" s="493"/>
      <c r="AJ34" s="500"/>
      <c r="AK34" s="500"/>
      <c r="AL34" s="118"/>
      <c r="AM34" s="525"/>
      <c r="AN34" s="525"/>
      <c r="AO34" s="525"/>
      <c r="AP34" s="118"/>
      <c r="AQ34" s="118"/>
      <c r="AR34" s="765" t="s">
        <v>592</v>
      </c>
      <c r="AS34" s="933" t="s">
        <v>538</v>
      </c>
      <c r="AT34" s="933"/>
      <c r="AU34" s="933"/>
      <c r="AV34" s="933"/>
      <c r="AW34" s="933"/>
      <c r="AX34" s="933"/>
      <c r="AY34" s="933"/>
      <c r="AZ34" s="933"/>
      <c r="BA34" s="501"/>
      <c r="BB34" s="469"/>
      <c r="BC34" s="824"/>
    </row>
    <row r="35" spans="1:55" s="41" customFormat="1" ht="12.95" customHeight="1">
      <c r="A35" s="824"/>
      <c r="B35" s="945"/>
      <c r="C35" s="946"/>
      <c r="D35" s="946"/>
      <c r="E35" s="946"/>
      <c r="F35" s="946"/>
      <c r="G35" s="947"/>
      <c r="H35" s="947"/>
      <c r="I35" s="947"/>
      <c r="J35" s="947"/>
      <c r="K35" s="947"/>
      <c r="L35" s="947"/>
      <c r="M35" s="947"/>
      <c r="N35" s="947"/>
      <c r="O35" s="947"/>
      <c r="P35" s="947"/>
      <c r="Q35" s="947"/>
      <c r="R35" s="947"/>
      <c r="S35" s="947"/>
      <c r="T35" s="947"/>
      <c r="U35" s="801"/>
      <c r="V35" s="502"/>
      <c r="W35" s="502"/>
      <c r="X35" s="502"/>
      <c r="Y35" s="502"/>
      <c r="Z35" s="493"/>
      <c r="AA35" s="493"/>
      <c r="AB35" s="493"/>
      <c r="AC35" s="493"/>
      <c r="AD35" s="493"/>
      <c r="AE35" s="493"/>
      <c r="AF35" s="470"/>
      <c r="AG35" s="470"/>
      <c r="AH35" s="470"/>
      <c r="AI35" s="500"/>
      <c r="AJ35" s="500"/>
      <c r="AK35" s="500"/>
      <c r="AL35" s="500"/>
      <c r="AM35" s="501"/>
      <c r="AN35" s="501"/>
      <c r="AO35" s="501"/>
      <c r="AP35" s="501"/>
      <c r="AQ35" s="501"/>
      <c r="AR35" s="501"/>
      <c r="AS35" s="501"/>
      <c r="AT35" s="501"/>
      <c r="AU35" s="501"/>
      <c r="AV35" s="501"/>
      <c r="AW35" s="501"/>
      <c r="AX35" s="501"/>
      <c r="AY35" s="501"/>
      <c r="AZ35" s="501"/>
      <c r="BA35" s="501"/>
      <c r="BB35" s="469"/>
      <c r="BC35" s="824"/>
    </row>
    <row r="36" spans="1:55" s="41" customFormat="1" ht="12.95" customHeight="1">
      <c r="A36" s="824"/>
      <c r="B36" s="945" t="s">
        <v>593</v>
      </c>
      <c r="C36" s="946"/>
      <c r="D36" s="946"/>
      <c r="E36" s="946"/>
      <c r="F36" s="946"/>
      <c r="G36" s="947" t="s">
        <v>594</v>
      </c>
      <c r="H36" s="947"/>
      <c r="I36" s="947"/>
      <c r="J36" s="947"/>
      <c r="K36" s="947"/>
      <c r="L36" s="947"/>
      <c r="M36" s="947"/>
      <c r="N36" s="947"/>
      <c r="O36" s="947"/>
      <c r="P36" s="947"/>
      <c r="Q36" s="947"/>
      <c r="R36" s="947"/>
      <c r="S36" s="947"/>
      <c r="T36" s="947"/>
      <c r="U36" s="801"/>
      <c r="V36" s="934" t="s">
        <v>595</v>
      </c>
      <c r="W36" s="934"/>
      <c r="X36" s="934"/>
      <c r="Y36" s="934"/>
      <c r="Z36" s="934"/>
      <c r="AA36" s="934"/>
      <c r="AB36" s="934"/>
      <c r="AC36" s="934"/>
      <c r="AD36" s="934"/>
      <c r="AE36" s="934"/>
      <c r="AF36" s="934"/>
      <c r="AG36" s="798"/>
      <c r="AH36" s="928" t="s">
        <v>596</v>
      </c>
      <c r="AI36" s="928"/>
      <c r="AJ36" s="928"/>
      <c r="AK36" s="928"/>
      <c r="AL36" s="928"/>
      <c r="AM36" s="928"/>
      <c r="AN36" s="928"/>
      <c r="AO36" s="928"/>
      <c r="AP36" s="928"/>
      <c r="AQ36" s="928"/>
      <c r="AR36" s="928"/>
      <c r="AS36" s="928"/>
      <c r="AT36" s="928"/>
      <c r="AU36" s="928"/>
      <c r="AV36" s="928"/>
      <c r="AW36" s="928"/>
      <c r="AX36" s="928"/>
      <c r="AY36" s="928"/>
      <c r="AZ36" s="928"/>
      <c r="BA36" s="928"/>
      <c r="BB36" s="469"/>
      <c r="BC36" s="824"/>
    </row>
    <row r="37" spans="1:55" s="41" customFormat="1" ht="12.95" customHeight="1">
      <c r="A37" s="824"/>
      <c r="B37" s="945"/>
      <c r="C37" s="946"/>
      <c r="D37" s="946"/>
      <c r="E37" s="946"/>
      <c r="F37" s="946"/>
      <c r="G37" s="947"/>
      <c r="H37" s="947"/>
      <c r="I37" s="947"/>
      <c r="J37" s="947"/>
      <c r="K37" s="947"/>
      <c r="L37" s="947"/>
      <c r="M37" s="947"/>
      <c r="N37" s="947"/>
      <c r="O37" s="947"/>
      <c r="P37" s="947"/>
      <c r="Q37" s="947"/>
      <c r="R37" s="947"/>
      <c r="S37" s="947"/>
      <c r="T37" s="947"/>
      <c r="U37" s="801"/>
      <c r="V37" s="934" t="s">
        <v>597</v>
      </c>
      <c r="W37" s="934"/>
      <c r="X37" s="934"/>
      <c r="Y37" s="934"/>
      <c r="Z37" s="934"/>
      <c r="AA37" s="934"/>
      <c r="AB37" s="934"/>
      <c r="AC37" s="934"/>
      <c r="AD37" s="934"/>
      <c r="AE37" s="934"/>
      <c r="AF37" s="934"/>
      <c r="AG37" s="798"/>
      <c r="AH37" s="928"/>
      <c r="AI37" s="928"/>
      <c r="AJ37" s="928"/>
      <c r="AK37" s="928"/>
      <c r="AL37" s="928"/>
      <c r="AM37" s="928"/>
      <c r="AN37" s="928"/>
      <c r="AO37" s="928"/>
      <c r="AP37" s="928"/>
      <c r="AQ37" s="928"/>
      <c r="AR37" s="928"/>
      <c r="AS37" s="928"/>
      <c r="AT37" s="928"/>
      <c r="AU37" s="928"/>
      <c r="AV37" s="928"/>
      <c r="AW37" s="928"/>
      <c r="AX37" s="928"/>
      <c r="AY37" s="928"/>
      <c r="AZ37" s="928"/>
      <c r="BA37" s="928"/>
      <c r="BB37" s="469"/>
      <c r="BC37" s="824"/>
    </row>
    <row r="38" spans="1:55" s="41" customFormat="1" ht="12.95" customHeight="1">
      <c r="A38" s="824"/>
      <c r="B38" s="945"/>
      <c r="C38" s="946"/>
      <c r="D38" s="946"/>
      <c r="E38" s="946"/>
      <c r="F38" s="946"/>
      <c r="G38" s="947"/>
      <c r="H38" s="947"/>
      <c r="I38" s="947"/>
      <c r="J38" s="947"/>
      <c r="K38" s="947"/>
      <c r="L38" s="947"/>
      <c r="M38" s="947"/>
      <c r="N38" s="947"/>
      <c r="O38" s="947"/>
      <c r="P38" s="947"/>
      <c r="Q38" s="947"/>
      <c r="R38" s="947"/>
      <c r="S38" s="947"/>
      <c r="T38" s="947"/>
      <c r="U38" s="801"/>
      <c r="V38" s="509"/>
      <c r="W38" s="509"/>
      <c r="X38" s="932" t="s">
        <v>598</v>
      </c>
      <c r="Y38" s="932"/>
      <c r="Z38" s="932"/>
      <c r="AA38" s="932"/>
      <c r="AB38" s="932"/>
      <c r="AC38" s="932"/>
      <c r="AD38" s="932"/>
      <c r="AE38" s="509"/>
      <c r="AF38" s="509"/>
      <c r="AG38" s="798"/>
      <c r="AH38" s="798"/>
      <c r="AI38" s="798"/>
      <c r="AJ38" s="798"/>
      <c r="AK38" s="509"/>
      <c r="AL38" s="508"/>
      <c r="AM38" s="500"/>
      <c r="AN38" s="510"/>
      <c r="AO38" s="799"/>
      <c r="AP38" s="799"/>
      <c r="AQ38" s="799"/>
      <c r="AR38" s="799"/>
      <c r="AS38" s="799"/>
      <c r="AT38" s="799"/>
      <c r="AU38" s="799"/>
      <c r="AV38" s="799"/>
      <c r="AW38" s="799"/>
      <c r="AX38" s="509"/>
      <c r="AY38" s="509"/>
      <c r="AZ38" s="511"/>
      <c r="BA38" s="501"/>
      <c r="BB38" s="469"/>
      <c r="BC38" s="824"/>
    </row>
    <row r="39" spans="1:55" s="41" customFormat="1" ht="12.95" customHeight="1">
      <c r="A39" s="824"/>
      <c r="B39" s="945" t="s">
        <v>599</v>
      </c>
      <c r="C39" s="946"/>
      <c r="D39" s="946"/>
      <c r="E39" s="946"/>
      <c r="F39" s="946"/>
      <c r="G39" s="947" t="s">
        <v>600</v>
      </c>
      <c r="H39" s="947"/>
      <c r="I39" s="947"/>
      <c r="J39" s="947"/>
      <c r="K39" s="947"/>
      <c r="L39" s="947"/>
      <c r="M39" s="947"/>
      <c r="N39" s="947"/>
      <c r="O39" s="947"/>
      <c r="P39" s="947"/>
      <c r="Q39" s="947"/>
      <c r="R39" s="947"/>
      <c r="S39" s="947"/>
      <c r="T39" s="947"/>
      <c r="U39" s="801"/>
      <c r="V39" s="509"/>
      <c r="W39" s="936">
        <v>0.01</v>
      </c>
      <c r="X39" s="936"/>
      <c r="Y39" s="936"/>
      <c r="Z39" s="922" t="s">
        <v>601</v>
      </c>
      <c r="AA39" s="923"/>
      <c r="AB39" s="924"/>
      <c r="AC39" s="507" t="s">
        <v>602</v>
      </c>
      <c r="AD39" s="509"/>
      <c r="AE39" s="509"/>
      <c r="AF39" s="509"/>
      <c r="AG39" s="509"/>
      <c r="AH39" s="509"/>
      <c r="AI39" s="509"/>
      <c r="AJ39" s="509"/>
      <c r="AK39" s="509"/>
      <c r="AL39" s="508"/>
      <c r="AM39" s="500"/>
      <c r="AN39" s="510"/>
      <c r="AO39" s="935"/>
      <c r="AP39" s="935"/>
      <c r="AQ39" s="935"/>
      <c r="AR39" s="935"/>
      <c r="AS39" s="935"/>
      <c r="AT39" s="935"/>
      <c r="AU39" s="935"/>
      <c r="AV39" s="935"/>
      <c r="AW39" s="935"/>
      <c r="AX39" s="509"/>
      <c r="AY39" s="509"/>
      <c r="AZ39" s="512"/>
      <c r="BA39" s="501"/>
      <c r="BB39" s="469"/>
      <c r="BC39" s="824"/>
    </row>
    <row r="40" spans="1:55" s="41" customFormat="1" ht="12.95" customHeight="1">
      <c r="A40" s="824"/>
      <c r="B40" s="945"/>
      <c r="C40" s="946"/>
      <c r="D40" s="946"/>
      <c r="E40" s="946"/>
      <c r="F40" s="946"/>
      <c r="G40" s="947"/>
      <c r="H40" s="947"/>
      <c r="I40" s="947"/>
      <c r="J40" s="947"/>
      <c r="K40" s="947"/>
      <c r="L40" s="947"/>
      <c r="M40" s="947"/>
      <c r="N40" s="947"/>
      <c r="O40" s="947"/>
      <c r="P40" s="947"/>
      <c r="Q40" s="947"/>
      <c r="R40" s="947"/>
      <c r="S40" s="947"/>
      <c r="T40" s="947"/>
      <c r="U40" s="801"/>
      <c r="V40" s="509"/>
      <c r="W40" s="509"/>
      <c r="X40" s="509"/>
      <c r="Y40" s="509"/>
      <c r="Z40" s="922" t="s">
        <v>603</v>
      </c>
      <c r="AA40" s="923"/>
      <c r="AB40" s="924"/>
      <c r="AC40" s="925" t="s">
        <v>604</v>
      </c>
      <c r="AD40" s="926"/>
      <c r="AE40" s="926"/>
      <c r="AF40" s="509"/>
      <c r="AG40" s="509"/>
      <c r="AH40" s="509"/>
      <c r="AI40" s="509"/>
      <c r="AJ40" s="509"/>
      <c r="AK40" s="509"/>
      <c r="AL40" s="508"/>
      <c r="AM40" s="500"/>
      <c r="AN40" s="513"/>
      <c r="AO40" s="935"/>
      <c r="AP40" s="935"/>
      <c r="AQ40" s="935"/>
      <c r="AR40" s="935"/>
      <c r="AS40" s="935"/>
      <c r="AT40" s="935"/>
      <c r="AU40" s="935"/>
      <c r="AV40" s="935"/>
      <c r="AW40" s="935"/>
      <c r="AX40" s="509"/>
      <c r="AY40" s="509"/>
      <c r="AZ40" s="512"/>
      <c r="BA40" s="501"/>
      <c r="BB40" s="469"/>
      <c r="BC40" s="824"/>
    </row>
    <row r="41" spans="1:55" s="41" customFormat="1" ht="12.95" customHeight="1">
      <c r="A41" s="824"/>
      <c r="B41" s="945"/>
      <c r="C41" s="946"/>
      <c r="D41" s="946"/>
      <c r="E41" s="946"/>
      <c r="F41" s="946"/>
      <c r="G41" s="947"/>
      <c r="H41" s="947"/>
      <c r="I41" s="947"/>
      <c r="J41" s="947"/>
      <c r="K41" s="947"/>
      <c r="L41" s="947"/>
      <c r="M41" s="947"/>
      <c r="N41" s="947"/>
      <c r="O41" s="947"/>
      <c r="P41" s="947"/>
      <c r="Q41" s="947"/>
      <c r="R41" s="947"/>
      <c r="S41" s="947"/>
      <c r="T41" s="947"/>
      <c r="U41" s="801"/>
      <c r="V41" s="509"/>
      <c r="W41" s="509"/>
      <c r="X41" s="509"/>
      <c r="Y41" s="509"/>
      <c r="Z41" s="509"/>
      <c r="AA41" s="509"/>
      <c r="AB41" s="509"/>
      <c r="AC41" s="509"/>
      <c r="AD41" s="509"/>
      <c r="AE41" s="509"/>
      <c r="AF41" s="509"/>
      <c r="AG41" s="509"/>
      <c r="AH41" s="509"/>
      <c r="AI41" s="509"/>
      <c r="AJ41" s="509"/>
      <c r="AK41" s="509"/>
      <c r="AL41" s="508"/>
      <c r="AM41" s="500"/>
      <c r="AN41" s="513"/>
      <c r="AO41" s="799"/>
      <c r="AP41" s="799"/>
      <c r="AQ41" s="799"/>
      <c r="AR41" s="799"/>
      <c r="AS41" s="799"/>
      <c r="AT41" s="799"/>
      <c r="AU41" s="799"/>
      <c r="AV41" s="799"/>
      <c r="AW41" s="799"/>
      <c r="AX41" s="509"/>
      <c r="AY41" s="509"/>
      <c r="AZ41" s="512"/>
      <c r="BA41" s="501"/>
      <c r="BB41" s="469"/>
      <c r="BC41" s="824"/>
    </row>
    <row r="42" spans="1:55" s="41" customFormat="1" ht="12.95" customHeight="1">
      <c r="A42" s="824"/>
      <c r="B42" s="478"/>
      <c r="C42" s="118"/>
      <c r="D42" s="118"/>
      <c r="E42" s="118"/>
      <c r="F42" s="118"/>
      <c r="G42" s="118"/>
      <c r="H42" s="118"/>
      <c r="I42" s="118"/>
      <c r="J42" s="118"/>
      <c r="K42" s="118"/>
      <c r="L42" s="118"/>
      <c r="M42" s="118"/>
      <c r="N42" s="118"/>
      <c r="O42" s="118"/>
      <c r="P42" s="118"/>
      <c r="Q42" s="118"/>
      <c r="R42" s="118"/>
      <c r="S42" s="118"/>
      <c r="T42" s="118"/>
      <c r="U42" s="801"/>
      <c r="V42" s="934" t="s">
        <v>605</v>
      </c>
      <c r="W42" s="934"/>
      <c r="X42" s="934"/>
      <c r="Y42" s="934"/>
      <c r="Z42" s="934"/>
      <c r="AA42" s="934"/>
      <c r="AB42" s="934"/>
      <c r="AC42" s="934"/>
      <c r="AD42" s="934"/>
      <c r="AE42" s="934"/>
      <c r="AF42" s="934"/>
      <c r="AG42" s="509"/>
      <c r="AH42" s="935" t="s">
        <v>606</v>
      </c>
      <c r="AI42" s="935"/>
      <c r="AJ42" s="935"/>
      <c r="AK42" s="935"/>
      <c r="AL42" s="935"/>
      <c r="AM42" s="935"/>
      <c r="AN42" s="935"/>
      <c r="AO42" s="935"/>
      <c r="AP42" s="935"/>
      <c r="AQ42" s="935"/>
      <c r="AR42" s="935"/>
      <c r="AS42" s="935"/>
      <c r="AT42" s="935"/>
      <c r="AU42" s="935"/>
      <c r="AV42" s="935"/>
      <c r="AW42" s="935"/>
      <c r="AX42" s="118"/>
      <c r="AY42" s="118"/>
      <c r="AZ42" s="118"/>
      <c r="BA42" s="118"/>
      <c r="BB42" s="469"/>
      <c r="BC42" s="824"/>
    </row>
    <row r="43" spans="1:55" s="41" customFormat="1" ht="12.95" customHeight="1">
      <c r="A43" s="824"/>
      <c r="B43" s="478"/>
      <c r="C43" s="118"/>
      <c r="D43" s="118"/>
      <c r="E43" s="118"/>
      <c r="F43" s="118"/>
      <c r="G43" s="118"/>
      <c r="H43" s="118"/>
      <c r="I43" s="118"/>
      <c r="J43" s="118"/>
      <c r="K43" s="118"/>
      <c r="L43" s="118"/>
      <c r="M43" s="118"/>
      <c r="N43" s="118"/>
      <c r="O43" s="118"/>
      <c r="P43" s="118"/>
      <c r="Q43" s="118"/>
      <c r="R43" s="118"/>
      <c r="S43" s="118"/>
      <c r="T43" s="118"/>
      <c r="U43" s="801"/>
      <c r="V43" s="934" t="s">
        <v>607</v>
      </c>
      <c r="W43" s="934"/>
      <c r="X43" s="934"/>
      <c r="Y43" s="934"/>
      <c r="Z43" s="934"/>
      <c r="AA43" s="934"/>
      <c r="AB43" s="934"/>
      <c r="AC43" s="934"/>
      <c r="AD43" s="934"/>
      <c r="AE43" s="934"/>
      <c r="AF43" s="934"/>
      <c r="AG43" s="798"/>
      <c r="AH43" s="935"/>
      <c r="AI43" s="935"/>
      <c r="AJ43" s="935"/>
      <c r="AK43" s="935"/>
      <c r="AL43" s="935"/>
      <c r="AM43" s="935"/>
      <c r="AN43" s="935"/>
      <c r="AO43" s="935"/>
      <c r="AP43" s="935"/>
      <c r="AQ43" s="935"/>
      <c r="AR43" s="935"/>
      <c r="AS43" s="935"/>
      <c r="AT43" s="935"/>
      <c r="AU43" s="935"/>
      <c r="AV43" s="935"/>
      <c r="AW43" s="935"/>
      <c r="AX43" s="942"/>
      <c r="AY43" s="943"/>
      <c r="AZ43" s="944"/>
      <c r="BA43" s="501"/>
      <c r="BB43" s="469"/>
      <c r="BC43" s="824"/>
    </row>
    <row r="44" spans="1:55" s="41" customFormat="1" ht="12.95" customHeight="1">
      <c r="A44" s="824"/>
      <c r="B44" s="478"/>
      <c r="C44" s="149" t="s">
        <v>608</v>
      </c>
      <c r="D44" s="503"/>
      <c r="E44" s="503"/>
      <c r="F44" s="118"/>
      <c r="G44" s="118"/>
      <c r="H44" s="118"/>
      <c r="I44" s="118"/>
      <c r="J44" s="118"/>
      <c r="K44" s="118"/>
      <c r="L44" s="118"/>
      <c r="M44" s="118"/>
      <c r="N44" s="118"/>
      <c r="O44" s="118"/>
      <c r="P44" s="118"/>
      <c r="Q44" s="118"/>
      <c r="R44" s="118"/>
      <c r="S44" s="118"/>
      <c r="T44" s="118"/>
      <c r="U44" s="801"/>
      <c r="V44" s="509"/>
      <c r="W44" s="509"/>
      <c r="X44" s="932" t="s">
        <v>598</v>
      </c>
      <c r="Y44" s="932"/>
      <c r="Z44" s="932"/>
      <c r="AA44" s="932"/>
      <c r="AB44" s="932"/>
      <c r="AC44" s="932"/>
      <c r="AD44" s="932"/>
      <c r="AE44" s="509"/>
      <c r="AF44" s="509"/>
      <c r="AG44" s="798"/>
      <c r="AH44" s="935"/>
      <c r="AI44" s="935"/>
      <c r="AJ44" s="935"/>
      <c r="AK44" s="935"/>
      <c r="AL44" s="935"/>
      <c r="AM44" s="935"/>
      <c r="AN44" s="935"/>
      <c r="AO44" s="935"/>
      <c r="AP44" s="935"/>
      <c r="AQ44" s="935"/>
      <c r="AR44" s="935"/>
      <c r="AS44" s="935"/>
      <c r="AT44" s="935"/>
      <c r="AU44" s="935"/>
      <c r="AV44" s="935"/>
      <c r="AW44" s="935"/>
      <c r="AX44" s="799"/>
      <c r="AY44" s="799"/>
      <c r="AZ44" s="799"/>
      <c r="BA44" s="501"/>
      <c r="BB44" s="469"/>
      <c r="BC44" s="824"/>
    </row>
    <row r="45" spans="1:55" s="41" customFormat="1" ht="12.95" customHeight="1">
      <c r="A45" s="824"/>
      <c r="B45" s="478"/>
      <c r="C45" s="644" t="s">
        <v>609</v>
      </c>
      <c r="D45" s="503"/>
      <c r="E45" s="503"/>
      <c r="F45" s="503"/>
      <c r="G45" s="503"/>
      <c r="H45" s="503"/>
      <c r="I45" s="503"/>
      <c r="J45" s="503"/>
      <c r="K45" s="503"/>
      <c r="L45" s="503"/>
      <c r="M45" s="503"/>
      <c r="N45" s="503"/>
      <c r="O45" s="503"/>
      <c r="P45" s="503"/>
      <c r="Q45" s="503"/>
      <c r="R45" s="503"/>
      <c r="S45" s="503"/>
      <c r="T45" s="503"/>
      <c r="U45" s="503"/>
      <c r="V45" s="509"/>
      <c r="W45" s="939">
        <v>2.5000000000000001E-3</v>
      </c>
      <c r="X45" s="940"/>
      <c r="Y45" s="941"/>
      <c r="Z45" s="923" t="s">
        <v>610</v>
      </c>
      <c r="AA45" s="923"/>
      <c r="AB45" s="924"/>
      <c r="AC45" s="507" t="s">
        <v>602</v>
      </c>
      <c r="AD45" s="509"/>
      <c r="AE45" s="509"/>
      <c r="AF45" s="509"/>
      <c r="AG45" s="798"/>
      <c r="AH45" s="798"/>
      <c r="AI45" s="938" t="s">
        <v>611</v>
      </c>
      <c r="AJ45" s="938"/>
      <c r="AK45" s="938"/>
      <c r="AL45" s="938"/>
      <c r="AM45" s="938"/>
      <c r="AN45" s="938"/>
      <c r="AO45" s="938"/>
      <c r="AP45" s="938"/>
      <c r="AQ45" s="938"/>
      <c r="AR45" s="938"/>
      <c r="AS45" s="938"/>
      <c r="AT45" s="938"/>
      <c r="AU45" s="938"/>
      <c r="AV45" s="938"/>
      <c r="AW45" s="938"/>
      <c r="AX45" s="501"/>
      <c r="AY45" s="501"/>
      <c r="AZ45" s="501"/>
      <c r="BA45" s="501"/>
      <c r="BB45" s="469"/>
      <c r="BC45" s="824"/>
    </row>
    <row r="46" spans="1:55" s="41" customFormat="1" ht="12.95" customHeight="1">
      <c r="A46" s="824"/>
      <c r="B46" s="478"/>
      <c r="C46" s="504" t="s">
        <v>612</v>
      </c>
      <c r="D46" s="504"/>
      <c r="E46" s="504"/>
      <c r="F46" s="503"/>
      <c r="G46" s="503"/>
      <c r="H46" s="503"/>
      <c r="I46" s="503"/>
      <c r="J46" s="503"/>
      <c r="K46" s="503"/>
      <c r="L46" s="503"/>
      <c r="M46" s="503"/>
      <c r="N46" s="503"/>
      <c r="O46" s="503"/>
      <c r="P46" s="503"/>
      <c r="Q46" s="503"/>
      <c r="R46" s="503"/>
      <c r="S46" s="503"/>
      <c r="T46" s="503"/>
      <c r="U46" s="503"/>
      <c r="V46" s="509"/>
      <c r="W46" s="509"/>
      <c r="X46" s="509"/>
      <c r="Y46" s="509"/>
      <c r="Z46" s="922" t="s">
        <v>613</v>
      </c>
      <c r="AA46" s="923"/>
      <c r="AB46" s="924"/>
      <c r="AC46" s="925" t="s">
        <v>614</v>
      </c>
      <c r="AD46" s="926"/>
      <c r="AE46" s="926"/>
      <c r="AF46" s="509"/>
      <c r="AG46" s="509"/>
      <c r="AH46" s="509"/>
      <c r="AI46" s="938"/>
      <c r="AJ46" s="938"/>
      <c r="AK46" s="938"/>
      <c r="AL46" s="938"/>
      <c r="AM46" s="938"/>
      <c r="AN46" s="938"/>
      <c r="AO46" s="938"/>
      <c r="AP46" s="938"/>
      <c r="AQ46" s="938"/>
      <c r="AR46" s="938"/>
      <c r="AS46" s="938"/>
      <c r="AT46" s="938"/>
      <c r="AU46" s="938"/>
      <c r="AV46" s="938"/>
      <c r="AW46" s="938"/>
      <c r="AX46" s="937">
        <v>7</v>
      </c>
      <c r="AY46" s="937"/>
      <c r="AZ46" s="937"/>
      <c r="BA46" s="501"/>
      <c r="BB46" s="469"/>
      <c r="BC46" s="824"/>
    </row>
    <row r="47" spans="1:55" s="41" customFormat="1" ht="12.95" customHeight="1">
      <c r="A47" s="824"/>
      <c r="B47" s="478"/>
      <c r="C47" s="645" t="s">
        <v>615</v>
      </c>
      <c r="D47" s="504"/>
      <c r="E47" s="504"/>
      <c r="F47" s="503"/>
      <c r="G47" s="503"/>
      <c r="H47" s="503"/>
      <c r="I47" s="503"/>
      <c r="J47" s="503"/>
      <c r="K47" s="503"/>
      <c r="L47" s="503"/>
      <c r="M47" s="503"/>
      <c r="N47" s="503"/>
      <c r="O47" s="503"/>
      <c r="P47" s="503"/>
      <c r="Q47" s="503"/>
      <c r="R47" s="503"/>
      <c r="S47" s="503"/>
      <c r="T47" s="503"/>
      <c r="U47" s="503"/>
      <c r="V47" s="509"/>
      <c r="W47" s="509"/>
      <c r="X47" s="509"/>
      <c r="Y47" s="509"/>
      <c r="Z47" s="509"/>
      <c r="AA47" s="509"/>
      <c r="AB47" s="509"/>
      <c r="AC47" s="509"/>
      <c r="AD47" s="509"/>
      <c r="AE47" s="118"/>
      <c r="AF47" s="647"/>
      <c r="AG47" s="509"/>
      <c r="AH47" s="509"/>
      <c r="AI47" s="938"/>
      <c r="AJ47" s="938"/>
      <c r="AK47" s="938"/>
      <c r="AL47" s="938"/>
      <c r="AM47" s="938"/>
      <c r="AN47" s="938"/>
      <c r="AO47" s="938"/>
      <c r="AP47" s="938"/>
      <c r="AQ47" s="938"/>
      <c r="AR47" s="938"/>
      <c r="AS47" s="938"/>
      <c r="AT47" s="938"/>
      <c r="AU47" s="938"/>
      <c r="AV47" s="938"/>
      <c r="AW47" s="938"/>
      <c r="AX47" s="800"/>
      <c r="AY47" s="800"/>
      <c r="AZ47" s="800"/>
      <c r="BA47" s="501"/>
      <c r="BB47" s="469"/>
      <c r="BC47" s="824"/>
    </row>
    <row r="48" spans="1:55" s="41" customFormat="1" ht="12.95" customHeight="1">
      <c r="A48" s="824"/>
      <c r="B48" s="479"/>
      <c r="C48" s="645" t="s">
        <v>616</v>
      </c>
      <c r="D48" s="504"/>
      <c r="E48" s="504"/>
      <c r="F48" s="504"/>
      <c r="G48" s="504"/>
      <c r="H48" s="504"/>
      <c r="I48" s="504"/>
      <c r="J48" s="504"/>
      <c r="K48" s="504"/>
      <c r="L48" s="504"/>
      <c r="M48" s="504"/>
      <c r="N48" s="504"/>
      <c r="O48" s="504"/>
      <c r="P48" s="504"/>
      <c r="Q48" s="504"/>
      <c r="R48" s="504"/>
      <c r="S48" s="504"/>
      <c r="T48" s="504"/>
      <c r="U48" s="502"/>
      <c r="V48" s="502"/>
      <c r="W48" s="502"/>
      <c r="X48" s="502"/>
      <c r="Y48" s="502"/>
      <c r="Z48" s="502"/>
      <c r="AA48" s="493"/>
      <c r="AB48" s="493"/>
      <c r="AC48" s="493"/>
      <c r="AD48" s="935" t="s">
        <v>617</v>
      </c>
      <c r="AE48" s="935"/>
      <c r="AF48" s="935"/>
      <c r="AG48" s="935"/>
      <c r="AH48" s="935"/>
      <c r="AI48" s="935"/>
      <c r="AJ48" s="935"/>
      <c r="AK48" s="935"/>
      <c r="AL48" s="935"/>
      <c r="AM48" s="935"/>
      <c r="AN48" s="935"/>
      <c r="AO48" s="935"/>
      <c r="AP48" s="935"/>
      <c r="AQ48" s="935"/>
      <c r="AR48" s="935"/>
      <c r="AS48" s="935"/>
      <c r="AT48" s="935"/>
      <c r="AU48" s="935"/>
      <c r="AV48" s="935"/>
      <c r="AW48" s="935"/>
      <c r="AX48" s="934" t="s">
        <v>618</v>
      </c>
      <c r="AY48" s="934"/>
      <c r="AZ48" s="934"/>
      <c r="BA48" s="501"/>
      <c r="BB48" s="469"/>
      <c r="BC48" s="824"/>
    </row>
    <row r="49" spans="1:55" s="41" customFormat="1" ht="12.95" customHeight="1">
      <c r="A49" s="824"/>
      <c r="B49" s="479"/>
      <c r="C49" s="646" t="s">
        <v>619</v>
      </c>
      <c r="D49" s="504"/>
      <c r="E49" s="504"/>
      <c r="F49" s="504"/>
      <c r="G49" s="504"/>
      <c r="H49" s="504"/>
      <c r="I49" s="504"/>
      <c r="J49" s="504"/>
      <c r="K49" s="504"/>
      <c r="L49" s="504"/>
      <c r="M49" s="504"/>
      <c r="N49" s="504"/>
      <c r="O49" s="504"/>
      <c r="P49" s="504"/>
      <c r="Q49" s="504"/>
      <c r="R49" s="504"/>
      <c r="S49" s="504"/>
      <c r="T49" s="504"/>
      <c r="U49" s="502"/>
      <c r="V49" s="502"/>
      <c r="W49" s="502"/>
      <c r="X49" s="502"/>
      <c r="Y49" s="502"/>
      <c r="Z49" s="502"/>
      <c r="AA49" s="493"/>
      <c r="AB49" s="493"/>
      <c r="AC49" s="493"/>
      <c r="AD49" s="935"/>
      <c r="AE49" s="935"/>
      <c r="AF49" s="935"/>
      <c r="AG49" s="935"/>
      <c r="AH49" s="935"/>
      <c r="AI49" s="935"/>
      <c r="AJ49" s="935"/>
      <c r="AK49" s="935"/>
      <c r="AL49" s="935"/>
      <c r="AM49" s="935"/>
      <c r="AN49" s="935"/>
      <c r="AO49" s="935"/>
      <c r="AP49" s="935"/>
      <c r="AQ49" s="935"/>
      <c r="AR49" s="935"/>
      <c r="AS49" s="935"/>
      <c r="AT49" s="935"/>
      <c r="AU49" s="935"/>
      <c r="AV49" s="935"/>
      <c r="AW49" s="935"/>
      <c r="AX49" s="934"/>
      <c r="AY49" s="934"/>
      <c r="AZ49" s="934"/>
      <c r="BA49" s="501"/>
      <c r="BB49" s="469"/>
      <c r="BC49" s="824"/>
    </row>
    <row r="50" spans="1:55" s="41" customFormat="1" ht="12.95" customHeight="1">
      <c r="A50" s="824"/>
      <c r="B50" s="479"/>
      <c r="C50" s="645" t="s">
        <v>620</v>
      </c>
      <c r="D50" s="504"/>
      <c r="E50" s="118"/>
      <c r="F50" s="504"/>
      <c r="G50" s="504"/>
      <c r="H50" s="504"/>
      <c r="I50" s="504"/>
      <c r="J50" s="504"/>
      <c r="K50" s="504"/>
      <c r="L50" s="504"/>
      <c r="M50" s="504"/>
      <c r="N50" s="504"/>
      <c r="O50" s="504"/>
      <c r="P50" s="504"/>
      <c r="Q50" s="504"/>
      <c r="R50" s="504"/>
      <c r="S50" s="504"/>
      <c r="T50" s="504"/>
      <c r="U50" s="815"/>
      <c r="V50" s="502"/>
      <c r="W50" s="502"/>
      <c r="X50" s="502"/>
      <c r="Y50" s="502"/>
      <c r="Z50" s="502"/>
      <c r="AA50" s="493"/>
      <c r="AB50" s="493"/>
      <c r="AC50" s="493"/>
      <c r="AD50" s="935"/>
      <c r="AE50" s="935"/>
      <c r="AF50" s="935"/>
      <c r="AG50" s="935"/>
      <c r="AH50" s="935"/>
      <c r="AI50" s="935"/>
      <c r="AJ50" s="935"/>
      <c r="AK50" s="935"/>
      <c r="AL50" s="935"/>
      <c r="AM50" s="935"/>
      <c r="AN50" s="935"/>
      <c r="AO50" s="935"/>
      <c r="AP50" s="935"/>
      <c r="AQ50" s="935"/>
      <c r="AR50" s="935"/>
      <c r="AS50" s="935"/>
      <c r="AT50" s="935"/>
      <c r="AU50" s="935"/>
      <c r="AV50" s="935"/>
      <c r="AW50" s="935"/>
      <c r="AX50" s="934"/>
      <c r="AY50" s="934"/>
      <c r="AZ50" s="934"/>
      <c r="BA50" s="501"/>
      <c r="BB50" s="469"/>
      <c r="BC50" s="824"/>
    </row>
    <row r="51" spans="1:55" s="41" customFormat="1" ht="12.95" customHeight="1">
      <c r="A51" s="824"/>
      <c r="B51" s="479"/>
      <c r="C51" s="645" t="s">
        <v>621</v>
      </c>
      <c r="D51" s="118"/>
      <c r="E51" s="118"/>
      <c r="F51" s="504"/>
      <c r="G51" s="504"/>
      <c r="H51" s="504"/>
      <c r="I51" s="504"/>
      <c r="J51" s="504"/>
      <c r="K51" s="504"/>
      <c r="L51" s="504"/>
      <c r="M51" s="504"/>
      <c r="N51" s="504"/>
      <c r="O51" s="504"/>
      <c r="P51" s="504"/>
      <c r="Q51" s="504"/>
      <c r="R51" s="504"/>
      <c r="S51" s="504"/>
      <c r="T51" s="504"/>
      <c r="U51" s="118"/>
      <c r="V51" s="118"/>
      <c r="W51" s="118"/>
      <c r="X51" s="118"/>
      <c r="Y51" s="118"/>
      <c r="Z51" s="118"/>
      <c r="AA51" s="118"/>
      <c r="AB51" s="118"/>
      <c r="AC51" s="118"/>
      <c r="AD51" s="935"/>
      <c r="AE51" s="935"/>
      <c r="AF51" s="935"/>
      <c r="AG51" s="935"/>
      <c r="AH51" s="935"/>
      <c r="AI51" s="935"/>
      <c r="AJ51" s="935"/>
      <c r="AK51" s="935"/>
      <c r="AL51" s="935"/>
      <c r="AM51" s="935"/>
      <c r="AN51" s="935"/>
      <c r="AO51" s="935"/>
      <c r="AP51" s="935"/>
      <c r="AQ51" s="935"/>
      <c r="AR51" s="935"/>
      <c r="AS51" s="935"/>
      <c r="AT51" s="935"/>
      <c r="AU51" s="935"/>
      <c r="AV51" s="935"/>
      <c r="AW51" s="935"/>
      <c r="AX51" s="934"/>
      <c r="AY51" s="934"/>
      <c r="AZ51" s="934"/>
      <c r="BA51" s="501"/>
      <c r="BB51" s="469"/>
      <c r="BC51" s="824"/>
    </row>
    <row r="52" spans="1:55" s="41" customFormat="1" ht="12.95" customHeight="1">
      <c r="A52" s="824"/>
      <c r="B52" s="479"/>
      <c r="C52" s="504"/>
      <c r="D52" s="504"/>
      <c r="E52" s="504"/>
      <c r="F52" s="504"/>
      <c r="G52" s="504"/>
      <c r="H52" s="504"/>
      <c r="I52" s="504"/>
      <c r="J52" s="504"/>
      <c r="K52" s="504"/>
      <c r="L52" s="504"/>
      <c r="M52" s="504"/>
      <c r="N52" s="504"/>
      <c r="O52" s="504"/>
      <c r="P52" s="504"/>
      <c r="Q52" s="504"/>
      <c r="R52" s="504"/>
      <c r="S52" s="504"/>
      <c r="T52" s="504"/>
      <c r="U52" s="118"/>
      <c r="V52" s="118"/>
      <c r="W52" s="118"/>
      <c r="X52" s="118"/>
      <c r="Y52" s="118"/>
      <c r="Z52" s="118"/>
      <c r="AA52" s="118"/>
      <c r="AB52" s="118"/>
      <c r="AC52" s="118"/>
      <c r="AD52" s="935"/>
      <c r="AE52" s="935"/>
      <c r="AF52" s="935"/>
      <c r="AG52" s="935"/>
      <c r="AH52" s="935"/>
      <c r="AI52" s="935"/>
      <c r="AJ52" s="935"/>
      <c r="AK52" s="935"/>
      <c r="AL52" s="935"/>
      <c r="AM52" s="935"/>
      <c r="AN52" s="935"/>
      <c r="AO52" s="935"/>
      <c r="AP52" s="935"/>
      <c r="AQ52" s="935"/>
      <c r="AR52" s="935"/>
      <c r="AS52" s="935"/>
      <c r="AT52" s="935"/>
      <c r="AU52" s="935"/>
      <c r="AV52" s="935"/>
      <c r="AW52" s="935"/>
      <c r="AX52" s="934"/>
      <c r="AY52" s="934"/>
      <c r="AZ52" s="934"/>
      <c r="BA52" s="118"/>
      <c r="BB52" s="469"/>
      <c r="BC52" s="824"/>
    </row>
    <row r="53" spans="1:55" s="41" customFormat="1" ht="12.95" customHeight="1" thickBot="1">
      <c r="A53" s="824"/>
      <c r="B53" s="480"/>
      <c r="C53" s="481"/>
      <c r="D53" s="481"/>
      <c r="E53" s="481"/>
      <c r="F53" s="481"/>
      <c r="G53" s="481"/>
      <c r="H53" s="481"/>
      <c r="I53" s="481"/>
      <c r="J53" s="481"/>
      <c r="K53" s="481"/>
      <c r="L53" s="481"/>
      <c r="M53" s="481"/>
      <c r="N53" s="481"/>
      <c r="O53" s="481"/>
      <c r="P53" s="481"/>
      <c r="Q53" s="481"/>
      <c r="R53" s="481"/>
      <c r="S53" s="481"/>
      <c r="T53" s="522" t="s">
        <v>622</v>
      </c>
      <c r="U53" s="482" t="s">
        <v>623</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4"/>
    </row>
    <row r="54" spans="1:55" ht="13.5" thickTop="1">
      <c r="A54" s="824"/>
      <c r="B54" s="824"/>
      <c r="C54" s="824"/>
      <c r="D54" s="824"/>
      <c r="E54" s="824"/>
      <c r="F54" s="824"/>
      <c r="G54" s="824"/>
      <c r="H54" s="824"/>
      <c r="I54" s="824"/>
      <c r="J54" s="824"/>
      <c r="K54" s="824"/>
      <c r="L54" s="824"/>
      <c r="M54" s="824"/>
      <c r="N54" s="824"/>
      <c r="O54" s="824"/>
      <c r="P54" s="824"/>
      <c r="Q54" s="824"/>
      <c r="R54" s="824"/>
      <c r="S54" s="824"/>
      <c r="T54" s="824"/>
      <c r="U54" s="824"/>
      <c r="V54" s="824"/>
      <c r="W54" s="824"/>
      <c r="X54" s="824"/>
      <c r="Y54" s="824"/>
      <c r="Z54" s="824"/>
      <c r="AA54" s="824"/>
      <c r="AB54" s="824"/>
      <c r="AC54" s="824"/>
      <c r="AD54" s="824"/>
      <c r="AE54" s="824"/>
      <c r="AF54" s="824"/>
      <c r="AG54" s="824"/>
      <c r="AH54" s="824"/>
      <c r="AI54" s="824"/>
      <c r="AJ54" s="824"/>
      <c r="AK54" s="824"/>
      <c r="AL54" s="824"/>
      <c r="AM54" s="824"/>
      <c r="AN54" s="824"/>
      <c r="AO54" s="824"/>
      <c r="AP54" s="824"/>
      <c r="AQ54" s="824"/>
      <c r="AR54" s="824"/>
      <c r="AS54" s="824"/>
      <c r="AT54" s="824"/>
      <c r="AU54" s="824"/>
      <c r="AV54" s="824"/>
      <c r="AW54" s="824"/>
      <c r="AX54" s="824"/>
      <c r="AY54" s="824"/>
      <c r="AZ54" s="824"/>
      <c r="BA54" s="824"/>
      <c r="BB54" s="824"/>
      <c r="BC54" s="824"/>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624</v>
      </c>
      <c r="W56" s="188"/>
      <c r="X56" s="188"/>
      <c r="Y56" s="188"/>
      <c r="Z56" s="188"/>
      <c r="AA56" s="188"/>
      <c r="AB56" s="188"/>
      <c r="AC56" s="188"/>
      <c r="AD56" s="188" t="s">
        <v>624</v>
      </c>
      <c r="AE56" s="188"/>
      <c r="AF56" s="188"/>
      <c r="AG56" s="188"/>
      <c r="AH56" s="188"/>
      <c r="AI56" s="118" t="s">
        <v>625</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626</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627</v>
      </c>
      <c r="W58" s="188"/>
      <c r="X58" s="188"/>
      <c r="Y58" s="188"/>
      <c r="Z58" s="188"/>
      <c r="AA58" s="188"/>
      <c r="AB58" s="188"/>
      <c r="AC58" s="188"/>
      <c r="AD58" s="188" t="s">
        <v>628</v>
      </c>
      <c r="AE58" s="188"/>
      <c r="AF58" s="188"/>
      <c r="AG58" s="188"/>
      <c r="AH58" s="188"/>
      <c r="AI58" s="118" t="s">
        <v>629</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630</v>
      </c>
      <c r="W59" s="188"/>
      <c r="X59" s="188"/>
      <c r="Y59" s="188"/>
      <c r="Z59" s="188"/>
      <c r="AA59" s="188"/>
      <c r="AB59" s="188"/>
      <c r="AC59" s="188"/>
      <c r="AD59" s="188" t="s">
        <v>631</v>
      </c>
      <c r="AE59" s="188"/>
      <c r="AF59" s="188"/>
      <c r="AG59" s="188"/>
      <c r="AH59" s="188"/>
      <c r="AI59" s="188" t="s">
        <v>632</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633</v>
      </c>
      <c r="W60" s="188"/>
      <c r="X60" s="188"/>
      <c r="Y60" s="188"/>
      <c r="Z60" s="188"/>
      <c r="AA60" s="188"/>
      <c r="AB60" s="188"/>
      <c r="AC60" s="188"/>
      <c r="AD60" s="188" t="s">
        <v>633</v>
      </c>
      <c r="AE60" s="188"/>
      <c r="AF60" s="188"/>
      <c r="AG60" s="188"/>
      <c r="AH60" s="188"/>
      <c r="AI60" s="188" t="s">
        <v>634</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635</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636</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637</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638</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639</v>
      </c>
    </row>
    <row r="66" spans="35:35" hidden="1">
      <c r="AI66" s="188" t="s">
        <v>640</v>
      </c>
    </row>
    <row r="67" spans="35:35" hidden="1">
      <c r="AI67" s="118" t="s">
        <v>641</v>
      </c>
    </row>
    <row r="68" spans="35:35" hidden="1">
      <c r="AI68" s="118" t="s">
        <v>642</v>
      </c>
    </row>
    <row r="69" spans="35:35" hidden="1">
      <c r="AI69" s="118" t="s">
        <v>643</v>
      </c>
    </row>
    <row r="70" spans="35:35" hidden="1">
      <c r="AI70" s="118" t="s">
        <v>644</v>
      </c>
    </row>
    <row r="71" spans="35:35" hidden="1">
      <c r="AI71" s="118" t="s">
        <v>645</v>
      </c>
    </row>
    <row r="72" spans="35:35" hidden="1">
      <c r="AI72" s="188" t="s">
        <v>646</v>
      </c>
    </row>
    <row r="73" spans="35:35" hidden="1">
      <c r="AI73" s="118" t="s">
        <v>647</v>
      </c>
    </row>
    <row r="74" spans="35:35" hidden="1">
      <c r="AI74" s="118" t="s">
        <v>648</v>
      </c>
    </row>
    <row r="75" spans="35:35" hidden="1">
      <c r="AI75" s="118" t="s">
        <v>649</v>
      </c>
    </row>
    <row r="76" spans="35:35" hidden="1">
      <c r="AI76" s="118" t="s">
        <v>650</v>
      </c>
    </row>
    <row r="77" spans="35:35" hidden="1">
      <c r="AI77" s="188" t="s">
        <v>651</v>
      </c>
    </row>
    <row r="78" spans="35:35" hidden="1">
      <c r="AI78" s="118" t="s">
        <v>652</v>
      </c>
    </row>
    <row r="79" spans="35:35" hidden="1">
      <c r="AI79" s="118" t="s">
        <v>653</v>
      </c>
    </row>
    <row r="80" spans="35:35" hidden="1">
      <c r="AI80" s="118" t="s">
        <v>654</v>
      </c>
    </row>
    <row r="81" spans="35:35" hidden="1">
      <c r="AI81" s="188" t="s">
        <v>655</v>
      </c>
    </row>
    <row r="82" spans="35:35" hidden="1">
      <c r="AI82" s="118" t="s">
        <v>656</v>
      </c>
    </row>
    <row r="83" spans="35:35" hidden="1">
      <c r="AI83" s="118" t="s">
        <v>657</v>
      </c>
    </row>
    <row r="84" spans="35:35" hidden="1">
      <c r="AI84" s="188" t="s">
        <v>658</v>
      </c>
    </row>
    <row r="85" spans="35:35" hidden="1">
      <c r="AI85" s="118" t="s">
        <v>659</v>
      </c>
    </row>
    <row r="86" spans="35:35" hidden="1">
      <c r="AI86" s="118" t="s">
        <v>660</v>
      </c>
    </row>
    <row r="87" spans="35:35" hidden="1">
      <c r="AI87" s="118" t="s">
        <v>661</v>
      </c>
    </row>
    <row r="88" spans="35:35" hidden="1">
      <c r="AI88" s="118" t="s">
        <v>662</v>
      </c>
    </row>
    <row r="89" spans="35:35" hidden="1">
      <c r="AI89" s="118" t="s">
        <v>663</v>
      </c>
    </row>
    <row r="90" spans="35:35" hidden="1">
      <c r="AI90" s="118" t="s">
        <v>664</v>
      </c>
    </row>
    <row r="91" spans="35:35" hidden="1">
      <c r="AI91" s="118" t="s">
        <v>665</v>
      </c>
    </row>
    <row r="92" spans="35:35" hidden="1">
      <c r="AI92" s="118" t="s">
        <v>666</v>
      </c>
    </row>
    <row r="93" spans="35:35" hidden="1">
      <c r="AI93" s="118" t="s">
        <v>667</v>
      </c>
    </row>
    <row r="94" spans="35:35" hidden="1">
      <c r="AI94" s="188" t="s">
        <v>668</v>
      </c>
    </row>
    <row r="95" spans="35:35" hidden="1">
      <c r="AI95" s="118" t="s">
        <v>669</v>
      </c>
    </row>
    <row r="96" spans="35:35" hidden="1">
      <c r="AI96" s="118" t="s">
        <v>670</v>
      </c>
    </row>
    <row r="97" spans="35:35" hidden="1">
      <c r="AI97" s="118" t="s">
        <v>671</v>
      </c>
    </row>
    <row r="98" spans="35:35" hidden="1">
      <c r="AI98" s="118" t="s">
        <v>672</v>
      </c>
    </row>
    <row r="99" spans="35:35" hidden="1">
      <c r="AI99" s="188" t="s">
        <v>673</v>
      </c>
    </row>
    <row r="100" spans="35:35" hidden="1">
      <c r="AI100" s="118" t="s">
        <v>674</v>
      </c>
    </row>
    <row r="101" spans="35:35" hidden="1">
      <c r="AI101" s="118" t="s">
        <v>675</v>
      </c>
    </row>
    <row r="102" spans="35:35" hidden="1">
      <c r="AI102" s="188" t="s">
        <v>676</v>
      </c>
    </row>
    <row r="103" spans="35:35" hidden="1">
      <c r="AI103" s="188" t="s">
        <v>677</v>
      </c>
    </row>
    <row r="104" spans="35:35" hidden="1">
      <c r="AI104" s="188" t="s">
        <v>678</v>
      </c>
    </row>
    <row r="105" spans="35:35" hidden="1">
      <c r="AI105" s="118" t="s">
        <v>679</v>
      </c>
    </row>
    <row r="106" spans="35:35" hidden="1">
      <c r="AI106" s="118" t="s">
        <v>680</v>
      </c>
    </row>
    <row r="107" spans="35:35" hidden="1">
      <c r="AI107" s="188" t="s">
        <v>681</v>
      </c>
    </row>
    <row r="108" spans="35:35" hidden="1">
      <c r="AI108" s="118" t="s">
        <v>682</v>
      </c>
    </row>
    <row r="109" spans="35:35" hidden="1">
      <c r="AI109" s="118" t="s">
        <v>535</v>
      </c>
    </row>
    <row r="110" spans="35:35" hidden="1">
      <c r="AI110" s="188" t="s">
        <v>683</v>
      </c>
    </row>
    <row r="111" spans="35:35" hidden="1">
      <c r="AI111" s="188" t="s">
        <v>684</v>
      </c>
    </row>
    <row r="112" spans="35:35" hidden="1">
      <c r="AI112" s="188" t="s">
        <v>685</v>
      </c>
    </row>
    <row r="113" spans="35:35" hidden="1">
      <c r="AI113" s="118" t="s">
        <v>686</v>
      </c>
    </row>
    <row r="114" spans="35:35" hidden="1">
      <c r="AI114" s="188" t="s">
        <v>687</v>
      </c>
    </row>
    <row r="115" spans="35:35" hidden="1">
      <c r="AI115" s="118" t="s">
        <v>688</v>
      </c>
    </row>
    <row r="116" spans="35:35" hidden="1">
      <c r="AI116" s="118" t="s">
        <v>689</v>
      </c>
    </row>
    <row r="117" spans="35:35" hidden="1">
      <c r="AI117" s="118" t="s">
        <v>690</v>
      </c>
    </row>
    <row r="118" spans="35:35" hidden="1">
      <c r="AI118" s="118" t="s">
        <v>691</v>
      </c>
    </row>
    <row r="119" spans="35:35" hidden="1">
      <c r="AI119" s="118" t="s">
        <v>692</v>
      </c>
    </row>
    <row r="120" spans="35:35" hidden="1">
      <c r="AI120" s="118" t="s">
        <v>693</v>
      </c>
    </row>
    <row r="121" spans="35:35" hidden="1">
      <c r="AI121" s="118" t="s">
        <v>694</v>
      </c>
    </row>
    <row r="122" spans="35:35" hidden="1">
      <c r="AI122" s="118" t="s">
        <v>695</v>
      </c>
    </row>
    <row r="123" spans="35:35" hidden="1">
      <c r="AI123" s="118" t="s">
        <v>696</v>
      </c>
    </row>
    <row r="124" spans="35:35" hidden="1">
      <c r="AI124" s="188" t="s">
        <v>697</v>
      </c>
    </row>
    <row r="125" spans="35:35" hidden="1">
      <c r="AI125" s="118" t="s">
        <v>698</v>
      </c>
    </row>
    <row r="126" spans="35:35" hidden="1">
      <c r="AI126" s="188" t="s">
        <v>699</v>
      </c>
    </row>
    <row r="127" spans="35:35" hidden="1">
      <c r="AI127" s="188" t="s">
        <v>700</v>
      </c>
    </row>
    <row r="128" spans="35:35" hidden="1">
      <c r="AI128" s="188" t="s">
        <v>701</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29" activePane="bottomLeft" state="frozen"/>
      <selection pane="bottomLeft" activeCell="H65" sqref="H65"/>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4"/>
      <c r="B1" s="446"/>
      <c r="C1" s="824"/>
      <c r="D1" s="824"/>
      <c r="E1" s="404"/>
      <c r="F1" s="827"/>
      <c r="G1" s="824"/>
      <c r="H1" s="824"/>
      <c r="I1" s="824"/>
      <c r="J1" s="824"/>
      <c r="K1" s="824"/>
      <c r="L1" s="824"/>
      <c r="M1" s="824"/>
      <c r="N1" s="824"/>
      <c r="O1" s="824"/>
      <c r="P1" s="824"/>
      <c r="Q1" s="824"/>
      <c r="R1" s="824"/>
      <c r="S1" s="824"/>
      <c r="T1" s="824"/>
      <c r="U1" s="157"/>
      <c r="V1" s="824"/>
      <c r="W1" s="188"/>
      <c r="X1" s="188"/>
      <c r="Y1" s="188"/>
      <c r="Z1" s="188"/>
      <c r="AA1" s="188"/>
      <c r="AB1" s="828"/>
      <c r="AC1" s="828"/>
      <c r="AD1" s="828"/>
      <c r="AE1" s="828"/>
      <c r="AF1" s="188"/>
      <c r="AG1" s="188"/>
    </row>
    <row r="2" spans="1:33" ht="42" customHeight="1" thickTop="1">
      <c r="A2" s="824"/>
      <c r="B2" s="1014" t="s">
        <v>702</v>
      </c>
      <c r="C2" s="1015"/>
      <c r="D2" s="1015"/>
      <c r="E2" s="1015"/>
      <c r="F2" s="1015"/>
      <c r="G2" s="1015"/>
      <c r="H2" s="1015"/>
      <c r="I2" s="1015"/>
      <c r="J2" s="1015"/>
      <c r="K2" s="1015"/>
      <c r="L2" s="1015"/>
      <c r="M2" s="1015"/>
      <c r="N2" s="1015"/>
      <c r="O2" s="1015"/>
      <c r="P2" s="1015"/>
      <c r="Q2" s="1015"/>
      <c r="R2" s="1015"/>
      <c r="S2" s="1015"/>
      <c r="T2" s="1015"/>
      <c r="U2" s="1016"/>
      <c r="V2" s="824"/>
      <c r="W2" s="118"/>
      <c r="X2" s="118"/>
      <c r="Y2" s="118"/>
      <c r="Z2" s="118"/>
      <c r="AA2" s="118"/>
      <c r="AB2" s="206"/>
      <c r="AC2" s="206"/>
      <c r="AD2" s="206"/>
      <c r="AE2" s="206"/>
      <c r="AF2" s="118"/>
      <c r="AG2" s="118"/>
    </row>
    <row r="3" spans="1:33" ht="8.25" customHeight="1">
      <c r="A3" s="824"/>
      <c r="B3" s="447"/>
      <c r="C3" s="197"/>
      <c r="D3" s="47"/>
      <c r="E3" s="405"/>
      <c r="F3" s="198"/>
      <c r="G3" s="47"/>
      <c r="H3" s="118"/>
      <c r="I3" s="118"/>
      <c r="J3" s="118"/>
      <c r="K3" s="118"/>
      <c r="L3" s="118"/>
      <c r="M3" s="118"/>
      <c r="N3" s="118"/>
      <c r="O3" s="118"/>
      <c r="P3" s="118"/>
      <c r="Q3" s="118"/>
      <c r="R3" s="118"/>
      <c r="S3" s="118"/>
      <c r="T3" s="118"/>
      <c r="U3" s="199"/>
      <c r="V3" s="824"/>
      <c r="W3" s="118"/>
      <c r="X3" s="118"/>
      <c r="Y3" s="118"/>
      <c r="Z3" s="118"/>
      <c r="AA3" s="118"/>
      <c r="AB3" s="206"/>
      <c r="AC3" s="206"/>
      <c r="AD3" s="206"/>
      <c r="AE3" s="206"/>
      <c r="AF3" s="118"/>
      <c r="AG3" s="118"/>
    </row>
    <row r="4" spans="1:33">
      <c r="A4" s="824"/>
      <c r="B4" s="447"/>
      <c r="C4" s="200" t="s">
        <v>703</v>
      </c>
      <c r="D4" s="1018" t="str">
        <f>IF(ISBLANK('Start Page'!AB9),"&lt;&lt; Please enter system details on the Start Page &gt;&gt;",'Start Page'!AB9&amp;IF(ISBLANK('Start Page'!AM28),"","  ("&amp;'Start Page'!AM28&amp;")"))</f>
        <v>Pennsylvania American Water</v>
      </c>
      <c r="E4" s="1019"/>
      <c r="F4" s="1019"/>
      <c r="G4" s="1019"/>
      <c r="H4" s="1020"/>
      <c r="I4" s="1020"/>
      <c r="J4" s="1020"/>
      <c r="K4" s="1020"/>
      <c r="L4" s="1020"/>
      <c r="M4" s="1020"/>
      <c r="N4" s="1020"/>
      <c r="O4" s="1020"/>
      <c r="P4" s="1021"/>
      <c r="Q4" s="118"/>
      <c r="R4" s="118"/>
      <c r="S4" s="118"/>
      <c r="T4" s="118"/>
      <c r="U4" s="199"/>
      <c r="V4" s="824"/>
      <c r="W4" s="118"/>
      <c r="X4" s="118"/>
      <c r="Y4" s="118"/>
      <c r="Z4" s="118"/>
      <c r="AA4" s="118"/>
      <c r="AB4" s="206"/>
      <c r="AC4" s="206"/>
      <c r="AD4" s="206"/>
      <c r="AE4" s="206"/>
      <c r="AF4" s="118"/>
      <c r="AG4" s="118"/>
    </row>
    <row r="5" spans="1:33">
      <c r="A5" s="824"/>
      <c r="B5" s="447"/>
      <c r="C5" s="200" t="s">
        <v>704</v>
      </c>
      <c r="D5" s="1031">
        <f>IF(ISBLANK('Start Page'!AB18),"",'Start Page'!AB18)</f>
        <v>2023</v>
      </c>
      <c r="E5" s="1032"/>
      <c r="F5" s="1032"/>
      <c r="G5" s="1033"/>
      <c r="H5" s="1025" t="str">
        <f>IF(ISBLANK('Start Page'!AB20),"",TEXT('Start Page'!AB20,"mmm dd yyyy")&amp;" - "&amp;TEXT('Start Page'!AB21,"mmm dd yyyy"))</f>
        <v>Jan 01 2023 - Dec 31 2023</v>
      </c>
      <c r="I5" s="1026"/>
      <c r="J5" s="1027"/>
      <c r="K5" s="1029" t="str">
        <f>IF(ISBLANK('Start Page'!AB19),"",'Start Page'!AB19)</f>
        <v>Calendar</v>
      </c>
      <c r="L5" s="1026"/>
      <c r="M5" s="1026"/>
      <c r="N5" s="1026"/>
      <c r="O5" s="1026"/>
      <c r="P5" s="1030"/>
      <c r="Q5" s="118"/>
      <c r="R5" s="118"/>
      <c r="S5" s="118"/>
      <c r="T5" s="118"/>
      <c r="U5" s="199"/>
      <c r="V5" s="824"/>
      <c r="W5" s="118"/>
      <c r="X5" s="118"/>
      <c r="Y5" s="118"/>
      <c r="Z5" s="118"/>
      <c r="AA5" s="118"/>
      <c r="AB5" s="206"/>
      <c r="AC5" s="206"/>
      <c r="AD5" s="206"/>
      <c r="AE5" s="206"/>
      <c r="AF5" s="118"/>
      <c r="AG5" s="118"/>
    </row>
    <row r="6" spans="1:33" ht="3.75" customHeight="1">
      <c r="A6" s="824"/>
      <c r="B6" s="447"/>
      <c r="C6" s="201"/>
      <c r="D6" s="47"/>
      <c r="E6" s="405"/>
      <c r="F6" s="198"/>
      <c r="G6" s="47"/>
      <c r="H6" s="118"/>
      <c r="I6" s="118"/>
      <c r="J6" s="118"/>
      <c r="K6" s="118"/>
      <c r="L6" s="118"/>
      <c r="M6" s="118"/>
      <c r="N6" s="118"/>
      <c r="O6" s="118"/>
      <c r="P6" s="118"/>
      <c r="Q6" s="118"/>
      <c r="R6" s="118"/>
      <c r="S6" s="118"/>
      <c r="T6" s="118"/>
      <c r="U6" s="199"/>
      <c r="V6" s="824"/>
      <c r="W6" s="118"/>
      <c r="X6" s="118"/>
      <c r="Y6" s="118"/>
      <c r="Z6" s="118"/>
      <c r="AA6" s="118"/>
      <c r="AB6" s="206"/>
      <c r="AC6" s="206"/>
      <c r="AD6" s="206"/>
      <c r="AE6" s="206"/>
      <c r="AF6" s="118"/>
      <c r="AG6" s="118"/>
    </row>
    <row r="7" spans="1:33" ht="5.25" customHeight="1">
      <c r="A7" s="824"/>
      <c r="B7" s="447"/>
      <c r="C7" s="47"/>
      <c r="D7" s="47"/>
      <c r="E7" s="47"/>
      <c r="F7" s="47"/>
      <c r="G7" s="47"/>
      <c r="H7" s="47"/>
      <c r="I7" s="47"/>
      <c r="J7" s="47"/>
      <c r="K7" s="47"/>
      <c r="L7" s="47"/>
      <c r="M7" s="47"/>
      <c r="N7" s="47"/>
      <c r="O7" s="47"/>
      <c r="P7" s="47"/>
      <c r="Q7" s="47"/>
      <c r="R7" s="47"/>
      <c r="S7" s="47"/>
      <c r="T7" s="47"/>
      <c r="U7" s="199"/>
      <c r="V7" s="824"/>
      <c r="W7" s="118"/>
      <c r="X7" s="118"/>
      <c r="Y7" s="118"/>
      <c r="Z7" s="118"/>
      <c r="AA7" s="118"/>
      <c r="AB7" s="206"/>
      <c r="AC7" s="206"/>
      <c r="AD7" s="206"/>
      <c r="AE7" s="206"/>
      <c r="AF7" s="118"/>
      <c r="AG7" s="118"/>
    </row>
    <row r="8" spans="1:33" ht="12.75" customHeight="1">
      <c r="A8" s="824"/>
      <c r="B8" s="202"/>
      <c r="C8" s="47"/>
      <c r="D8" s="47"/>
      <c r="E8" s="47"/>
      <c r="F8" s="47"/>
      <c r="G8" s="47"/>
      <c r="H8" s="47"/>
      <c r="I8" s="47"/>
      <c r="J8" s="47"/>
      <c r="K8" s="47"/>
      <c r="L8" s="47"/>
      <c r="M8" s="47"/>
      <c r="N8" s="47"/>
      <c r="O8" s="47"/>
      <c r="P8" s="47"/>
      <c r="Q8" s="987" t="s">
        <v>705</v>
      </c>
      <c r="R8" s="988"/>
      <c r="S8" s="47"/>
      <c r="T8" s="47"/>
      <c r="U8" s="807"/>
      <c r="V8" s="824"/>
      <c r="W8" s="118"/>
      <c r="X8" s="118"/>
      <c r="Y8" s="118"/>
      <c r="Z8" s="118"/>
      <c r="AA8" s="118"/>
      <c r="AB8" s="206"/>
      <c r="AC8" s="206"/>
      <c r="AD8" s="206"/>
      <c r="AE8" s="206"/>
      <c r="AF8" s="118"/>
      <c r="AG8" s="118"/>
    </row>
    <row r="9" spans="1:33" ht="20.85" customHeight="1">
      <c r="A9" s="824"/>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4"/>
      <c r="V9" s="824"/>
      <c r="W9" s="118"/>
      <c r="X9" s="118"/>
      <c r="Y9" s="118"/>
      <c r="Z9" s="118"/>
      <c r="AA9" s="118"/>
      <c r="AB9" s="206"/>
      <c r="AC9" s="206"/>
      <c r="AD9" s="206"/>
      <c r="AE9" s="206"/>
      <c r="AF9" s="118"/>
      <c r="AG9" s="118"/>
    </row>
    <row r="10" spans="1:33" ht="3" hidden="1" customHeight="1">
      <c r="A10" s="824"/>
      <c r="B10" s="202"/>
      <c r="C10" s="118"/>
      <c r="D10" s="47"/>
      <c r="E10" s="405"/>
      <c r="F10" s="198"/>
      <c r="G10" s="47"/>
      <c r="H10" s="118"/>
      <c r="I10" s="118"/>
      <c r="J10" s="118"/>
      <c r="K10" s="118"/>
      <c r="L10" s="118"/>
      <c r="M10" s="118"/>
      <c r="N10" s="118"/>
      <c r="O10" s="118"/>
      <c r="P10" s="118"/>
      <c r="Q10" s="118"/>
      <c r="R10" s="118"/>
      <c r="S10" s="388"/>
      <c r="T10" s="388"/>
      <c r="U10" s="1024"/>
      <c r="V10" s="824"/>
      <c r="W10" s="118"/>
      <c r="X10" s="118"/>
      <c r="Y10" s="118"/>
      <c r="Z10" s="118"/>
      <c r="AA10" s="118"/>
      <c r="AB10" s="206"/>
      <c r="AC10" s="206"/>
      <c r="AD10" s="206"/>
      <c r="AE10" s="206"/>
      <c r="AF10" s="118"/>
      <c r="AG10" s="118"/>
    </row>
    <row r="11" spans="1:33" ht="3" hidden="1" customHeight="1">
      <c r="A11" s="824"/>
      <c r="B11" s="202"/>
      <c r="C11" s="118"/>
      <c r="D11" s="47"/>
      <c r="E11" s="405"/>
      <c r="F11" s="198"/>
      <c r="G11" s="47"/>
      <c r="H11" s="118"/>
      <c r="I11" s="118"/>
      <c r="J11" s="118"/>
      <c r="K11" s="118"/>
      <c r="L11" s="118"/>
      <c r="M11" s="118"/>
      <c r="N11" s="118"/>
      <c r="O11" s="118"/>
      <c r="P11" s="118"/>
      <c r="Q11" s="118"/>
      <c r="R11" s="118"/>
      <c r="S11" s="388"/>
      <c r="T11" s="388"/>
      <c r="U11" s="1024"/>
      <c r="V11" s="824"/>
      <c r="W11" s="118"/>
      <c r="X11" s="118"/>
      <c r="Y11" s="118"/>
      <c r="Z11" s="118"/>
      <c r="AA11" s="118"/>
      <c r="AB11" s="206"/>
      <c r="AC11" s="206"/>
      <c r="AD11" s="206"/>
      <c r="AE11" s="206"/>
      <c r="AF11" s="118"/>
      <c r="AG11" s="118"/>
    </row>
    <row r="12" spans="1:33" ht="15.6" customHeight="1" thickBot="1">
      <c r="A12" s="824"/>
      <c r="B12" s="202"/>
      <c r="C12" s="439"/>
      <c r="D12" s="439"/>
      <c r="E12" s="406"/>
      <c r="F12" s="439"/>
      <c r="G12" s="439"/>
      <c r="H12" s="439"/>
      <c r="I12" s="439"/>
      <c r="J12" s="806"/>
      <c r="K12" s="1028" t="s">
        <v>706</v>
      </c>
      <c r="L12" s="1028"/>
      <c r="M12" s="1028"/>
      <c r="N12" s="1028"/>
      <c r="O12" s="1028"/>
      <c r="P12" s="1028"/>
      <c r="Q12" s="1028"/>
      <c r="R12" s="1028"/>
      <c r="S12" s="1028"/>
      <c r="T12" s="1028"/>
      <c r="U12" s="1024"/>
      <c r="V12" s="824"/>
      <c r="W12" s="118"/>
      <c r="X12" s="118"/>
      <c r="Y12" s="75" t="s">
        <v>707</v>
      </c>
      <c r="Z12" s="118"/>
      <c r="AA12" s="118"/>
      <c r="AB12" s="206" t="s">
        <v>708</v>
      </c>
      <c r="AC12" s="206" t="s">
        <v>709</v>
      </c>
      <c r="AD12" s="206" t="s">
        <v>710</v>
      </c>
      <c r="AE12" s="206" t="s">
        <v>711</v>
      </c>
      <c r="AF12" s="118"/>
      <c r="AG12" s="118"/>
    </row>
    <row r="13" spans="1:33">
      <c r="A13" s="824"/>
      <c r="B13" s="202"/>
      <c r="C13" s="47" t="s">
        <v>712</v>
      </c>
      <c r="D13" s="407"/>
      <c r="E13" s="407"/>
      <c r="F13" s="829"/>
      <c r="G13" s="829"/>
      <c r="H13" s="829"/>
      <c r="I13" s="829"/>
      <c r="J13" s="829"/>
      <c r="K13" s="700"/>
      <c r="L13" s="829"/>
      <c r="M13" s="829"/>
      <c r="N13" s="804"/>
      <c r="O13" s="205"/>
      <c r="P13" s="492" t="s">
        <v>598</v>
      </c>
      <c r="Q13" s="205"/>
      <c r="R13" s="205"/>
      <c r="S13" s="388"/>
      <c r="T13" s="388"/>
      <c r="U13" s="1024"/>
      <c r="V13" s="824"/>
      <c r="W13" s="111" t="s">
        <v>713</v>
      </c>
      <c r="X13" s="830"/>
      <c r="Y13" s="112" t="s">
        <v>714</v>
      </c>
      <c r="Z13" s="113" t="s">
        <v>715</v>
      </c>
      <c r="AA13" s="118" t="s">
        <v>716</v>
      </c>
      <c r="AB13" s="206" t="s">
        <v>717</v>
      </c>
      <c r="AC13" s="206" t="s">
        <v>718</v>
      </c>
      <c r="AD13" s="206" t="s">
        <v>719</v>
      </c>
      <c r="AE13" s="206" t="s">
        <v>719</v>
      </c>
      <c r="AF13" s="118"/>
      <c r="AG13" s="205" t="s">
        <v>720</v>
      </c>
    </row>
    <row r="14" spans="1:33" ht="7.9" customHeight="1">
      <c r="A14" s="824"/>
      <c r="B14" s="447"/>
      <c r="C14" s="47"/>
      <c r="D14" s="405"/>
      <c r="E14" s="405"/>
      <c r="F14" s="47"/>
      <c r="G14" s="47"/>
      <c r="H14" s="47"/>
      <c r="I14" s="47"/>
      <c r="J14" s="47"/>
      <c r="K14" s="701"/>
      <c r="L14" s="47"/>
      <c r="M14" s="47"/>
      <c r="N14" s="47"/>
      <c r="O14" s="205"/>
      <c r="P14" s="205"/>
      <c r="Q14" s="205"/>
      <c r="R14" s="205"/>
      <c r="S14" s="205"/>
      <c r="T14" s="205"/>
      <c r="U14" s="444"/>
      <c r="V14" s="824"/>
      <c r="W14" s="383"/>
      <c r="X14" s="831"/>
      <c r="Y14" s="118"/>
      <c r="Z14" s="832"/>
      <c r="AA14" s="118"/>
      <c r="AB14" s="206"/>
      <c r="AC14" s="206"/>
      <c r="AD14" s="206"/>
      <c r="AE14" s="206"/>
      <c r="AF14" s="118"/>
      <c r="AG14" s="118"/>
    </row>
    <row r="15" spans="1:33">
      <c r="A15" s="824"/>
      <c r="B15" s="448" t="s">
        <v>517</v>
      </c>
      <c r="C15" s="803" t="s">
        <v>721</v>
      </c>
      <c r="D15" s="699" t="s">
        <v>722</v>
      </c>
      <c r="E15" s="463" t="s">
        <v>723</v>
      </c>
      <c r="F15" s="390">
        <f>'Interactive Data Grading'!D20</f>
        <v>9</v>
      </c>
      <c r="G15" s="79"/>
      <c r="H15" s="424">
        <v>68521.929999999993</v>
      </c>
      <c r="I15" s="468"/>
      <c r="J15" s="805" t="str">
        <f>IF('Start Page'!$AB$22="million gallons (US)","MG/Yr",IF('Start Page'!$AB$22="Megalitres (thousand cubic metres)","ML/Yr",IF('Start Page'!$AB$22="acre-feet","Acre-ft/Yr","")))</f>
        <v>MG/Yr</v>
      </c>
      <c r="K15" s="702" t="s">
        <v>722</v>
      </c>
      <c r="L15" s="490" t="s">
        <v>723</v>
      </c>
      <c r="M15" s="390">
        <f>'Interactive Data Grading'!D43</f>
        <v>10</v>
      </c>
      <c r="N15" s="805"/>
      <c r="O15" s="386">
        <v>8.6999999999999994E-3</v>
      </c>
      <c r="P15" s="466" t="s">
        <v>601</v>
      </c>
      <c r="Q15" s="992"/>
      <c r="R15" s="1022"/>
      <c r="S15" s="389" t="str">
        <f>IF('Start Page'!$AB$22="million gallons (US)","MG/Yr",IF('Start Page'!$AB$22="Megalitres (thousand cubic metres)","ML/Yr",IF('Start Page'!$AB$22="acre-feet","acre-ft/yr","")))</f>
        <v>MG/Yr</v>
      </c>
      <c r="T15" s="797" t="s">
        <v>724</v>
      </c>
      <c r="U15" s="445" t="s">
        <v>520</v>
      </c>
      <c r="V15" s="824"/>
      <c r="W15" s="383">
        <f>IF(P15="percent",1,2)</f>
        <v>1</v>
      </c>
      <c r="X15" s="833">
        <f>IF(H15&gt;0,IF(W15=1,O15*H15,Q15),0)</f>
        <v>596.14079099999992</v>
      </c>
      <c r="Y15" s="84">
        <f>$Y$19/$Y$18*H15</f>
        <v>33.930163457394528</v>
      </c>
      <c r="Z15" s="114">
        <f>$Y$19/$Y$18*ABS(X15)</f>
        <v>0.29519242207933238</v>
      </c>
      <c r="AA15" s="753">
        <f>IF(W15=1,input_VOS-input_VOS/(1+O15*AB15),Q15*AB15)</f>
        <v>-601.37273378392274</v>
      </c>
      <c r="AB15" s="834">
        <f>IF(OR(T15="",T15="Select….."),0,IF(T15="Under-registration",-1,1))</f>
        <v>-1</v>
      </c>
      <c r="AC15" s="206" t="str">
        <f>IF(OR(H15&lt;=0,AND(H15&gt;0,OR(AND(W15=1,O15=0),AND(W15=2,Q15=0)))),"no","yes")</f>
        <v>yes</v>
      </c>
      <c r="AD15" s="206" t="str">
        <f>IF(OR(T15="select…..",T15=""),"no","yes")</f>
        <v>yes</v>
      </c>
      <c r="AE15" s="206" t="str">
        <f>IF(AND(AC15="yes",AD15="no"),"yes","no")</f>
        <v>no</v>
      </c>
      <c r="AF15" s="205">
        <f>IF(AE15="yes",1,0)</f>
        <v>0</v>
      </c>
      <c r="AG15" s="753">
        <f>input_VOS-AA15</f>
        <v>69123.302733783916</v>
      </c>
    </row>
    <row r="16" spans="1:33">
      <c r="A16" s="824"/>
      <c r="B16" s="448" t="s">
        <v>524</v>
      </c>
      <c r="C16" s="803" t="s">
        <v>725</v>
      </c>
      <c r="D16" s="699" t="s">
        <v>722</v>
      </c>
      <c r="E16" s="463" t="s">
        <v>723</v>
      </c>
      <c r="F16" s="390">
        <f>'Interactive Data Grading'!D74</f>
        <v>9</v>
      </c>
      <c r="G16" s="79"/>
      <c r="H16" s="423">
        <v>790.78499999999997</v>
      </c>
      <c r="I16" s="468"/>
      <c r="J16" s="805" t="str">
        <f>IF('Start Page'!$AB$22="million gallons (US)","MG/Yr",IF('Start Page'!$AB$22="Megalitres (thousand cubic metres)","ML/Yr",IF('Start Page'!$AB$22="acre-feet","Acre-ft/Yr","")))</f>
        <v>MG/Yr</v>
      </c>
      <c r="K16" s="702" t="s">
        <v>722</v>
      </c>
      <c r="L16" s="490" t="s">
        <v>723</v>
      </c>
      <c r="M16" s="390">
        <f>'Interactive Data Grading'!D96</f>
        <v>4</v>
      </c>
      <c r="N16" s="805"/>
      <c r="O16" s="386">
        <v>0</v>
      </c>
      <c r="P16" s="466" t="s">
        <v>601</v>
      </c>
      <c r="Q16" s="992"/>
      <c r="R16" s="1022"/>
      <c r="S16" s="389" t="str">
        <f>IF('Start Page'!$AB$22="million gallons (US)","MG/Yr",IF('Start Page'!$AB$22="Megalitres (thousand cubic metres)","ML/Yr",IF('Start Page'!$AB$22="acre-feet","acre-ft/yr","")))</f>
        <v>MG/Yr</v>
      </c>
      <c r="T16" s="797" t="s">
        <v>726</v>
      </c>
      <c r="U16" s="445" t="s">
        <v>529</v>
      </c>
      <c r="V16" s="824"/>
      <c r="W16" s="383">
        <f t="shared" ref="W16:W17" si="0">IF(P16="percent",1,2)</f>
        <v>1</v>
      </c>
      <c r="X16" s="833">
        <f>IF(H16&gt;0,IF(W16=1,O16*H16,Q16),0)</f>
        <v>0</v>
      </c>
      <c r="Y16" s="84">
        <f>$Y$19/$Y$18*H16</f>
        <v>0.39157484778458129</v>
      </c>
      <c r="Z16" s="114">
        <f>$Y$19/$Y$18*ABS(X16)</f>
        <v>0</v>
      </c>
      <c r="AA16" s="753">
        <f>IF(W16=1,input_WI-input_WI/(1+O16*AB16),Q16*AB16)</f>
        <v>0</v>
      </c>
      <c r="AB16" s="834">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3">
        <f>input_WI-AA16</f>
        <v>790.78499999999997</v>
      </c>
    </row>
    <row r="17" spans="1:33" ht="13.35" customHeight="1">
      <c r="A17" s="824"/>
      <c r="B17" s="448" t="s">
        <v>533</v>
      </c>
      <c r="C17" s="803" t="s">
        <v>727</v>
      </c>
      <c r="D17" s="699" t="s">
        <v>722</v>
      </c>
      <c r="E17" s="463" t="s">
        <v>723</v>
      </c>
      <c r="F17" s="390">
        <f>'Interactive Data Grading'!D127</f>
        <v>9</v>
      </c>
      <c r="G17" s="79"/>
      <c r="H17" s="254">
        <v>773.60799999999995</v>
      </c>
      <c r="I17" s="468"/>
      <c r="J17" s="805" t="str">
        <f>IF('Start Page'!$AB$22="million gallons (US)","MG/Yr",IF('Start Page'!$AB$22="Megalitres (thousand cubic metres)","ML/Yr",IF('Start Page'!$AB$22="acre-feet","Acre-ft/Yr","")))</f>
        <v>MG/Yr</v>
      </c>
      <c r="K17" s="702" t="s">
        <v>722</v>
      </c>
      <c r="L17" s="490" t="s">
        <v>723</v>
      </c>
      <c r="M17" s="390">
        <f>'Interactive Data Grading'!D150</f>
        <v>6</v>
      </c>
      <c r="N17" s="805"/>
      <c r="O17" s="386">
        <v>0</v>
      </c>
      <c r="P17" s="466" t="s">
        <v>601</v>
      </c>
      <c r="Q17" s="992"/>
      <c r="R17" s="1022"/>
      <c r="S17" s="389" t="str">
        <f>IF('Start Page'!$AB$22="million gallons (US)","MG/Yr",IF('Start Page'!$AB$22="Megalitres (thousand cubic metres)","ML/Yr",IF('Start Page'!$AB$22="acre-feet","acre-ft/yr","")))</f>
        <v>MG/Yr</v>
      </c>
      <c r="T17" s="797" t="s">
        <v>726</v>
      </c>
      <c r="U17" s="445" t="s">
        <v>536</v>
      </c>
      <c r="V17" s="824"/>
      <c r="W17" s="383">
        <f t="shared" si="0"/>
        <v>1</v>
      </c>
      <c r="X17" s="833">
        <f>IF(H17&gt;0,IF(W17=1,O17*H17,Q17),0)</f>
        <v>0</v>
      </c>
      <c r="Y17" s="84">
        <f>$Y$19/$Y$18*H17</f>
        <v>0.38306927274155977</v>
      </c>
      <c r="Z17" s="114">
        <f>$Y$19/$Y$18*ABS(X17)</f>
        <v>0</v>
      </c>
      <c r="AA17" s="753">
        <f>IF(W17=1,input_WE-input_WE/(1+O17*AB17),Q17*AB17)</f>
        <v>0</v>
      </c>
      <c r="AB17" s="834">
        <f t="shared" si="1"/>
        <v>0</v>
      </c>
      <c r="AC17" s="206" t="str">
        <f t="shared" si="2"/>
        <v>no</v>
      </c>
      <c r="AD17" s="206" t="str">
        <f>IF(OR(T17="select…..",T17=""),"no","yes")</f>
        <v>no</v>
      </c>
      <c r="AE17" s="206" t="str">
        <f t="shared" si="3"/>
        <v>no</v>
      </c>
      <c r="AF17" s="205">
        <f t="shared" si="4"/>
        <v>0</v>
      </c>
      <c r="AG17" s="753">
        <f>input_WE-AA17</f>
        <v>773.60799999999995</v>
      </c>
    </row>
    <row r="18" spans="1:33" ht="14.45" customHeight="1">
      <c r="A18" s="824"/>
      <c r="B18" s="447"/>
      <c r="C18" s="118"/>
      <c r="D18" s="118"/>
      <c r="E18" s="118"/>
      <c r="F18" s="118"/>
      <c r="G18" s="79"/>
      <c r="H18" s="835"/>
      <c r="I18" s="468"/>
      <c r="J18" s="205"/>
      <c r="K18" s="205"/>
      <c r="L18" s="205"/>
      <c r="M18" s="118"/>
      <c r="N18" s="205"/>
      <c r="O18" s="118"/>
      <c r="P18" s="206"/>
      <c r="Q18" s="118"/>
      <c r="R18" s="118"/>
      <c r="S18" s="118"/>
      <c r="T18" s="991" t="s">
        <v>728</v>
      </c>
      <c r="U18" s="444"/>
      <c r="V18" s="824"/>
      <c r="W18" s="383"/>
      <c r="X18" s="385"/>
      <c r="Y18" s="84">
        <f>H15+H16+H17+IF(H15&gt;0,ABS(X15),0)+IF(H16&gt;0,ABS(X16),0)+IF(H17&gt;0,(ABS(X17)),)</f>
        <v>70682.463790999987</v>
      </c>
      <c r="Z18" s="115"/>
      <c r="AA18" s="118"/>
      <c r="AB18" s="206"/>
      <c r="AC18" s="206"/>
      <c r="AD18" s="206"/>
      <c r="AE18" s="206"/>
      <c r="AF18" s="205">
        <f>SUM(AF15:AF17)</f>
        <v>0</v>
      </c>
      <c r="AG18" s="118" t="s">
        <v>729</v>
      </c>
    </row>
    <row r="19" spans="1:33" ht="13.5" thickBot="1">
      <c r="A19" s="824"/>
      <c r="B19" s="447"/>
      <c r="C19" s="995" t="s">
        <v>730</v>
      </c>
      <c r="D19" s="995"/>
      <c r="E19" s="995"/>
      <c r="F19" s="995"/>
      <c r="G19" s="205"/>
      <c r="H19" s="726">
        <f>IF(AF18&gt;0,"Select under/over",IF(H15&gt;0,IF(W15=1,H15/(1+O15*AB15),H15-Q15*AB15),0)+IF(H16&gt;0,IF(W16=1,H16/(1+O16*AB16),H16-Q16*AB16),0)-IF(H17&gt;0,IF(W17=1,H17/(1+O17*AB17),H17-Q17*AB17),0))</f>
        <v>69140.479733783926</v>
      </c>
      <c r="I19" s="836"/>
      <c r="J19" s="805" t="str">
        <f>IF('Start Page'!$AB$22="million gallons (US)","MG/Yr",IF('Start Page'!$AB$22="Megalitres (thousand cubic metres)","ML/Yr",IF('Start Page'!$AB$22="acre-feet","Acre-ft/Yr","")))</f>
        <v>MG/Yr</v>
      </c>
      <c r="K19" s="524" t="str">
        <f>IF(H19="Select under/over","----------------&gt;----------------&gt;----------------&gt;----------------&gt;----------------&gt;","")</f>
        <v/>
      </c>
      <c r="L19" s="805"/>
      <c r="M19" s="118"/>
      <c r="N19" s="805"/>
      <c r="O19" s="255"/>
      <c r="P19" s="205"/>
      <c r="Q19" s="205"/>
      <c r="R19" s="118"/>
      <c r="S19" s="118"/>
      <c r="T19" s="991"/>
      <c r="U19" s="807"/>
      <c r="V19" s="824"/>
      <c r="W19" s="837"/>
      <c r="X19" s="838"/>
      <c r="Y19" s="838">
        <f>'M36 Refs'!AE121</f>
        <v>35</v>
      </c>
      <c r="Z19" s="117" t="s">
        <v>731</v>
      </c>
      <c r="AA19" s="118"/>
      <c r="AB19" s="206"/>
      <c r="AC19" s="206"/>
      <c r="AD19" s="206"/>
      <c r="AE19" s="206"/>
      <c r="AF19" s="118"/>
      <c r="AG19" s="118"/>
    </row>
    <row r="20" spans="1:33" ht="5.25" customHeight="1">
      <c r="A20" s="824"/>
      <c r="B20" s="447"/>
      <c r="C20" s="79"/>
      <c r="D20" s="79"/>
      <c r="E20" s="408"/>
      <c r="F20" s="209"/>
      <c r="G20" s="79"/>
      <c r="H20" s="118"/>
      <c r="I20" s="118"/>
      <c r="J20" s="118"/>
      <c r="K20" s="118"/>
      <c r="L20" s="118"/>
      <c r="M20" s="118"/>
      <c r="N20" s="118"/>
      <c r="O20" s="205"/>
      <c r="P20" s="205"/>
      <c r="Q20" s="205"/>
      <c r="R20" s="118"/>
      <c r="S20" s="118"/>
      <c r="T20" s="991"/>
      <c r="U20" s="199"/>
      <c r="V20" s="824"/>
      <c r="W20" s="118"/>
      <c r="X20" s="118"/>
      <c r="Y20" s="118"/>
      <c r="Z20" s="118"/>
      <c r="AA20" s="118"/>
      <c r="AB20" s="206"/>
      <c r="AC20" s="206"/>
      <c r="AD20" s="206"/>
      <c r="AE20" s="206"/>
      <c r="AF20" s="118"/>
      <c r="AG20" s="118"/>
    </row>
    <row r="21" spans="1:33" ht="6" customHeight="1">
      <c r="A21" s="824"/>
      <c r="B21" s="447"/>
      <c r="C21" s="434"/>
      <c r="D21" s="434"/>
      <c r="E21" s="435"/>
      <c r="F21" s="437" t="s">
        <v>732</v>
      </c>
      <c r="G21" s="434"/>
      <c r="H21" s="839"/>
      <c r="I21" s="839"/>
      <c r="J21" s="839"/>
      <c r="K21" s="839"/>
      <c r="L21" s="839"/>
      <c r="M21" s="839"/>
      <c r="N21" s="839"/>
      <c r="O21" s="840"/>
      <c r="P21" s="840"/>
      <c r="Q21" s="840"/>
      <c r="R21" s="839"/>
      <c r="S21" s="118"/>
      <c r="T21" s="991"/>
      <c r="U21" s="199"/>
      <c r="V21" s="824"/>
      <c r="W21" s="118"/>
      <c r="X21" s="118"/>
      <c r="Y21" s="118"/>
      <c r="Z21" s="118"/>
      <c r="AA21" s="118"/>
      <c r="AB21" s="206"/>
      <c r="AC21" s="206"/>
      <c r="AD21" s="206"/>
      <c r="AE21" s="206"/>
      <c r="AF21" s="118"/>
      <c r="AG21" s="118"/>
    </row>
    <row r="22" spans="1:33" ht="13.5" thickBot="1">
      <c r="A22" s="824"/>
      <c r="B22" s="447"/>
      <c r="C22" s="47" t="s">
        <v>733</v>
      </c>
      <c r="D22" s="405"/>
      <c r="E22" s="405"/>
      <c r="F22" s="210"/>
      <c r="G22" s="47"/>
      <c r="H22" s="47"/>
      <c r="I22" s="47"/>
      <c r="J22" s="47"/>
      <c r="K22" s="47"/>
      <c r="L22" s="47"/>
      <c r="M22" s="47"/>
      <c r="N22" s="47"/>
      <c r="O22" s="47"/>
      <c r="P22" s="47"/>
      <c r="Q22" s="47"/>
      <c r="R22" s="47"/>
      <c r="S22" s="47"/>
      <c r="T22" s="991"/>
      <c r="U22" s="199"/>
      <c r="V22" s="824"/>
      <c r="W22" s="118"/>
      <c r="X22" s="118"/>
      <c r="Y22" s="118"/>
      <c r="Z22" s="118"/>
      <c r="AA22" s="118"/>
      <c r="AB22" s="206"/>
      <c r="AC22" s="206"/>
      <c r="AD22" s="206"/>
      <c r="AE22" s="206"/>
      <c r="AF22" s="118"/>
      <c r="AG22" s="118"/>
    </row>
    <row r="23" spans="1:33">
      <c r="A23" s="824"/>
      <c r="B23" s="448" t="s">
        <v>541</v>
      </c>
      <c r="C23" s="803" t="s">
        <v>734</v>
      </c>
      <c r="D23" s="699" t="s">
        <v>722</v>
      </c>
      <c r="E23" s="463" t="s">
        <v>723</v>
      </c>
      <c r="F23" s="390">
        <f>'Interactive Data Grading'!D177</f>
        <v>9</v>
      </c>
      <c r="G23" s="79"/>
      <c r="H23" s="254">
        <v>44696.398999999998</v>
      </c>
      <c r="I23" s="468"/>
      <c r="J23" s="805" t="str">
        <f>IF('Start Page'!$AB$22="million gallons (US)","MG/Yr",IF('Start Page'!$AB$22="Megalitres (thousand cubic metres)","ML/Yr",IF('Start Page'!$AB$22="acre-feet","Acre-ft/Yr","")))</f>
        <v>MG/Yr</v>
      </c>
      <c r="K23" s="805"/>
      <c r="L23" s="805"/>
      <c r="M23" s="805"/>
      <c r="N23" s="805"/>
      <c r="O23" s="118"/>
      <c r="P23" s="118"/>
      <c r="Q23" s="118"/>
      <c r="R23" s="118"/>
      <c r="S23" s="118"/>
      <c r="T23" s="991"/>
      <c r="U23" s="199"/>
      <c r="V23" s="824"/>
      <c r="W23" s="841"/>
      <c r="X23" s="830"/>
      <c r="Y23" s="116">
        <f>IFERROR($Y$26/$Y$25*H23,7)</f>
        <v>13.878879168701276</v>
      </c>
      <c r="Z23" s="842"/>
      <c r="AA23" s="118" t="s">
        <v>735</v>
      </c>
      <c r="AB23" s="206"/>
      <c r="AC23" s="206"/>
      <c r="AD23" s="206"/>
      <c r="AE23" s="206"/>
      <c r="AF23" s="118"/>
      <c r="AG23" s="118"/>
    </row>
    <row r="24" spans="1:33">
      <c r="A24" s="824"/>
      <c r="B24" s="448" t="s">
        <v>544</v>
      </c>
      <c r="C24" s="803" t="s">
        <v>736</v>
      </c>
      <c r="D24" s="699" t="s">
        <v>722</v>
      </c>
      <c r="E24" s="463" t="s">
        <v>723</v>
      </c>
      <c r="F24" s="390">
        <f>'Interactive Data Grading'!D200</f>
        <v>10</v>
      </c>
      <c r="G24" s="79"/>
      <c r="H24" s="254">
        <v>0</v>
      </c>
      <c r="I24" s="468"/>
      <c r="J24" s="805" t="str">
        <f>IF('Start Page'!$AB$22="million gallons (US)","MG/Yr",IF('Start Page'!$AB$22="Megalitres (thousand cubic metres)","ML/Yr",IF('Start Page'!$AB$22="acre-feet","Acre-ft/Yr","")))</f>
        <v>MG/Yr</v>
      </c>
      <c r="K24" s="805"/>
      <c r="L24" s="805"/>
      <c r="M24" s="805"/>
      <c r="N24" s="805"/>
      <c r="O24" s="118"/>
      <c r="P24" s="118"/>
      <c r="Q24" s="164"/>
      <c r="R24" s="164"/>
      <c r="S24" s="164"/>
      <c r="T24" s="164"/>
      <c r="U24" s="199"/>
      <c r="V24" s="824"/>
      <c r="W24" s="383"/>
      <c r="X24" s="118"/>
      <c r="Y24" s="84">
        <f>IFERROR($Y$26/$Y$25*H25,7)</f>
        <v>0.12112083129872417</v>
      </c>
      <c r="Z24" s="832"/>
      <c r="AA24" s="118"/>
      <c r="AB24" s="206"/>
      <c r="AC24" s="206"/>
      <c r="AD24" s="206"/>
      <c r="AE24" s="206"/>
      <c r="AF24" s="118"/>
      <c r="AG24" s="118"/>
    </row>
    <row r="25" spans="1:33" ht="13.35" customHeight="1">
      <c r="A25" s="824"/>
      <c r="B25" s="448" t="s">
        <v>546</v>
      </c>
      <c r="C25" s="803" t="s">
        <v>737</v>
      </c>
      <c r="D25" s="699" t="s">
        <v>722</v>
      </c>
      <c r="E25" s="463" t="s">
        <v>723</v>
      </c>
      <c r="F25" s="390">
        <f>'Interactive Data Grading'!D224</f>
        <v>10</v>
      </c>
      <c r="G25" s="79"/>
      <c r="H25" s="395">
        <v>390.065</v>
      </c>
      <c r="I25" s="468"/>
      <c r="J25" s="805" t="str">
        <f>IF('Start Page'!$AB$22="million gallons (US)","MG/Yr",IF('Start Page'!$AB$22="Megalitres (thousand cubic metres)","ML/Yr",IF('Start Page'!$AB$22="acre-feet","Acre-ft/Yr","")))</f>
        <v>MG/Yr</v>
      </c>
      <c r="K25" s="805"/>
      <c r="L25" s="805"/>
      <c r="M25" s="805"/>
      <c r="N25" s="805"/>
      <c r="O25" s="205"/>
      <c r="P25" s="812" t="s">
        <v>598</v>
      </c>
      <c r="Q25" s="205"/>
      <c r="R25" s="118"/>
      <c r="S25" s="118"/>
      <c r="T25" s="118"/>
      <c r="U25" s="199"/>
      <c r="V25" s="824"/>
      <c r="W25" s="383"/>
      <c r="X25" s="118"/>
      <c r="Y25" s="753">
        <f>H23+H25</f>
        <v>45086.464</v>
      </c>
      <c r="Z25" s="832"/>
      <c r="AA25" s="118"/>
      <c r="AB25" s="206"/>
      <c r="AC25" s="206"/>
      <c r="AD25" s="206"/>
      <c r="AE25" s="206"/>
      <c r="AF25" s="439" t="s">
        <v>738</v>
      </c>
      <c r="AG25" s="118"/>
    </row>
    <row r="26" spans="1:33" ht="15" customHeight="1" thickBot="1">
      <c r="A26" s="824"/>
      <c r="B26" s="448" t="s">
        <v>550</v>
      </c>
      <c r="C26" s="803" t="s">
        <v>739</v>
      </c>
      <c r="D26" s="699" t="s">
        <v>722</v>
      </c>
      <c r="E26" s="463" t="s">
        <v>723</v>
      </c>
      <c r="F26" s="390">
        <f>'Interactive Data Grading'!D247</f>
        <v>10</v>
      </c>
      <c r="G26" s="79"/>
      <c r="H26" s="726">
        <f>IF(OR(W26=1,AND(W26=2,Q26=0)),O26*SUM(H23:H24),Q26)</f>
        <v>5576.8950000000004</v>
      </c>
      <c r="I26" s="468"/>
      <c r="J26" s="805" t="str">
        <f>IF('Start Page'!$AB$22="million gallons (US)","MG/Yr",IF('Start Page'!$AB$22="Megalitres (thousand cubic metres)","ML/Yr",IF('Start Page'!$AB$22="acre-feet","Acre-ft/Yr","")))</f>
        <v>MG/Yr</v>
      </c>
      <c r="K26" s="805"/>
      <c r="L26" s="805"/>
      <c r="M26" s="805"/>
      <c r="N26" s="805"/>
      <c r="O26" s="391">
        <v>2.5000000000000001E-3</v>
      </c>
      <c r="P26" s="523" t="s">
        <v>613</v>
      </c>
      <c r="Q26" s="992">
        <v>5576.8950000000004</v>
      </c>
      <c r="R26" s="992"/>
      <c r="S26" s="389" t="str">
        <f>IF('Start Page'!$AB$22="million gallons (US)","MG/Yr",IF('Start Page'!$AB$22="Megalitres (thousand cubic metres)","ML/Yr",IF('Start Page'!$AB$22="acre-feet","acre-ft/yr","")))</f>
        <v>MG/Yr</v>
      </c>
      <c r="T26" s="195"/>
      <c r="U26" s="199"/>
      <c r="V26" s="824"/>
      <c r="W26" s="384">
        <f>IF(P26="default",1,2)</f>
        <v>2</v>
      </c>
      <c r="X26" s="843"/>
      <c r="Y26" s="843">
        <f>8+6</f>
        <v>14</v>
      </c>
      <c r="Z26" s="117" t="s">
        <v>731</v>
      </c>
      <c r="AA26" s="118" t="s">
        <v>740</v>
      </c>
      <c r="AB26" s="206"/>
      <c r="AC26" s="206"/>
      <c r="AD26" s="206"/>
      <c r="AE26" s="206"/>
      <c r="AF26" s="118"/>
      <c r="AG26" s="118"/>
    </row>
    <row r="27" spans="1:33" ht="2.25" customHeight="1">
      <c r="A27" s="824"/>
      <c r="B27" s="448"/>
      <c r="C27" s="164"/>
      <c r="D27" s="164"/>
      <c r="E27" s="409"/>
      <c r="F27" s="152"/>
      <c r="G27" s="152"/>
      <c r="H27" s="152"/>
      <c r="I27" s="152"/>
      <c r="J27" s="805"/>
      <c r="K27" s="805"/>
      <c r="L27" s="805"/>
      <c r="M27" s="805"/>
      <c r="N27" s="805"/>
      <c r="O27" s="805"/>
      <c r="P27" s="805"/>
      <c r="Q27" s="805">
        <v>24061</v>
      </c>
      <c r="R27" s="805"/>
      <c r="S27" s="805"/>
      <c r="T27" s="805"/>
      <c r="U27" s="199"/>
      <c r="V27" s="824"/>
      <c r="W27" s="118"/>
      <c r="X27" s="118"/>
      <c r="Y27" s="118"/>
      <c r="Z27" s="118"/>
      <c r="AA27" s="118"/>
      <c r="AB27" s="206"/>
      <c r="AC27" s="206"/>
      <c r="AD27" s="206"/>
      <c r="AE27" s="206"/>
      <c r="AF27" s="118"/>
      <c r="AG27" s="118"/>
    </row>
    <row r="28" spans="1:33" ht="15" customHeight="1">
      <c r="A28" s="824"/>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5"/>
      <c r="Q28" s="805"/>
      <c r="R28" s="805"/>
      <c r="S28" s="805"/>
      <c r="T28" s="805"/>
      <c r="U28" s="199"/>
      <c r="V28" s="824"/>
      <c r="W28" s="118"/>
      <c r="X28" s="118"/>
      <c r="Y28" s="118"/>
      <c r="Z28" s="118"/>
      <c r="AA28" s="118"/>
      <c r="AB28" s="206"/>
      <c r="AC28" s="206"/>
      <c r="AD28" s="206"/>
      <c r="AE28" s="206"/>
      <c r="AF28" s="118"/>
      <c r="AG28" s="118"/>
    </row>
    <row r="29" spans="1:33" ht="2.25" customHeight="1">
      <c r="A29" s="824"/>
      <c r="B29" s="448"/>
      <c r="C29" s="152"/>
      <c r="D29" s="152"/>
      <c r="E29" s="410"/>
      <c r="F29" s="205"/>
      <c r="G29" s="212"/>
      <c r="H29" s="468"/>
      <c r="I29" s="468"/>
      <c r="J29" s="205"/>
      <c r="K29" s="205"/>
      <c r="L29" s="205"/>
      <c r="M29" s="205"/>
      <c r="N29" s="205"/>
      <c r="O29" s="118"/>
      <c r="P29" s="118"/>
      <c r="Q29" s="206"/>
      <c r="R29" s="118"/>
      <c r="S29" s="118"/>
      <c r="T29" s="118"/>
      <c r="U29" s="199"/>
      <c r="V29" s="824"/>
      <c r="W29" s="118"/>
      <c r="X29" s="118"/>
      <c r="Y29" s="118"/>
      <c r="Z29" s="118"/>
      <c r="AA29" s="118"/>
      <c r="AB29" s="206"/>
      <c r="AC29" s="206"/>
      <c r="AD29" s="206"/>
      <c r="AE29" s="206"/>
      <c r="AF29" s="118"/>
      <c r="AG29" s="118"/>
    </row>
    <row r="30" spans="1:33" ht="15" customHeight="1">
      <c r="A30" s="824"/>
      <c r="B30" s="448"/>
      <c r="C30" s="989" t="s">
        <v>741</v>
      </c>
      <c r="D30" s="989"/>
      <c r="E30" s="989"/>
      <c r="F30" s="989"/>
      <c r="G30" s="205"/>
      <c r="H30" s="726">
        <f>SUM(H23:H26)</f>
        <v>50663.358999999997</v>
      </c>
      <c r="I30" s="836"/>
      <c r="J30" s="805" t="str">
        <f>IF('Start Page'!$AB$22="million gallons (US)","MG/Yr",IF('Start Page'!$AB$22="Megalitres (thousand cubic metres)","ML/Yr",IF('Start Page'!$AB$22="acre-feet","Acre-ft/Yr","")))</f>
        <v>MG/Yr</v>
      </c>
      <c r="K30" s="805"/>
      <c r="L30" s="805"/>
      <c r="M30" s="805"/>
      <c r="N30" s="805"/>
      <c r="O30" s="118"/>
      <c r="P30" s="118"/>
      <c r="Q30" s="118"/>
      <c r="R30" s="118"/>
      <c r="S30" s="118"/>
      <c r="T30" s="118"/>
      <c r="U30" s="199"/>
      <c r="V30" s="824"/>
      <c r="W30" s="118"/>
      <c r="X30" s="118"/>
      <c r="Y30" s="118"/>
      <c r="Z30" s="118"/>
      <c r="AA30" s="118"/>
      <c r="AB30" s="206"/>
      <c r="AC30" s="206"/>
      <c r="AD30" s="206"/>
      <c r="AE30" s="206"/>
      <c r="AF30" s="118"/>
      <c r="AG30" s="118"/>
    </row>
    <row r="31" spans="1:33" ht="2.25" customHeight="1">
      <c r="A31" s="824"/>
      <c r="B31" s="448"/>
      <c r="C31" s="152"/>
      <c r="D31" s="152"/>
      <c r="E31" s="410"/>
      <c r="F31" s="214"/>
      <c r="G31" s="836"/>
      <c r="H31" s="118"/>
      <c r="I31" s="836"/>
      <c r="J31" s="788"/>
      <c r="K31" s="788"/>
      <c r="L31" s="788"/>
      <c r="M31" s="788"/>
      <c r="N31" s="788"/>
      <c r="O31" s="118"/>
      <c r="P31" s="118"/>
      <c r="Q31" s="215"/>
      <c r="R31" s="118"/>
      <c r="S31" s="118"/>
      <c r="T31" s="118"/>
      <c r="U31" s="199"/>
      <c r="V31" s="824"/>
      <c r="W31" s="118"/>
      <c r="X31" s="118"/>
      <c r="Y31" s="118"/>
      <c r="Z31" s="118"/>
      <c r="AA31" s="118"/>
      <c r="AB31" s="206"/>
      <c r="AC31" s="206"/>
      <c r="AD31" s="206"/>
      <c r="AE31" s="206"/>
      <c r="AF31" s="118"/>
      <c r="AG31" s="118"/>
    </row>
    <row r="32" spans="1:33" ht="15" customHeight="1">
      <c r="A32" s="824"/>
      <c r="B32" s="448"/>
      <c r="C32" s="1023" t="str">
        <f>IF(AND(H30&gt;=H19,(H30&lt;&gt;0)),"               Check input values; WATER SUPPLIED should be greater than AUTHORIZED CONSUMPTION","")</f>
        <v/>
      </c>
      <c r="D32" s="1023"/>
      <c r="E32" s="1023"/>
      <c r="F32" s="1023"/>
      <c r="G32" s="1023"/>
      <c r="H32" s="1023"/>
      <c r="I32" s="1023"/>
      <c r="J32" s="1023"/>
      <c r="K32" s="1023"/>
      <c r="L32" s="1023"/>
      <c r="M32" s="1023"/>
      <c r="N32" s="1023"/>
      <c r="O32" s="1023"/>
      <c r="P32" s="118"/>
      <c r="Q32" s="215"/>
      <c r="R32" s="118"/>
      <c r="S32" s="118"/>
      <c r="T32" s="118"/>
      <c r="U32" s="199"/>
      <c r="V32" s="824"/>
      <c r="W32" s="118"/>
      <c r="X32" s="118"/>
      <c r="Y32" s="118"/>
      <c r="Z32" s="118"/>
      <c r="AA32" s="118"/>
      <c r="AB32" s="206"/>
      <c r="AC32" s="206"/>
      <c r="AD32" s="206"/>
      <c r="AE32" s="206"/>
      <c r="AF32" s="118"/>
      <c r="AG32" s="118"/>
    </row>
    <row r="33" spans="1:29" ht="3" customHeight="1">
      <c r="A33" s="824"/>
      <c r="B33" s="448"/>
      <c r="C33" s="79"/>
      <c r="D33" s="79"/>
      <c r="E33" s="408"/>
      <c r="F33" s="213"/>
      <c r="G33" s="79"/>
      <c r="H33" s="118"/>
      <c r="I33" s="118"/>
      <c r="J33" s="118"/>
      <c r="K33" s="118"/>
      <c r="L33" s="118"/>
      <c r="M33" s="118"/>
      <c r="N33" s="118"/>
      <c r="O33" s="205"/>
      <c r="P33" s="205"/>
      <c r="Q33" s="205"/>
      <c r="R33" s="118"/>
      <c r="S33" s="118"/>
      <c r="T33" s="118"/>
      <c r="U33" s="199"/>
      <c r="V33" s="824"/>
      <c r="W33" s="118"/>
      <c r="X33" s="118"/>
      <c r="Y33" s="118"/>
      <c r="Z33" s="118"/>
      <c r="AA33" s="118"/>
      <c r="AB33" s="206"/>
      <c r="AC33" s="206"/>
    </row>
    <row r="34" spans="1:29" ht="6" customHeight="1">
      <c r="A34" s="824"/>
      <c r="B34" s="448"/>
      <c r="C34" s="434"/>
      <c r="D34" s="434"/>
      <c r="E34" s="435"/>
      <c r="F34" s="436"/>
      <c r="G34" s="434"/>
      <c r="H34" s="839"/>
      <c r="I34" s="839"/>
      <c r="J34" s="839"/>
      <c r="K34" s="839"/>
      <c r="L34" s="839"/>
      <c r="M34" s="839"/>
      <c r="N34" s="839"/>
      <c r="O34" s="839"/>
      <c r="P34" s="839"/>
      <c r="Q34" s="839"/>
      <c r="R34" s="839"/>
      <c r="S34" s="118"/>
      <c r="T34" s="118"/>
      <c r="U34" s="199"/>
      <c r="V34" s="824"/>
      <c r="W34" s="118"/>
      <c r="X34" s="118"/>
      <c r="Y34" s="118"/>
      <c r="Z34" s="118"/>
      <c r="AA34" s="118"/>
      <c r="AB34" s="206"/>
      <c r="AC34" s="206"/>
    </row>
    <row r="35" spans="1:29" ht="15" customHeight="1">
      <c r="A35" s="824"/>
      <c r="B35" s="448"/>
      <c r="C35" s="47" t="s">
        <v>742</v>
      </c>
      <c r="D35" s="47"/>
      <c r="E35" s="405"/>
      <c r="F35" s="213"/>
      <c r="G35" s="47"/>
      <c r="H35" s="726">
        <f>IFERROR(H19-H30,"")</f>
        <v>18477.12073378393</v>
      </c>
      <c r="I35" s="118"/>
      <c r="J35" s="805" t="str">
        <f>IF('Start Page'!$AB$22="million gallons (US)","MG/Yr",IF('Start Page'!$AB$22="Megalitres (thousand cubic metres)","ML/Yr",IF('Start Page'!$AB$22="acre-feet","Acre-ft/Yr","")))</f>
        <v>MG/Yr</v>
      </c>
      <c r="K35" s="805"/>
      <c r="L35" s="805"/>
      <c r="M35" s="805"/>
      <c r="N35" s="805"/>
      <c r="O35" s="118"/>
      <c r="P35" s="1017"/>
      <c r="Q35" s="118"/>
      <c r="R35" s="118"/>
      <c r="S35" s="118"/>
      <c r="T35" s="118"/>
      <c r="U35" s="199"/>
      <c r="V35" s="824"/>
      <c r="W35" s="118"/>
      <c r="X35" s="118"/>
      <c r="Y35" s="118"/>
      <c r="Z35" s="118"/>
      <c r="AA35" s="118"/>
      <c r="AB35" s="206"/>
      <c r="AC35" s="206"/>
    </row>
    <row r="36" spans="1:29" ht="13.35" customHeight="1">
      <c r="A36" s="824"/>
      <c r="B36" s="448"/>
      <c r="C36" s="216"/>
      <c r="D36" s="205"/>
      <c r="E36" s="405"/>
      <c r="F36" s="213"/>
      <c r="G36" s="47"/>
      <c r="H36" s="118"/>
      <c r="I36" s="118"/>
      <c r="J36" s="118"/>
      <c r="K36" s="118"/>
      <c r="L36" s="118"/>
      <c r="M36" s="118"/>
      <c r="N36" s="118"/>
      <c r="O36" s="118"/>
      <c r="P36" s="1017"/>
      <c r="Q36" s="118"/>
      <c r="R36" s="118"/>
      <c r="S36" s="118"/>
      <c r="T36" s="387"/>
      <c r="U36" s="199"/>
      <c r="V36" s="824"/>
      <c r="W36" s="118"/>
      <c r="X36" s="118"/>
      <c r="Y36" s="118"/>
      <c r="Z36" s="118"/>
      <c r="AA36" s="118"/>
      <c r="AB36" s="206"/>
      <c r="AC36" s="206"/>
    </row>
    <row r="37" spans="1:29">
      <c r="A37" s="824"/>
      <c r="B37" s="448"/>
      <c r="C37" s="79" t="s">
        <v>743</v>
      </c>
      <c r="D37" s="118"/>
      <c r="E37" s="410"/>
      <c r="F37" s="213"/>
      <c r="G37" s="152"/>
      <c r="H37" s="118"/>
      <c r="I37" s="118"/>
      <c r="J37" s="788"/>
      <c r="K37" s="788"/>
      <c r="L37" s="788"/>
      <c r="M37" s="788"/>
      <c r="N37" s="788"/>
      <c r="O37" s="205"/>
      <c r="P37" s="118"/>
      <c r="Q37" s="205"/>
      <c r="R37" s="118"/>
      <c r="S37" s="118"/>
      <c r="T37" s="387"/>
      <c r="U37" s="199"/>
      <c r="V37" s="824"/>
      <c r="W37" s="118"/>
      <c r="X37" s="118"/>
      <c r="Y37" s="118"/>
      <c r="Z37" s="118"/>
      <c r="AA37" s="118"/>
      <c r="AB37" s="206"/>
      <c r="AC37" s="206"/>
    </row>
    <row r="38" spans="1:29" ht="16.5" customHeight="1">
      <c r="A38" s="824"/>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2" t="s">
        <v>598</v>
      </c>
      <c r="Q38" s="468"/>
      <c r="R38" s="118"/>
      <c r="S38" s="118"/>
      <c r="T38" s="387"/>
      <c r="U38" s="199"/>
      <c r="V38" s="824"/>
      <c r="W38" s="385"/>
      <c r="X38" s="118"/>
      <c r="Y38" s="118"/>
      <c r="Z38" s="118"/>
      <c r="AA38" s="118"/>
      <c r="AB38" s="206"/>
      <c r="AC38" s="206"/>
    </row>
    <row r="39" spans="1:29" ht="13.35" customHeight="1">
      <c r="A39" s="824"/>
      <c r="B39" s="448" t="s">
        <v>554</v>
      </c>
      <c r="C39" s="803" t="s">
        <v>744</v>
      </c>
      <c r="D39" s="699" t="s">
        <v>722</v>
      </c>
      <c r="E39" s="463" t="s">
        <v>723</v>
      </c>
      <c r="F39" s="390">
        <f>'Interactive Data Grading'!D271</f>
        <v>3</v>
      </c>
      <c r="G39" s="152"/>
      <c r="H39" s="844">
        <f>IF(OR(W39=1,AND(W39=2,Q39=0)),O39*SUM(H23:H24),Q39)</f>
        <v>111.74099749999999</v>
      </c>
      <c r="I39" s="727"/>
      <c r="J39" s="805" t="str">
        <f>IF('Start Page'!$AB$22="million gallons (US)","MG/Yr",IF('Start Page'!$AB$22="Megalitres (thousand cubic metres)","ML/Yr",IF('Start Page'!$AB$22="acre-feet","Acre-ft/Yr","")))</f>
        <v>MG/Yr</v>
      </c>
      <c r="K39" s="805"/>
      <c r="L39" s="805"/>
      <c r="M39" s="805"/>
      <c r="N39" s="805"/>
      <c r="O39" s="391">
        <v>2.5000000000000001E-3</v>
      </c>
      <c r="P39" s="467" t="s">
        <v>610</v>
      </c>
      <c r="Q39" s="992"/>
      <c r="R39" s="992"/>
      <c r="S39" s="389" t="str">
        <f>IF('Start Page'!$AB$22="million gallons (US)","MG/Yr",IF('Start Page'!$AB$22="Megalitres (thousand cubic metres)","ML/Yr",IF('Start Page'!$AB$22="acre-feet","acre-ft/yr","")))</f>
        <v>MG/Yr</v>
      </c>
      <c r="T39" s="118"/>
      <c r="U39" s="199"/>
      <c r="V39" s="824"/>
      <c r="W39" s="385">
        <f>IF(P39="default",1,2)</f>
        <v>1</v>
      </c>
      <c r="X39" s="118"/>
      <c r="Y39" s="206">
        <f>IF(OR(AND(W41=1,LEN(O41)&gt;0,O41&gt;10%),AND(W41=2,LEN(Q41)&gt;0,Q41&gt;(10%*SUM(H23,H25)))),1,0)</f>
        <v>0</v>
      </c>
      <c r="Z39" s="118"/>
      <c r="AA39" s="118"/>
      <c r="AB39" s="206"/>
      <c r="AC39" s="206"/>
    </row>
    <row r="40" spans="1:29" ht="14.25" hidden="1" customHeight="1">
      <c r="A40" s="824"/>
      <c r="B40" s="448"/>
      <c r="C40" s="164"/>
      <c r="D40" s="410"/>
      <c r="E40" s="464"/>
      <c r="F40" s="152"/>
      <c r="G40" s="152"/>
      <c r="H40" s="440"/>
      <c r="I40" s="152"/>
      <c r="J40" s="805"/>
      <c r="K40" s="805"/>
      <c r="L40" s="805"/>
      <c r="M40" s="805"/>
      <c r="N40" s="805"/>
      <c r="O40" s="118"/>
      <c r="P40" s="468"/>
      <c r="Q40" s="468"/>
      <c r="R40" s="118"/>
      <c r="S40" s="118"/>
      <c r="T40" s="118"/>
      <c r="U40" s="199"/>
      <c r="V40" s="824"/>
      <c r="W40" s="385"/>
      <c r="X40" s="118"/>
      <c r="Y40" s="118"/>
      <c r="Z40" s="118"/>
      <c r="AA40" s="118"/>
      <c r="AB40" s="206"/>
      <c r="AC40" s="206"/>
    </row>
    <row r="41" spans="1:29" ht="15" customHeight="1">
      <c r="A41" s="824"/>
      <c r="B41" s="448" t="s">
        <v>556</v>
      </c>
      <c r="C41" s="803" t="s">
        <v>745</v>
      </c>
      <c r="D41" s="699" t="s">
        <v>722</v>
      </c>
      <c r="E41" s="463" t="s">
        <v>723</v>
      </c>
      <c r="F41" s="390">
        <f>'Interactive Data Grading'!D300</f>
        <v>7</v>
      </c>
      <c r="G41" s="152"/>
      <c r="H41" s="845">
        <f>IF(OR(T41="Select…..",T41=""),"Select under/over",IF(W41=1,((H23+H25)/(1-(O41*X41)))-(H23+H25),Q41*X41))</f>
        <v>920.13191836734768</v>
      </c>
      <c r="I41" s="727"/>
      <c r="J41" s="805" t="str">
        <f>IF('Start Page'!$AB$22="million gallons (US)","MG/Yr",IF('Start Page'!$AB$22="Megalitres (thousand cubic metres)","ML/Yr",IF('Start Page'!$AB$22="acre-feet","Acre-ft/Yr","")))</f>
        <v>MG/Yr</v>
      </c>
      <c r="K41" s="805"/>
      <c r="L41" s="805"/>
      <c r="M41" s="805"/>
      <c r="N41" s="805"/>
      <c r="O41" s="422">
        <v>0.02</v>
      </c>
      <c r="P41" s="467" t="s">
        <v>601</v>
      </c>
      <c r="Q41" s="992"/>
      <c r="R41" s="992"/>
      <c r="S41" s="389" t="str">
        <f>IF('Start Page'!$AB$22="million gallons (US)","MG/Yr",IF('Start Page'!$AB$22="Megalitres (thousand cubic metres)","ML/Yr",IF('Start Page'!$AB$22="acre-feet","acre-ft/yr","")))</f>
        <v>MG/Yr</v>
      </c>
      <c r="T41" s="491" t="s">
        <v>724</v>
      </c>
      <c r="U41" s="199"/>
      <c r="V41" s="824"/>
      <c r="W41" s="383">
        <f t="shared" ref="W41" si="5">IF(P41="percent",1,2)</f>
        <v>1</v>
      </c>
      <c r="X41" s="206">
        <f>IF(T41="Select…..","",IF(T41="Under-registration",1,-1))</f>
        <v>1</v>
      </c>
      <c r="Y41" s="846">
        <f>IF(AND(OR(LEN(O41)&gt;0,LEN(Q41)&gt;0),T41="Select….."),1,0)</f>
        <v>0</v>
      </c>
      <c r="Z41" s="118"/>
      <c r="AA41" s="118"/>
      <c r="AB41" s="206"/>
      <c r="AC41" s="206"/>
    </row>
    <row r="42" spans="1:29" ht="2.25" hidden="1" customHeight="1">
      <c r="A42" s="118"/>
      <c r="B42" s="448"/>
      <c r="C42" s="118"/>
      <c r="D42" s="411"/>
      <c r="E42" s="465"/>
      <c r="F42" s="847"/>
      <c r="G42" s="118"/>
      <c r="H42" s="753"/>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4"/>
      <c r="B43" s="448" t="s">
        <v>560</v>
      </c>
      <c r="C43" s="803" t="s">
        <v>746</v>
      </c>
      <c r="D43" s="699" t="s">
        <v>722</v>
      </c>
      <c r="E43" s="463" t="s">
        <v>723</v>
      </c>
      <c r="F43" s="390">
        <f>'Interactive Data Grading'!D322</f>
        <v>3</v>
      </c>
      <c r="G43" s="152"/>
      <c r="H43" s="726">
        <f>IF(OR(W43=1,AND(W43=2,Q43=0)),O43*SUM(H23:H24),Q43)</f>
        <v>111.74099749999999</v>
      </c>
      <c r="I43" s="727"/>
      <c r="J43" s="805" t="str">
        <f>IF('Start Page'!$AB$22="million gallons (US)","MG/Yr",IF('Start Page'!$AB$22="Megalitres (thousand cubic metres)","ML/Yr",IF('Start Page'!$AB$22="acre-feet","Acre-ft/Yr","")))</f>
        <v>MG/Yr</v>
      </c>
      <c r="K43" s="805"/>
      <c r="L43" s="805"/>
      <c r="M43" s="805"/>
      <c r="N43" s="805"/>
      <c r="O43" s="391">
        <v>2.5000000000000001E-3</v>
      </c>
      <c r="P43" s="467" t="s">
        <v>610</v>
      </c>
      <c r="Q43" s="992"/>
      <c r="R43" s="992"/>
      <c r="S43" s="389" t="str">
        <f>IF('Start Page'!$AB$22="million gallons (US)","MG/Yr",IF('Start Page'!$AB$22="Megalitres (thousand cubic metres)","ML/Yr",IF('Start Page'!$AB$22="acre-feet","acre-ft/yr","")))</f>
        <v>MG/Yr</v>
      </c>
      <c r="T43" s="387"/>
      <c r="U43" s="199"/>
      <c r="V43" s="824"/>
      <c r="W43" s="385">
        <f>IF(P43="default",1,2)</f>
        <v>1</v>
      </c>
      <c r="X43" s="118"/>
      <c r="Y43" s="118"/>
      <c r="Z43" s="118"/>
      <c r="AA43" s="118"/>
      <c r="AB43" s="206"/>
      <c r="AC43" s="206"/>
    </row>
    <row r="44" spans="1:29">
      <c r="A44" s="824"/>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5"/>
      <c r="N44" s="805"/>
      <c r="O44" s="118"/>
      <c r="P44" s="468"/>
      <c r="Q44" s="217"/>
      <c r="R44" s="217"/>
      <c r="S44" s="217"/>
      <c r="T44" s="993" t="str">
        <f>IF(OR(Y41=1,T41=""),"Select CMI under- or over-registration above",IF(Y39=1,"An aggregate under-registration &gt; 10% of Billed Authorized Consumption has been entered",IF(X41=-1,"Aggregate over-registration of customer metering is unlikely","")))</f>
        <v/>
      </c>
      <c r="U44" s="199"/>
      <c r="V44" s="824"/>
      <c r="W44" s="118"/>
      <c r="X44" s="118"/>
      <c r="Y44" s="118"/>
      <c r="Z44" s="118"/>
      <c r="AA44" s="118"/>
      <c r="AB44" s="206"/>
      <c r="AC44" s="206"/>
    </row>
    <row r="45" spans="1:29" ht="2.25" customHeight="1">
      <c r="A45" s="824"/>
      <c r="B45" s="448"/>
      <c r="C45" s="164"/>
      <c r="D45" s="152"/>
      <c r="E45" s="410"/>
      <c r="F45" s="152"/>
      <c r="G45" s="152"/>
      <c r="H45" s="152"/>
      <c r="I45" s="152"/>
      <c r="J45" s="152"/>
      <c r="K45" s="152"/>
      <c r="L45" s="152"/>
      <c r="M45" s="805"/>
      <c r="N45" s="805"/>
      <c r="O45" s="118"/>
      <c r="P45" s="468"/>
      <c r="Q45" s="217"/>
      <c r="R45" s="217"/>
      <c r="S45" s="217"/>
      <c r="T45" s="993"/>
      <c r="U45" s="199"/>
      <c r="V45" s="824"/>
      <c r="W45" s="118"/>
      <c r="X45" s="118"/>
      <c r="Y45" s="118"/>
      <c r="Z45" s="118"/>
      <c r="AA45" s="118"/>
      <c r="AB45" s="206"/>
      <c r="AC45" s="206"/>
    </row>
    <row r="46" spans="1:29" ht="14.1" customHeight="1">
      <c r="A46" s="824"/>
      <c r="B46" s="448"/>
      <c r="C46" s="996" t="s">
        <v>747</v>
      </c>
      <c r="D46" s="996"/>
      <c r="E46" s="996"/>
      <c r="F46" s="996"/>
      <c r="G46" s="164"/>
      <c r="H46" s="726">
        <f t="array" ref="H46">SUM(IF(ISNUMBER(H39:H43),H39:H43))</f>
        <v>1143.6139133673478</v>
      </c>
      <c r="I46" s="152"/>
      <c r="J46" s="805" t="str">
        <f>IF('Start Page'!$AB$22="million gallons (US)","MG/Yr",IF('Start Page'!$AB$22="Megalitres (thousand cubic metres)","ML/Yr",IF('Start Page'!$AB$22="acre-feet","Acre-ft/Yr","")))</f>
        <v>MG/Yr</v>
      </c>
      <c r="K46" s="805"/>
      <c r="L46" s="805"/>
      <c r="M46" s="805"/>
      <c r="N46" s="805"/>
      <c r="O46" s="118"/>
      <c r="P46" s="118"/>
      <c r="Q46" s="217"/>
      <c r="R46" s="217"/>
      <c r="S46" s="118"/>
      <c r="T46" s="993"/>
      <c r="U46" s="199"/>
      <c r="V46" s="824"/>
      <c r="W46" s="118"/>
      <c r="X46" s="118" t="s">
        <v>748</v>
      </c>
      <c r="Y46" s="118"/>
      <c r="Z46" s="118"/>
      <c r="AA46" s="118"/>
      <c r="AB46" s="206"/>
      <c r="AC46" s="206"/>
    </row>
    <row r="47" spans="1:29" ht="2.25" customHeight="1" thickBot="1">
      <c r="A47" s="824"/>
      <c r="B47" s="448"/>
      <c r="C47" s="152"/>
      <c r="D47" s="220"/>
      <c r="E47" s="412"/>
      <c r="F47" s="220"/>
      <c r="G47" s="220"/>
      <c r="H47" s="118"/>
      <c r="I47" s="220"/>
      <c r="J47" s="836"/>
      <c r="K47" s="836"/>
      <c r="L47" s="836"/>
      <c r="M47" s="836"/>
      <c r="N47" s="836"/>
      <c r="O47" s="468"/>
      <c r="P47" s="118"/>
      <c r="Q47" s="217"/>
      <c r="R47" s="217"/>
      <c r="S47" s="802"/>
      <c r="T47" s="993"/>
      <c r="U47" s="199"/>
      <c r="V47" s="824"/>
      <c r="W47" s="118"/>
      <c r="X47" s="118"/>
      <c r="Y47" s="118"/>
      <c r="Z47" s="118"/>
      <c r="AA47" s="118"/>
      <c r="AB47" s="206"/>
      <c r="AC47" s="206"/>
    </row>
    <row r="48" spans="1:29" ht="18" customHeight="1">
      <c r="A48" s="824"/>
      <c r="B48" s="448"/>
      <c r="C48" s="994" t="str">
        <f>IF(AND(H46&gt;=H35,(H46&lt;&gt;0)),"Check input values; APPARENT LOSSES should be less than WATER LOSSES","")</f>
        <v/>
      </c>
      <c r="D48" s="994"/>
      <c r="E48" s="994"/>
      <c r="F48" s="994"/>
      <c r="G48" s="994"/>
      <c r="H48" s="994"/>
      <c r="I48" s="994"/>
      <c r="J48" s="994"/>
      <c r="K48" s="994"/>
      <c r="L48" s="994"/>
      <c r="M48" s="994"/>
      <c r="N48" s="994"/>
      <c r="O48" s="994"/>
      <c r="P48" s="118"/>
      <c r="Q48" s="217"/>
      <c r="R48" s="217"/>
      <c r="S48" s="802"/>
      <c r="T48" s="993"/>
      <c r="U48" s="199"/>
      <c r="V48" s="824"/>
      <c r="W48" s="118"/>
      <c r="X48" s="105" t="s">
        <v>749</v>
      </c>
      <c r="Y48" s="106" t="s">
        <v>750</v>
      </c>
      <c r="Z48" s="118"/>
      <c r="AA48" s="990"/>
      <c r="AB48" s="990"/>
      <c r="AC48" s="990"/>
    </row>
    <row r="49" spans="1:29" ht="2.25" customHeight="1">
      <c r="A49" s="824"/>
      <c r="B49" s="448"/>
      <c r="C49" s="152"/>
      <c r="D49" s="220"/>
      <c r="E49" s="412"/>
      <c r="F49" s="221"/>
      <c r="G49" s="220"/>
      <c r="H49" s="118"/>
      <c r="I49" s="220"/>
      <c r="J49" s="836"/>
      <c r="K49" s="836"/>
      <c r="L49" s="836"/>
      <c r="M49" s="836"/>
      <c r="N49" s="836"/>
      <c r="O49" s="468"/>
      <c r="P49" s="118"/>
      <c r="Q49" s="217"/>
      <c r="R49" s="217"/>
      <c r="S49" s="217"/>
      <c r="T49" s="993"/>
      <c r="U49" s="199"/>
      <c r="V49" s="824"/>
      <c r="W49" s="118"/>
      <c r="X49" s="848"/>
      <c r="Y49" s="849"/>
      <c r="Z49" s="118"/>
      <c r="AA49" s="990"/>
      <c r="AB49" s="990"/>
      <c r="AC49" s="990"/>
    </row>
    <row r="50" spans="1:29" ht="15" customHeight="1" thickBot="1">
      <c r="A50" s="824"/>
      <c r="B50" s="448"/>
      <c r="C50" s="79" t="s">
        <v>751</v>
      </c>
      <c r="D50" s="220"/>
      <c r="E50" s="412"/>
      <c r="F50" s="219"/>
      <c r="G50" s="220"/>
      <c r="H50" s="788"/>
      <c r="I50" s="118"/>
      <c r="J50" s="788"/>
      <c r="K50" s="788"/>
      <c r="L50" s="788"/>
      <c r="M50" s="222"/>
      <c r="N50" s="788"/>
      <c r="O50" s="118"/>
      <c r="P50" s="118"/>
      <c r="Q50" s="217"/>
      <c r="R50" s="217"/>
      <c r="S50" s="217"/>
      <c r="T50" s="993"/>
      <c r="U50" s="199"/>
      <c r="V50" s="824"/>
      <c r="W50" s="118"/>
      <c r="X50" s="850">
        <f>IFERROR(IF(W41=1,((H23)/(1-(O41*X41)))-(H23),Q41*H23/(H23+H25)),0)</f>
        <v>912.17140816326719</v>
      </c>
      <c r="Y50" s="851">
        <f>IFERROR(IF(W41=1,((H25)/(1-(O41*X41)))-(H25),Q41*H25/(H23+H25)),0)</f>
        <v>7.9605102040816291</v>
      </c>
      <c r="Z50" s="852">
        <f>SUM(X50:Y50)</f>
        <v>920.13191836734882</v>
      </c>
      <c r="AA50" s="990"/>
      <c r="AB50" s="990"/>
      <c r="AC50" s="990"/>
    </row>
    <row r="51" spans="1:29">
      <c r="A51" s="824"/>
      <c r="B51" s="448"/>
      <c r="C51" s="996" t="s">
        <v>752</v>
      </c>
      <c r="D51" s="996"/>
      <c r="E51" s="996"/>
      <c r="F51" s="996"/>
      <c r="G51" s="727"/>
      <c r="H51" s="726">
        <f>IFERROR(H35-H46,"")</f>
        <v>17333.50682041658</v>
      </c>
      <c r="I51" s="220"/>
      <c r="J51" s="805" t="str">
        <f>IF('Start Page'!$AB$22="million gallons (US)","MG/Yr",IF('Start Page'!$AB$22="Megalitres (thousand cubic metres)","ML/Yr",IF('Start Page'!$AB$22="acre-feet","Acre-ft/Yr","")))</f>
        <v>MG/Yr</v>
      </c>
      <c r="K51" s="805"/>
      <c r="L51" s="805"/>
      <c r="M51" s="223"/>
      <c r="N51" s="805"/>
      <c r="O51" s="118"/>
      <c r="P51" s="118"/>
      <c r="Q51" s="468"/>
      <c r="R51" s="118"/>
      <c r="S51" s="118"/>
      <c r="T51" s="118"/>
      <c r="U51" s="199"/>
      <c r="V51" s="824"/>
      <c r="W51" s="118"/>
      <c r="X51" s="853">
        <f>X50*input_CRUC*1000</f>
        <v>10590310.048775531</v>
      </c>
      <c r="Y51" s="853">
        <f>Y50*input_VPC</f>
        <v>7009.7068653061187</v>
      </c>
      <c r="Z51" s="118"/>
      <c r="AA51" s="118"/>
      <c r="AB51" s="206"/>
      <c r="AC51" s="206"/>
    </row>
    <row r="52" spans="1:29">
      <c r="A52" s="824"/>
      <c r="B52" s="448"/>
      <c r="C52" s="222"/>
      <c r="D52" s="220"/>
      <c r="E52" s="412"/>
      <c r="F52" s="219"/>
      <c r="G52" s="220"/>
      <c r="H52" s="836"/>
      <c r="I52" s="220"/>
      <c r="J52" s="205"/>
      <c r="K52" s="205"/>
      <c r="L52" s="205"/>
      <c r="M52" s="205"/>
      <c r="N52" s="205"/>
      <c r="O52" s="118"/>
      <c r="P52" s="118"/>
      <c r="Q52" s="468"/>
      <c r="R52" s="118"/>
      <c r="S52" s="118"/>
      <c r="T52" s="118"/>
      <c r="U52" s="199"/>
      <c r="V52" s="824"/>
      <c r="W52" s="118"/>
      <c r="X52" s="118"/>
      <c r="Y52" s="118"/>
      <c r="Z52" s="118"/>
      <c r="AA52" s="118"/>
      <c r="AB52" s="206"/>
      <c r="AC52" s="206"/>
    </row>
    <row r="53" spans="1:29">
      <c r="A53" s="824"/>
      <c r="B53" s="448"/>
      <c r="C53" s="989" t="s">
        <v>753</v>
      </c>
      <c r="D53" s="989"/>
      <c r="E53" s="989"/>
      <c r="F53" s="989"/>
      <c r="G53" s="468"/>
      <c r="H53" s="726">
        <f>IFERROR(H46+H51,"")</f>
        <v>18477.12073378393</v>
      </c>
      <c r="I53" s="468"/>
      <c r="J53" s="805" t="str">
        <f>IF('Start Page'!$AB$22="million gallons (US)","MG/Yr",IF('Start Page'!$AB$22="Megalitres (thousand cubic metres)","ML/Yr",IF('Start Page'!$AB$22="acre-feet","Acre-ft/Yr","")))</f>
        <v>MG/Yr</v>
      </c>
      <c r="K53" s="805"/>
      <c r="L53" s="805"/>
      <c r="M53" s="805"/>
      <c r="N53" s="805"/>
      <c r="O53" s="118"/>
      <c r="P53" s="118"/>
      <c r="Q53" s="205"/>
      <c r="R53" s="118"/>
      <c r="S53" s="118"/>
      <c r="T53" s="118"/>
      <c r="U53" s="199"/>
      <c r="V53" s="824"/>
      <c r="W53" s="118"/>
      <c r="X53" s="118"/>
      <c r="Y53" s="118"/>
      <c r="Z53" s="118"/>
      <c r="AA53" s="118"/>
      <c r="AB53" s="206"/>
      <c r="AC53" s="206"/>
    </row>
    <row r="54" spans="1:29" ht="5.25" customHeight="1">
      <c r="A54" s="824"/>
      <c r="B54" s="448"/>
      <c r="C54" s="152"/>
      <c r="D54" s="224"/>
      <c r="E54" s="413"/>
      <c r="F54" s="219"/>
      <c r="G54" s="224"/>
      <c r="H54" s="468"/>
      <c r="I54" s="468"/>
      <c r="J54" s="468"/>
      <c r="K54" s="468"/>
      <c r="L54" s="468"/>
      <c r="M54" s="468"/>
      <c r="N54" s="468"/>
      <c r="O54" s="205"/>
      <c r="P54" s="205"/>
      <c r="Q54" s="205"/>
      <c r="R54" s="118"/>
      <c r="S54" s="118"/>
      <c r="T54" s="118"/>
      <c r="U54" s="199"/>
      <c r="V54" s="824"/>
      <c r="W54" s="118"/>
      <c r="X54" s="118"/>
      <c r="Y54" s="118"/>
      <c r="Z54" s="118"/>
      <c r="AA54" s="118"/>
      <c r="AB54" s="206"/>
      <c r="AC54" s="206"/>
    </row>
    <row r="55" spans="1:29" ht="6" customHeight="1">
      <c r="A55" s="824"/>
      <c r="B55" s="448"/>
      <c r="C55" s="431"/>
      <c r="D55" s="432"/>
      <c r="E55" s="433"/>
      <c r="F55" s="430"/>
      <c r="G55" s="432"/>
      <c r="H55" s="854"/>
      <c r="I55" s="854"/>
      <c r="J55" s="854"/>
      <c r="K55" s="854"/>
      <c r="L55" s="854"/>
      <c r="M55" s="854"/>
      <c r="N55" s="854"/>
      <c r="O55" s="840"/>
      <c r="P55" s="840"/>
      <c r="Q55" s="840"/>
      <c r="R55" s="839"/>
      <c r="S55" s="118"/>
      <c r="T55" s="118"/>
      <c r="U55" s="199"/>
      <c r="V55" s="824"/>
      <c r="W55" s="118"/>
      <c r="X55" s="118"/>
      <c r="Y55" s="118"/>
      <c r="Z55" s="118"/>
      <c r="AA55" s="118"/>
      <c r="AB55" s="206"/>
      <c r="AC55" s="206"/>
    </row>
    <row r="56" spans="1:29" ht="13.5" customHeight="1">
      <c r="A56" s="824"/>
      <c r="B56" s="448"/>
      <c r="C56" s="79" t="s">
        <v>754</v>
      </c>
      <c r="D56" s="220"/>
      <c r="E56" s="412"/>
      <c r="F56" s="219"/>
      <c r="G56" s="220"/>
      <c r="H56" s="836"/>
      <c r="I56" s="220"/>
      <c r="J56" s="205"/>
      <c r="K56" s="205"/>
      <c r="L56" s="205"/>
      <c r="M56" s="205"/>
      <c r="N56" s="205"/>
      <c r="O56" s="118"/>
      <c r="P56" s="118"/>
      <c r="Q56" s="468"/>
      <c r="R56" s="118"/>
      <c r="S56" s="118"/>
      <c r="T56" s="118"/>
      <c r="U56" s="199"/>
      <c r="V56" s="824"/>
      <c r="W56" s="118"/>
      <c r="X56" s="118"/>
      <c r="Y56" s="118"/>
      <c r="Z56" s="118"/>
      <c r="AA56" s="118"/>
      <c r="AB56" s="206"/>
      <c r="AC56" s="206"/>
    </row>
    <row r="57" spans="1:29" ht="13.5" customHeight="1">
      <c r="A57" s="824"/>
      <c r="B57" s="448"/>
      <c r="C57" s="989" t="s">
        <v>755</v>
      </c>
      <c r="D57" s="989"/>
      <c r="E57" s="989"/>
      <c r="F57" s="989"/>
      <c r="G57" s="727"/>
      <c r="H57" s="726">
        <f>IFERROR(H35+H25+H26,"")</f>
        <v>24444.080733783929</v>
      </c>
      <c r="I57" s="220"/>
      <c r="J57" s="805" t="str">
        <f>IF('Start Page'!$AB$22="million gallons (US)","MG/Yr",IF('Start Page'!$AB$22="Megalitres (thousand cubic metres)","ML/Yr",IF('Start Page'!$AB$22="acre-feet","Acre-ft/Yr","")))</f>
        <v>MG/Yr</v>
      </c>
      <c r="K57" s="805"/>
      <c r="L57" s="805"/>
      <c r="M57" s="226"/>
      <c r="N57" s="805"/>
      <c r="O57" s="118"/>
      <c r="P57" s="118"/>
      <c r="Q57" s="468"/>
      <c r="R57" s="118"/>
      <c r="S57" s="118"/>
      <c r="T57" s="118"/>
      <c r="U57" s="199"/>
      <c r="V57" s="824"/>
      <c r="W57" s="118"/>
      <c r="X57" s="118"/>
      <c r="Y57" s="118"/>
      <c r="Z57" s="118"/>
      <c r="AA57" s="118"/>
      <c r="AB57" s="206"/>
      <c r="AC57" s="206"/>
    </row>
    <row r="58" spans="1:29" ht="13.5" customHeight="1">
      <c r="A58" s="824"/>
      <c r="B58" s="448"/>
      <c r="C58" s="426"/>
      <c r="D58" s="195"/>
      <c r="E58" s="427"/>
      <c r="F58" s="195"/>
      <c r="G58" s="195"/>
      <c r="H58" s="195"/>
      <c r="I58" s="195"/>
      <c r="J58" s="195"/>
      <c r="K58" s="195"/>
      <c r="L58" s="195"/>
      <c r="M58" s="195"/>
      <c r="N58" s="195"/>
      <c r="O58" s="195"/>
      <c r="P58" s="195"/>
      <c r="Q58" s="195"/>
      <c r="R58" s="195"/>
      <c r="S58" s="195"/>
      <c r="T58" s="195"/>
      <c r="U58" s="199"/>
      <c r="V58" s="824"/>
      <c r="W58" s="118"/>
      <c r="X58" s="118"/>
      <c r="Y58" s="118"/>
      <c r="Z58" s="118"/>
      <c r="AA58" s="118"/>
      <c r="AB58" s="206"/>
      <c r="AC58" s="206"/>
    </row>
    <row r="59" spans="1:29" ht="16.5" customHeight="1">
      <c r="A59" s="824"/>
      <c r="B59" s="448"/>
      <c r="C59" s="428" t="s">
        <v>756</v>
      </c>
      <c r="D59" s="429"/>
      <c r="E59" s="429"/>
      <c r="F59" s="430"/>
      <c r="G59" s="428"/>
      <c r="H59" s="839"/>
      <c r="I59" s="839"/>
      <c r="J59" s="839"/>
      <c r="K59" s="839"/>
      <c r="L59" s="839"/>
      <c r="M59" s="839"/>
      <c r="N59" s="839"/>
      <c r="O59" s="839"/>
      <c r="P59" s="839"/>
      <c r="Q59" s="839"/>
      <c r="R59" s="839"/>
      <c r="S59" s="118"/>
      <c r="T59" s="118"/>
      <c r="U59" s="199"/>
      <c r="V59" s="824"/>
      <c r="W59" s="118"/>
      <c r="X59" s="118"/>
      <c r="Y59" s="118"/>
      <c r="Z59" s="118"/>
      <c r="AA59" s="118"/>
      <c r="AB59" s="206"/>
      <c r="AC59" s="206"/>
    </row>
    <row r="60" spans="1:29" ht="5.25" customHeight="1">
      <c r="A60" s="824"/>
      <c r="B60" s="448"/>
      <c r="C60" s="47"/>
      <c r="D60" s="405"/>
      <c r="E60" s="405"/>
      <c r="F60" s="225"/>
      <c r="G60" s="47"/>
      <c r="H60" s="118"/>
      <c r="I60" s="118"/>
      <c r="J60" s="118"/>
      <c r="K60" s="118"/>
      <c r="L60" s="118"/>
      <c r="M60" s="118"/>
      <c r="N60" s="118"/>
      <c r="O60" s="118"/>
      <c r="P60" s="118"/>
      <c r="Q60" s="118"/>
      <c r="R60" s="118"/>
      <c r="S60" s="118"/>
      <c r="T60" s="118"/>
      <c r="U60" s="199"/>
      <c r="V60" s="824"/>
      <c r="W60" s="118"/>
      <c r="X60" s="118"/>
      <c r="Y60" s="118"/>
      <c r="Z60" s="118"/>
      <c r="AA60" s="118"/>
      <c r="AB60" s="206"/>
      <c r="AC60" s="206"/>
    </row>
    <row r="61" spans="1:29">
      <c r="A61" s="824"/>
      <c r="B61" s="448" t="s">
        <v>563</v>
      </c>
      <c r="C61" s="803" t="s">
        <v>757</v>
      </c>
      <c r="D61" s="699" t="s">
        <v>722</v>
      </c>
      <c r="E61" s="463" t="s">
        <v>723</v>
      </c>
      <c r="F61" s="390">
        <f>'Interactive Data Grading'!D350</f>
        <v>10</v>
      </c>
      <c r="G61" s="47"/>
      <c r="H61" s="256">
        <v>10344</v>
      </c>
      <c r="I61" s="227"/>
      <c r="J61" s="228" t="str">
        <f>IF(ISBLANK('Start Page'!$AB$22),"",IF('Start Page'!$AB$22="Megalitres (thousand cubic metres)","kilometers","miles"))</f>
        <v>miles</v>
      </c>
      <c r="K61" s="228"/>
      <c r="L61" s="228"/>
      <c r="M61" s="228" t="s">
        <v>758</v>
      </c>
      <c r="N61" s="228"/>
      <c r="O61" s="118"/>
      <c r="P61" s="118"/>
      <c r="Q61" s="118"/>
      <c r="R61" s="118"/>
      <c r="S61" s="118"/>
      <c r="T61" s="118"/>
      <c r="U61" s="199"/>
      <c r="V61" s="824"/>
      <c r="W61" s="118"/>
      <c r="X61" s="118"/>
      <c r="Y61" s="118"/>
      <c r="Z61" s="118"/>
      <c r="AA61" s="118"/>
      <c r="AB61" s="206"/>
      <c r="AC61" s="206"/>
    </row>
    <row r="62" spans="1:29">
      <c r="A62" s="824"/>
      <c r="B62" s="448" t="s">
        <v>567</v>
      </c>
      <c r="C62" s="803" t="s">
        <v>759</v>
      </c>
      <c r="D62" s="699" t="s">
        <v>722</v>
      </c>
      <c r="E62" s="463" t="s">
        <v>723</v>
      </c>
      <c r="F62" s="390">
        <f>'Interactive Data Grading'!D374</f>
        <v>10</v>
      </c>
      <c r="G62" s="47"/>
      <c r="H62" s="396">
        <v>684229</v>
      </c>
      <c r="I62" s="227"/>
      <c r="J62" s="228"/>
      <c r="K62" s="788"/>
      <c r="L62" s="788"/>
      <c r="M62" s="228" t="s">
        <v>760</v>
      </c>
      <c r="N62" s="788"/>
      <c r="O62" s="118"/>
      <c r="P62" s="118"/>
      <c r="Q62" s="118"/>
      <c r="R62" s="118"/>
      <c r="S62" s="118"/>
      <c r="T62" s="118"/>
      <c r="U62" s="199"/>
      <c r="V62" s="824"/>
      <c r="W62" s="118"/>
      <c r="X62" s="118"/>
      <c r="Y62" s="118"/>
      <c r="Z62" s="118"/>
      <c r="AA62" s="118"/>
      <c r="AB62" s="206"/>
      <c r="AC62" s="206"/>
    </row>
    <row r="63" spans="1:29">
      <c r="A63" s="824"/>
      <c r="B63" s="448"/>
      <c r="C63" s="803" t="s">
        <v>761</v>
      </c>
      <c r="D63" s="47"/>
      <c r="E63" s="405"/>
      <c r="F63" s="210"/>
      <c r="G63" s="47"/>
      <c r="H63" s="855">
        <f>IF(ISERROR(H62/H61),"",H62/H61)</f>
        <v>66.147428460943544</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4"/>
      <c r="W63" s="118"/>
      <c r="X63" s="118"/>
      <c r="Y63" s="118"/>
      <c r="Z63" s="118"/>
      <c r="AA63" s="118"/>
      <c r="AB63" s="206"/>
      <c r="AC63" s="206"/>
    </row>
    <row r="64" spans="1:29" ht="13.35" customHeight="1">
      <c r="A64" s="824"/>
      <c r="B64" s="448"/>
      <c r="C64" s="439"/>
      <c r="D64" s="47"/>
      <c r="E64" s="405"/>
      <c r="F64" s="210"/>
      <c r="G64" s="210"/>
      <c r="H64" s="118"/>
      <c r="I64" s="118"/>
      <c r="J64" s="228"/>
      <c r="K64" s="228"/>
      <c r="L64" s="228"/>
      <c r="M64" s="229"/>
      <c r="N64" s="228"/>
      <c r="O64" s="118"/>
      <c r="P64" s="118"/>
      <c r="Q64" s="118"/>
      <c r="R64" s="118"/>
      <c r="S64" s="118"/>
      <c r="T64" s="118"/>
      <c r="U64" s="199"/>
      <c r="V64" s="824"/>
      <c r="W64" s="118"/>
      <c r="X64" s="118"/>
      <c r="Y64" s="118"/>
      <c r="Z64" s="118"/>
      <c r="AA64" s="118"/>
      <c r="AB64" s="206"/>
      <c r="AC64" s="206"/>
    </row>
    <row r="65" spans="1:26" ht="13.35" customHeight="1">
      <c r="A65" s="824"/>
      <c r="B65" s="448"/>
      <c r="C65" s="1013" t="s">
        <v>762</v>
      </c>
      <c r="D65" s="1013"/>
      <c r="E65" s="1013"/>
      <c r="F65" s="1013"/>
      <c r="G65" s="210"/>
      <c r="H65" s="257" t="s">
        <v>49</v>
      </c>
      <c r="I65" s="118"/>
      <c r="J65" s="228"/>
      <c r="K65" s="228"/>
      <c r="L65" s="228"/>
      <c r="M65" s="229"/>
      <c r="N65" s="228"/>
      <c r="O65" s="118"/>
      <c r="P65" s="118"/>
      <c r="Q65" s="118"/>
      <c r="R65" s="118"/>
      <c r="S65" s="118"/>
      <c r="T65" s="118"/>
      <c r="U65" s="199"/>
      <c r="V65" s="824"/>
      <c r="W65" s="856">
        <f>IF(H65="Yes",1,0)</f>
        <v>0</v>
      </c>
      <c r="X65" s="171" t="s">
        <v>763</v>
      </c>
      <c r="Y65" s="171"/>
      <c r="Z65" s="171"/>
    </row>
    <row r="66" spans="1:26" ht="13.5" customHeight="1">
      <c r="A66" s="824"/>
      <c r="B66" s="448" t="s">
        <v>573</v>
      </c>
      <c r="C66" s="803" t="s">
        <v>764</v>
      </c>
      <c r="D66" s="699" t="s">
        <v>722</v>
      </c>
      <c r="E66" s="463" t="s">
        <v>723</v>
      </c>
      <c r="F66" s="390">
        <f>'Interactive Data Grading'!D398</f>
        <v>10</v>
      </c>
      <c r="G66" s="47"/>
      <c r="H66" s="256">
        <v>20.95</v>
      </c>
      <c r="I66" s="47"/>
      <c r="J66" s="228" t="str">
        <f>IF(ISBLANK('Start Page'!$AB$22),"",IF('Start Page'!AB22="Megalitres (thousand cubic metres)","metres","ft"))</f>
        <v>ft</v>
      </c>
      <c r="K66" s="228"/>
      <c r="L66" s="228"/>
      <c r="M66" s="228" t="s">
        <v>765</v>
      </c>
      <c r="N66" s="228"/>
      <c r="O66" s="230"/>
      <c r="P66" s="230"/>
      <c r="Q66" s="230"/>
      <c r="R66" s="230"/>
      <c r="S66" s="230"/>
      <c r="T66" s="230"/>
      <c r="U66" s="199"/>
      <c r="V66" s="824"/>
      <c r="W66" s="856">
        <f>IF(H65="Yes",10,F66)</f>
        <v>10</v>
      </c>
      <c r="X66" s="171" t="s">
        <v>766</v>
      </c>
      <c r="Y66" s="171"/>
      <c r="Z66" s="171"/>
    </row>
    <row r="67" spans="1:26" ht="14.45" customHeight="1">
      <c r="A67" s="824"/>
      <c r="B67" s="448"/>
      <c r="C67" s="997" t="str">
        <f>IF(H65="Yes","Average length of customer service line has been set to zero and a data grading of 10 has been applied","")</f>
        <v/>
      </c>
      <c r="D67" s="997"/>
      <c r="E67" s="997"/>
      <c r="F67" s="997"/>
      <c r="G67" s="997"/>
      <c r="H67" s="997"/>
      <c r="I67" s="997"/>
      <c r="J67" s="997"/>
      <c r="K67" s="997"/>
      <c r="L67" s="997"/>
      <c r="M67" s="997"/>
      <c r="N67" s="997"/>
      <c r="O67" s="997"/>
      <c r="P67" s="230"/>
      <c r="Q67" s="230"/>
      <c r="R67" s="230"/>
      <c r="S67" s="230"/>
      <c r="T67" s="230"/>
      <c r="U67" s="199"/>
      <c r="V67" s="824"/>
      <c r="W67" s="856">
        <f>IF(H65="Yes",0,H66)</f>
        <v>20.95</v>
      </c>
      <c r="X67" s="171" t="s">
        <v>767</v>
      </c>
      <c r="Y67" s="171"/>
      <c r="Z67" s="171"/>
    </row>
    <row r="68" spans="1:26">
      <c r="A68" s="824"/>
      <c r="B68" s="448" t="s">
        <v>576</v>
      </c>
      <c r="C68" s="803" t="s">
        <v>768</v>
      </c>
      <c r="D68" s="699" t="s">
        <v>722</v>
      </c>
      <c r="E68" s="463" t="s">
        <v>723</v>
      </c>
      <c r="F68" s="390">
        <f>'Interactive Data Grading'!D422</f>
        <v>8</v>
      </c>
      <c r="G68" s="47"/>
      <c r="H68" s="256">
        <v>80.540000000000006</v>
      </c>
      <c r="I68" s="231"/>
      <c r="J68" s="228" t="str">
        <f>IF(ISBLANK('Start Page'!$AB$22),"",IF('Start Page'!AB22="Megalitres (thousand cubic metres)","metres (head)","psi"))</f>
        <v>psi</v>
      </c>
      <c r="K68" s="228"/>
      <c r="L68" s="228"/>
      <c r="M68" s="228"/>
      <c r="N68" s="228"/>
      <c r="O68" s="118"/>
      <c r="P68" s="206"/>
      <c r="Q68" s="118"/>
      <c r="R68" s="118"/>
      <c r="S68" s="118"/>
      <c r="T68" s="118"/>
      <c r="U68" s="199"/>
      <c r="V68" s="824"/>
      <c r="W68" s="118"/>
      <c r="X68" s="118"/>
      <c r="Y68" s="118"/>
      <c r="Z68" s="118"/>
    </row>
    <row r="69" spans="1:26" ht="3" customHeight="1">
      <c r="A69" s="824"/>
      <c r="B69" s="448"/>
      <c r="C69" s="164"/>
      <c r="D69" s="47"/>
      <c r="E69" s="405"/>
      <c r="F69" s="47"/>
      <c r="G69" s="47"/>
      <c r="H69" s="47"/>
      <c r="I69" s="47"/>
      <c r="J69" s="228"/>
      <c r="K69" s="228"/>
      <c r="L69" s="228"/>
      <c r="M69" s="228"/>
      <c r="N69" s="228"/>
      <c r="O69" s="118"/>
      <c r="P69" s="206"/>
      <c r="Q69" s="118"/>
      <c r="R69" s="118"/>
      <c r="S69" s="118"/>
      <c r="T69" s="118"/>
      <c r="U69" s="199"/>
      <c r="V69" s="824"/>
      <c r="W69" s="118"/>
      <c r="X69" s="118"/>
      <c r="Y69" s="118"/>
      <c r="Z69" s="118"/>
    </row>
    <row r="70" spans="1:26">
      <c r="A70" s="824"/>
      <c r="B70" s="448"/>
      <c r="C70" s="144"/>
      <c r="D70" s="144"/>
      <c r="E70" s="144"/>
      <c r="F70" s="144"/>
      <c r="G70" s="144"/>
      <c r="H70" s="144"/>
      <c r="I70" s="144"/>
      <c r="J70" s="144"/>
      <c r="K70" s="144"/>
      <c r="L70" s="144"/>
      <c r="M70" s="144"/>
      <c r="N70" s="144"/>
      <c r="O70" s="144"/>
      <c r="P70" s="857"/>
      <c r="Q70" s="118"/>
      <c r="R70" s="118"/>
      <c r="S70" s="118"/>
      <c r="T70" s="118"/>
      <c r="U70" s="199"/>
      <c r="V70" s="824"/>
      <c r="W70" s="118">
        <f>IF('Start Page'!AB22="Megalitres (thousand cubic metres)",1,0)</f>
        <v>0</v>
      </c>
      <c r="X70" s="118"/>
      <c r="Y70" s="118"/>
      <c r="Z70" s="118"/>
    </row>
    <row r="71" spans="1:26" ht="2.25" customHeight="1">
      <c r="A71" s="824"/>
      <c r="B71" s="448"/>
      <c r="C71" s="203"/>
      <c r="D71" s="858"/>
      <c r="E71" s="414"/>
      <c r="F71" s="858"/>
      <c r="G71" s="858"/>
      <c r="H71" s="858"/>
      <c r="I71" s="858"/>
      <c r="J71" s="858"/>
      <c r="K71" s="858"/>
      <c r="L71" s="858"/>
      <c r="M71" s="858"/>
      <c r="N71" s="858"/>
      <c r="O71" s="858"/>
      <c r="P71" s="858"/>
      <c r="Q71" s="858"/>
      <c r="R71" s="858"/>
      <c r="S71" s="118"/>
      <c r="T71" s="118"/>
      <c r="U71" s="199"/>
      <c r="V71" s="824"/>
      <c r="W71" s="118"/>
      <c r="X71" s="118"/>
      <c r="Y71" s="118"/>
      <c r="Z71" s="118"/>
    </row>
    <row r="72" spans="1:26" ht="6" customHeight="1">
      <c r="A72" s="824"/>
      <c r="B72" s="448"/>
      <c r="C72" s="47"/>
      <c r="D72" s="47"/>
      <c r="E72" s="405"/>
      <c r="F72" s="225"/>
      <c r="G72" s="47"/>
      <c r="H72" s="118"/>
      <c r="I72" s="118"/>
      <c r="J72" s="118"/>
      <c r="K72" s="118"/>
      <c r="L72" s="118"/>
      <c r="M72" s="118"/>
      <c r="N72" s="118"/>
      <c r="O72" s="118"/>
      <c r="P72" s="118"/>
      <c r="Q72" s="118"/>
      <c r="R72" s="118"/>
      <c r="S72" s="118"/>
      <c r="T72" s="118"/>
      <c r="U72" s="199"/>
      <c r="V72" s="824"/>
      <c r="W72" s="118"/>
      <c r="X72" s="118"/>
      <c r="Y72" s="118"/>
      <c r="Z72" s="118"/>
    </row>
    <row r="73" spans="1:26" ht="13.5" customHeight="1">
      <c r="A73" s="824"/>
      <c r="B73" s="448"/>
      <c r="C73" s="47" t="s">
        <v>769</v>
      </c>
      <c r="D73" s="47"/>
      <c r="E73" s="405"/>
      <c r="F73" s="225"/>
      <c r="G73" s="47"/>
      <c r="H73" s="859"/>
      <c r="I73" s="118"/>
      <c r="J73" s="118"/>
      <c r="K73" s="118"/>
      <c r="L73" s="118"/>
      <c r="M73" s="118"/>
      <c r="N73" s="118"/>
      <c r="O73" s="118"/>
      <c r="P73" s="118"/>
      <c r="Q73" s="118"/>
      <c r="R73" s="118"/>
      <c r="S73" s="118"/>
      <c r="T73" s="118"/>
      <c r="U73" s="199"/>
      <c r="V73" s="824"/>
      <c r="W73" s="118"/>
      <c r="X73" s="118"/>
      <c r="Y73" s="118"/>
      <c r="Z73" s="118"/>
    </row>
    <row r="74" spans="1:26" ht="5.25" customHeight="1">
      <c r="A74" s="824"/>
      <c r="B74" s="448"/>
      <c r="C74" s="47"/>
      <c r="D74" s="47"/>
      <c r="E74" s="405"/>
      <c r="F74" s="225"/>
      <c r="G74" s="47"/>
      <c r="H74" s="118"/>
      <c r="I74" s="118"/>
      <c r="J74" s="118"/>
      <c r="K74" s="118"/>
      <c r="L74" s="118"/>
      <c r="M74" s="118"/>
      <c r="N74" s="118"/>
      <c r="O74" s="118"/>
      <c r="P74" s="118"/>
      <c r="Q74" s="118"/>
      <c r="R74" s="118"/>
      <c r="S74" s="118"/>
      <c r="T74" s="118"/>
      <c r="U74" s="199"/>
      <c r="V74" s="824"/>
      <c r="W74" s="118"/>
      <c r="X74" s="118"/>
      <c r="Y74" s="118"/>
      <c r="Z74" s="118"/>
    </row>
    <row r="75" spans="1:26" ht="14.25" hidden="1" customHeight="1">
      <c r="A75" s="824"/>
      <c r="B75" s="448"/>
      <c r="C75" s="207" t="s">
        <v>770</v>
      </c>
      <c r="D75" s="152"/>
      <c r="E75" s="410"/>
      <c r="F75" s="208" t="e">
        <f>'Interactive Data Grading'!#REF!</f>
        <v>#REF!</v>
      </c>
      <c r="G75" s="118"/>
      <c r="H75" s="860">
        <v>1000000</v>
      </c>
      <c r="I75" s="118"/>
      <c r="J75" s="228" t="s">
        <v>771</v>
      </c>
      <c r="K75" s="228"/>
      <c r="L75" s="228"/>
      <c r="M75" s="228"/>
      <c r="N75" s="118"/>
      <c r="O75" s="118"/>
      <c r="P75" s="118"/>
      <c r="Q75" s="118"/>
      <c r="R75" s="118"/>
      <c r="S75" s="118"/>
      <c r="T75" s="118"/>
      <c r="U75" s="199"/>
      <c r="V75" s="824"/>
      <c r="W75" s="118"/>
      <c r="X75" s="118"/>
      <c r="Y75" s="118"/>
      <c r="Z75" s="118"/>
    </row>
    <row r="76" spans="1:26" ht="14.25" customHeight="1">
      <c r="A76" s="824"/>
      <c r="B76" s="448" t="s">
        <v>578</v>
      </c>
      <c r="C76" s="803" t="s">
        <v>772</v>
      </c>
      <c r="D76" s="699" t="s">
        <v>722</v>
      </c>
      <c r="E76" s="425" t="s">
        <v>723</v>
      </c>
      <c r="F76" s="390">
        <f>'Interactive Data Grading'!D446</f>
        <v>10</v>
      </c>
      <c r="G76" s="118"/>
      <c r="H76" s="861">
        <v>11.61</v>
      </c>
      <c r="I76" s="118"/>
      <c r="J76" s="1003" t="s">
        <v>773</v>
      </c>
      <c r="K76" s="1004"/>
      <c r="L76" s="1004"/>
      <c r="M76" s="1005"/>
      <c r="N76" s="118"/>
      <c r="O76" s="1006" t="str">
        <f>IF(AND(NOT(ISBLANK(H76)),ISBLANK(J76)),"&lt;----Enter units","")</f>
        <v/>
      </c>
      <c r="P76" s="1006"/>
      <c r="Q76" s="1010" t="s">
        <v>774</v>
      </c>
      <c r="R76" s="1010"/>
      <c r="S76" s="1010"/>
      <c r="T76" s="118"/>
      <c r="U76" s="199"/>
      <c r="V76" s="824"/>
      <c r="W76" s="118"/>
      <c r="X76" s="118"/>
      <c r="Y76" s="118"/>
      <c r="Z76" s="118"/>
    </row>
    <row r="77" spans="1:26" ht="13.5" customHeight="1">
      <c r="A77" s="824"/>
      <c r="B77" s="448" t="s">
        <v>582</v>
      </c>
      <c r="C77" s="803" t="s">
        <v>775</v>
      </c>
      <c r="D77" s="699" t="s">
        <v>722</v>
      </c>
      <c r="E77" s="463" t="s">
        <v>723</v>
      </c>
      <c r="F77" s="390">
        <f>'Interactive Data Grading'!D469</f>
        <v>10</v>
      </c>
      <c r="G77" s="118"/>
      <c r="H77" s="861">
        <v>880.56</v>
      </c>
      <c r="I77" s="118"/>
      <c r="J77" s="805" t="str">
        <f>"$/"&amp;IF('Start Page'!$AB$22="million gallons (US)","Million gallons",IF('Start Page'!$AB$22="Megalitres (thousand cubic metres)","Megalitre",IF('Start Page'!$AB$22="acre-feet","acre-ft","")))</f>
        <v>$/Million gallons</v>
      </c>
      <c r="K77" s="1011" t="str">
        <f>IF(Z77=1,"&lt;&lt;&lt; Using CRUC as basis for VPC","")</f>
        <v/>
      </c>
      <c r="L77" s="1011"/>
      <c r="M77" s="1011"/>
      <c r="N77" s="1011"/>
      <c r="O77" s="1011"/>
      <c r="P77" s="1012"/>
      <c r="Q77" s="1007">
        <v>244037404</v>
      </c>
      <c r="R77" s="1008"/>
      <c r="S77" s="1009"/>
      <c r="T77" s="195" t="s">
        <v>776</v>
      </c>
      <c r="U77" s="199"/>
      <c r="V77" s="824"/>
      <c r="W77" s="118"/>
      <c r="X77" s="118"/>
      <c r="Y77" s="118"/>
      <c r="Z77" s="118">
        <f>IF('Interactive Data Grading'!D465=VPC!C28,1,0)</f>
        <v>0</v>
      </c>
    </row>
    <row r="78" spans="1:26" ht="2.25" customHeight="1">
      <c r="A78" s="824"/>
      <c r="B78" s="448"/>
      <c r="C78" s="47"/>
      <c r="D78" s="47"/>
      <c r="E78" s="405"/>
      <c r="F78" s="232"/>
      <c r="G78" s="47"/>
      <c r="H78" s="118"/>
      <c r="I78" s="118"/>
      <c r="J78" s="118"/>
      <c r="K78" s="118"/>
      <c r="L78" s="118"/>
      <c r="M78" s="118"/>
      <c r="N78" s="118"/>
      <c r="O78" s="118"/>
      <c r="P78" s="118"/>
      <c r="Q78" s="118"/>
      <c r="R78" s="118"/>
      <c r="S78" s="118"/>
      <c r="T78" s="118"/>
      <c r="U78" s="199"/>
      <c r="V78" s="824"/>
      <c r="W78" s="118"/>
      <c r="X78" s="118"/>
      <c r="Y78" s="118"/>
      <c r="Z78" s="118"/>
    </row>
    <row r="79" spans="1:26" ht="13.5" customHeight="1">
      <c r="A79" s="824"/>
      <c r="B79" s="448"/>
      <c r="C79" s="998" t="str">
        <f>IF(OR(ISBLANK(J76),ISBLANK(J77),ISBLANK(H77),ISBLANK('Start Page'!AB22)),"",IF(H76*INDEX(Sheet1!B2:D4,MATCH('Start Page'!AB22,Sheet1!A2:A4,0),MATCH(J76,Sheet1!B1:D1,0))/H77&gt;1,"","Retail costs are less than (or equal to) production costs; please review and correct if necessary"))</f>
        <v/>
      </c>
      <c r="D79" s="998"/>
      <c r="E79" s="998"/>
      <c r="F79" s="998"/>
      <c r="G79" s="998"/>
      <c r="H79" s="998"/>
      <c r="I79" s="998"/>
      <c r="J79" s="998"/>
      <c r="K79" s="998"/>
      <c r="L79" s="998"/>
      <c r="M79" s="998"/>
      <c r="N79" s="998"/>
      <c r="O79" s="998"/>
      <c r="P79" s="998"/>
      <c r="Q79" s="998"/>
      <c r="R79" s="118"/>
      <c r="S79" s="118"/>
      <c r="T79" s="118"/>
      <c r="U79" s="199"/>
      <c r="V79" s="824"/>
      <c r="W79" s="118">
        <f>IF(OR(ISBLANK(J76),ISBLANK(J77),ISBLANK(H77)),"",IF(H76*INDEX(Sheet1!B2:D4,MATCH('Start Page'!AB22,Sheet1!A2:A4,0),MATCH(J76,Sheet1!B1:D1,0))/H77&gt;1,0,1))</f>
        <v>0</v>
      </c>
      <c r="X79" s="118"/>
      <c r="Y79" s="118"/>
      <c r="Z79" s="118"/>
    </row>
    <row r="80" spans="1:26" ht="2.25" customHeight="1">
      <c r="A80" s="824"/>
      <c r="B80" s="448"/>
      <c r="C80" s="203"/>
      <c r="D80" s="203"/>
      <c r="E80" s="415"/>
      <c r="F80" s="204"/>
      <c r="G80" s="203"/>
      <c r="H80" s="858"/>
      <c r="I80" s="858"/>
      <c r="J80" s="858"/>
      <c r="K80" s="858"/>
      <c r="L80" s="858"/>
      <c r="M80" s="858"/>
      <c r="N80" s="858"/>
      <c r="O80" s="858"/>
      <c r="P80" s="858"/>
      <c r="Q80" s="858"/>
      <c r="R80" s="858"/>
      <c r="S80" s="118"/>
      <c r="T80" s="118"/>
      <c r="U80" s="199"/>
      <c r="V80" s="824"/>
      <c r="W80" s="118"/>
      <c r="X80" s="118"/>
      <c r="Y80" s="118"/>
      <c r="Z80" s="118"/>
    </row>
    <row r="81" spans="1:31" ht="6" customHeight="1">
      <c r="A81" s="824"/>
      <c r="B81" s="448"/>
      <c r="C81" s="233"/>
      <c r="D81" s="47"/>
      <c r="E81" s="405"/>
      <c r="F81" s="198"/>
      <c r="G81" s="47"/>
      <c r="H81" s="118"/>
      <c r="I81" s="118"/>
      <c r="J81" s="118"/>
      <c r="K81" s="118"/>
      <c r="L81" s="118"/>
      <c r="M81" s="118"/>
      <c r="N81" s="118"/>
      <c r="O81" s="118"/>
      <c r="P81" s="118"/>
      <c r="Q81" s="118"/>
      <c r="R81" s="118"/>
      <c r="S81" s="118"/>
      <c r="T81" s="118"/>
      <c r="U81" s="199"/>
      <c r="V81" s="824"/>
      <c r="W81" s="118"/>
      <c r="X81" s="118"/>
      <c r="Y81" s="118"/>
      <c r="Z81" s="118"/>
      <c r="AA81" s="118"/>
      <c r="AB81" s="206"/>
      <c r="AC81" s="206"/>
      <c r="AD81" s="206"/>
      <c r="AE81" s="206"/>
    </row>
    <row r="82" spans="1:31" s="48" customFormat="1" ht="21" customHeight="1">
      <c r="A82" s="80"/>
      <c r="B82" s="449"/>
      <c r="C82" s="541" t="s">
        <v>777</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01"/>
      <c r="E84" s="1001"/>
      <c r="F84" s="1001"/>
      <c r="G84" s="1001"/>
      <c r="H84" s="1001"/>
      <c r="I84" s="1001"/>
      <c r="J84" s="1001"/>
      <c r="K84" s="1001"/>
      <c r="L84" s="1001"/>
      <c r="M84" s="1001"/>
      <c r="N84" s="1001"/>
      <c r="O84" s="1001"/>
      <c r="P84" s="1001"/>
      <c r="Q84" s="1001"/>
      <c r="R84" s="1002"/>
      <c r="S84" s="703" t="s">
        <v>778</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9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99"/>
      <c r="E86" s="999"/>
      <c r="F86" s="999"/>
      <c r="G86" s="999"/>
      <c r="H86" s="999"/>
      <c r="I86" s="999"/>
      <c r="J86" s="999"/>
      <c r="K86" s="999"/>
      <c r="L86" s="999"/>
      <c r="M86" s="999"/>
      <c r="N86" s="999"/>
      <c r="O86" s="999"/>
      <c r="P86" s="999"/>
      <c r="Q86" s="999"/>
      <c r="R86" s="999"/>
      <c r="S86" s="241"/>
      <c r="T86" s="241"/>
      <c r="U86" s="240"/>
      <c r="V86" s="81"/>
      <c r="W86" s="55"/>
    </row>
    <row r="87" spans="1:31" s="46" customFormat="1" ht="21.75" customHeight="1">
      <c r="A87" s="82"/>
      <c r="B87" s="449"/>
      <c r="C87" s="498" t="s">
        <v>779</v>
      </c>
      <c r="D87" s="741"/>
      <c r="E87" s="741"/>
      <c r="F87" s="470"/>
      <c r="G87" s="470"/>
      <c r="H87" s="470"/>
      <c r="I87" s="470"/>
      <c r="J87" s="470"/>
      <c r="K87" s="470"/>
      <c r="L87" s="498" t="s">
        <v>780</v>
      </c>
      <c r="N87" s="470"/>
      <c r="O87" s="118"/>
      <c r="P87" s="456"/>
      <c r="Q87" s="456"/>
      <c r="R87" s="456"/>
      <c r="S87" s="245"/>
      <c r="T87" s="245"/>
      <c r="U87" s="240"/>
      <c r="V87" s="82"/>
      <c r="AB87" s="49"/>
      <c r="AC87" s="49"/>
      <c r="AD87" s="49"/>
      <c r="AE87" s="49"/>
    </row>
    <row r="88" spans="1:31" s="46" customFormat="1" ht="19.5" customHeight="1">
      <c r="A88" s="82"/>
      <c r="B88" s="449"/>
      <c r="C88" s="716" t="s">
        <v>781</v>
      </c>
      <c r="D88" s="246"/>
      <c r="E88" s="246"/>
      <c r="F88" s="246"/>
      <c r="G88" s="246"/>
      <c r="H88" s="246"/>
      <c r="I88" s="246"/>
      <c r="J88" s="246"/>
      <c r="K88" s="246"/>
      <c r="L88" s="716" t="s">
        <v>782</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Volume from Own Sources (VOS)</v>
      </c>
      <c r="D89" s="247"/>
      <c r="E89" s="418"/>
      <c r="F89" s="248"/>
      <c r="G89" s="247"/>
      <c r="R89" s="721" t="s">
        <v>783</v>
      </c>
      <c r="S89" s="719"/>
      <c r="T89" s="722"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Unauthorized Consumption (UC)</v>
      </c>
      <c r="D90" s="247"/>
      <c r="E90" s="418"/>
      <c r="F90" s="248"/>
      <c r="G90" s="247"/>
      <c r="R90" s="721" t="s">
        <v>784</v>
      </c>
      <c r="S90" s="719"/>
      <c r="T90" s="723"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Systematic Data Handling Errors (SDHE)</v>
      </c>
      <c r="D91" s="247"/>
      <c r="E91" s="418"/>
      <c r="F91" s="248"/>
      <c r="G91" s="247"/>
      <c r="R91" s="721" t="s">
        <v>785</v>
      </c>
      <c r="S91" s="719"/>
      <c r="T91" s="722" t="str">
        <f>Dashboard!AX29</f>
        <v>gal/conn/day</v>
      </c>
      <c r="U91" s="240"/>
      <c r="V91" s="82"/>
      <c r="AB91" s="49"/>
      <c r="AC91" s="49"/>
      <c r="AD91" s="49"/>
      <c r="AE91" s="49"/>
    </row>
    <row r="92" spans="1:31" s="46" customFormat="1" ht="15" customHeight="1">
      <c r="A92" s="82"/>
      <c r="B92" s="449"/>
      <c r="C92" s="234"/>
      <c r="D92" s="247"/>
      <c r="E92" s="418"/>
      <c r="F92" s="248"/>
      <c r="G92" s="247"/>
      <c r="R92" s="721" t="s">
        <v>786</v>
      </c>
      <c r="S92" s="720"/>
      <c r="T92" s="722" t="str">
        <f>Dashboard!AV41</f>
        <v>gal/mile/day</v>
      </c>
      <c r="U92" s="240"/>
      <c r="V92" s="82"/>
      <c r="AB92" s="49"/>
      <c r="AC92" s="49"/>
      <c r="AD92" s="49"/>
      <c r="AE92" s="49"/>
    </row>
    <row r="93" spans="1:31" s="46" customFormat="1" ht="15" customHeight="1">
      <c r="A93" s="82"/>
      <c r="B93" s="449"/>
      <c r="C93" s="234"/>
      <c r="D93" s="247"/>
      <c r="E93" s="418"/>
      <c r="F93" s="248"/>
      <c r="G93" s="247"/>
      <c r="M93" s="46" t="s">
        <v>787</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0"/>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47"/>
      <c r="G99" s="118"/>
      <c r="H99" s="862"/>
      <c r="I99" s="862"/>
      <c r="J99" s="862"/>
      <c r="K99" s="862"/>
      <c r="L99" s="862"/>
      <c r="M99" s="862"/>
      <c r="N99" s="862"/>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66" activePane="bottomLeft" state="frozen"/>
      <selection activeCell="B15" sqref="B15:F17"/>
      <selection pane="bottomLeft" activeCell="D468" sqref="D468"/>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29" customWidth="1"/>
    <col min="6" max="6" width="1.85546875" style="162" hidden="1" customWidth="1"/>
    <col min="7" max="7" width="4.42578125" style="668" hidden="1" customWidth="1"/>
    <col min="8" max="8" width="10.42578125" style="668" hidden="1" customWidth="1"/>
    <col min="9" max="9" width="12.140625" style="669" hidden="1" customWidth="1"/>
    <col min="10" max="10" width="18.140625" style="668" hidden="1" customWidth="1"/>
    <col min="11" max="18" width="8.85546875" style="668" hidden="1" customWidth="1"/>
    <col min="19" max="19" width="4.5703125" style="162" hidden="1" customWidth="1"/>
    <col min="20" max="26" width="8.85546875" style="162" hidden="1" customWidth="1"/>
    <col min="27" max="16384" width="8.85546875" style="162"/>
  </cols>
  <sheetData>
    <row r="1" spans="1:20" ht="15" customHeight="1">
      <c r="A1" s="494"/>
      <c r="B1" s="764" t="str">
        <f>IF(ISBLANK('Start Page'!AB9),"Enter info on Start Page",'Start Page'!AB9&amp;IF(ISBLANK('Start Page'!AM28),"","  ("&amp;'Start Page'!AM28&amp;")"))</f>
        <v>Pennsylvania American Water</v>
      </c>
      <c r="C1" s="494"/>
      <c r="D1" s="495"/>
      <c r="E1" s="749" t="s">
        <v>788</v>
      </c>
    </row>
    <row r="2" spans="1:20" ht="30.6" customHeight="1">
      <c r="A2" s="367"/>
      <c r="B2" s="748">
        <f>IF(ISBLANK('Start Page'!AB18),"",'Start Page'!AB18)</f>
        <v>2023</v>
      </c>
      <c r="C2" s="367"/>
      <c r="D2" s="367"/>
      <c r="E2" s="1040" t="s">
        <v>789</v>
      </c>
    </row>
    <row r="3" spans="1:20" ht="38.25" customHeight="1">
      <c r="A3" s="367"/>
      <c r="B3" s="705"/>
      <c r="C3" s="367"/>
      <c r="D3" s="367"/>
      <c r="E3" s="1041"/>
    </row>
    <row r="4" spans="1:20" ht="1.35" customHeight="1"/>
    <row r="5" spans="1:20" s="368" customFormat="1" ht="16.350000000000001" customHeight="1">
      <c r="A5" s="1034" t="s">
        <v>790</v>
      </c>
      <c r="B5" s="1035"/>
      <c r="C5" s="1036" t="s">
        <v>791</v>
      </c>
      <c r="D5" s="1036"/>
      <c r="E5" s="749" t="s">
        <v>792</v>
      </c>
      <c r="G5" s="670"/>
      <c r="H5" s="670"/>
      <c r="I5" s="671"/>
      <c r="J5" s="670"/>
      <c r="K5" s="670"/>
      <c r="L5" s="670"/>
      <c r="M5" s="670"/>
      <c r="N5" s="670"/>
      <c r="O5" s="670"/>
      <c r="P5" s="670"/>
      <c r="Q5" s="670"/>
      <c r="R5" s="670"/>
    </row>
    <row r="6" spans="1:20" ht="14.45" customHeight="1">
      <c r="A6" s="163"/>
      <c r="B6" s="163"/>
      <c r="C6" s="1037" t="str">
        <f>IF(OR(AND(D8="Yes",Worksheet!H15&gt;0),AND(D8="No",Worksheet!H15&lt;=0),LEN(D8)=0),"","Inconsistency between Worksheet VOS input and vos.0 response")</f>
        <v/>
      </c>
      <c r="D6" s="1037"/>
      <c r="E6" s="628"/>
      <c r="F6" s="258"/>
      <c r="H6" s="672"/>
      <c r="I6" s="672"/>
      <c r="P6" s="684" t="s">
        <v>793</v>
      </c>
      <c r="T6" s="162" t="s">
        <v>794</v>
      </c>
    </row>
    <row r="7" spans="1:20" s="462" customFormat="1" ht="12">
      <c r="A7" s="458"/>
      <c r="B7" s="459" t="s">
        <v>795</v>
      </c>
      <c r="C7" s="460" t="s">
        <v>796</v>
      </c>
      <c r="D7" s="460" t="s">
        <v>797</v>
      </c>
      <c r="E7" s="627"/>
      <c r="F7" s="461"/>
      <c r="G7" s="673"/>
      <c r="H7" s="674" t="s">
        <v>798</v>
      </c>
      <c r="I7" s="674" t="s">
        <v>799</v>
      </c>
      <c r="J7" s="673" t="s">
        <v>800</v>
      </c>
      <c r="K7" s="673"/>
      <c r="L7" s="673"/>
      <c r="M7" s="673"/>
      <c r="N7" s="673"/>
      <c r="O7" s="673"/>
      <c r="P7" s="692" t="str">
        <f>VOS!C23</f>
        <v>&lt;25%</v>
      </c>
      <c r="Q7" s="693">
        <v>0</v>
      </c>
      <c r="R7" s="673">
        <f>VLOOKUP(D9,$P$7:$Q$15,2,FALSE)</f>
        <v>1</v>
      </c>
      <c r="S7" s="462" t="s">
        <v>517</v>
      </c>
      <c r="T7" s="462">
        <v>1</v>
      </c>
    </row>
    <row r="8" spans="1:20" ht="20.100000000000001" customHeight="1">
      <c r="A8" s="163"/>
      <c r="B8" s="441" t="s">
        <v>801</v>
      </c>
      <c r="C8" s="742" t="str">
        <f>VOS!B34</f>
        <v>Did the water utility supply any water from its own sources during the audit year?</v>
      </c>
      <c r="D8" s="264" t="s">
        <v>62</v>
      </c>
      <c r="E8" s="627"/>
      <c r="F8" s="258"/>
      <c r="I8" s="675"/>
      <c r="J8" s="668" t="s">
        <v>802</v>
      </c>
      <c r="P8" s="694" t="str">
        <f>VOS!C24</f>
        <v>25-50%</v>
      </c>
      <c r="Q8" s="695">
        <v>0</v>
      </c>
      <c r="R8" s="668">
        <f>VLOOKUP(D63,$P$7:$Q$15,2,FALSE)</f>
        <v>1</v>
      </c>
      <c r="S8" s="162" t="s">
        <v>524</v>
      </c>
      <c r="T8" s="162">
        <v>2</v>
      </c>
    </row>
    <row r="9" spans="1:20" ht="17.850000000000001" customHeight="1">
      <c r="A9" s="163"/>
      <c r="B9" s="441" t="s">
        <v>6</v>
      </c>
      <c r="C9" s="742" t="str">
        <f>VOS!B35</f>
        <v>What percent of own supply volume is metered?</v>
      </c>
      <c r="D9" s="264" t="s">
        <v>59</v>
      </c>
      <c r="E9" s="627" t="str">
        <f>IF(OR(D20=10,NOT(ISNUMBER(D20))),"",IF(I9=I20,"Limiting",IF(VLOOKUP(D9,$P$7:$Q$15,2,FALSE)=0,"Limiting","")))</f>
        <v/>
      </c>
      <c r="F9" s="258"/>
      <c r="G9" s="668">
        <f>IF(LEN(D9)&gt;0,1,0)</f>
        <v>1</v>
      </c>
      <c r="H9" s="676">
        <f>VLOOKUP('Interactive Data Grading'!D9,VOS!$C$6:$M$16,11,FALSE)</f>
        <v>10</v>
      </c>
      <c r="I9" s="676">
        <f>H9</f>
        <v>10</v>
      </c>
      <c r="P9" s="694" t="str">
        <f>VOS!C25</f>
        <v>&gt;50-75%</v>
      </c>
      <c r="Q9" s="695">
        <v>0</v>
      </c>
      <c r="R9" s="668">
        <f>VLOOKUP(D116,$P$7:$Q$15,2,FALSE)</f>
        <v>1</v>
      </c>
      <c r="S9" s="162" t="s">
        <v>533</v>
      </c>
      <c r="T9" s="162">
        <v>3</v>
      </c>
    </row>
    <row r="10" spans="1:20" ht="64.150000000000006" customHeight="1">
      <c r="A10" s="163"/>
      <c r="C10" s="1045" t="s">
        <v>803</v>
      </c>
      <c r="D10" s="1046"/>
      <c r="E10" s="627"/>
      <c r="F10" s="258"/>
      <c r="H10" s="676"/>
      <c r="I10" s="676"/>
      <c r="P10" s="694"/>
      <c r="Q10" s="695"/>
      <c r="T10" s="162">
        <v>4</v>
      </c>
    </row>
    <row r="11" spans="1:20" ht="20.100000000000001" customHeight="1">
      <c r="A11" s="163"/>
      <c r="B11" s="441" t="s">
        <v>7</v>
      </c>
      <c r="C11" s="742" t="str">
        <f>VOS!B36</f>
        <v>What is the frequency of electronic calibration?</v>
      </c>
      <c r="D11" s="264" t="s">
        <v>52</v>
      </c>
      <c r="E11" s="627" t="str">
        <f>IFERROR(IF(OR(D20=10,NOT(ISNUMBER(D20))),"",IF(I11=I20,"Limiting","")),"")</f>
        <v>Limiting</v>
      </c>
      <c r="F11" s="258"/>
      <c r="G11" s="668">
        <f>IFERROR(IF(H9&lt;7,1,IF(LEN(D11)&gt;0,1,0)),"")</f>
        <v>1</v>
      </c>
      <c r="H11" s="676">
        <f>VLOOKUP('Interactive Data Grading'!D11,VOS!$D$6:$M$16,10,FALSE)</f>
        <v>7</v>
      </c>
      <c r="I11" s="677">
        <f>IF(AND(H11&gt;=7,H14&gt;=7),MAX(H11,9),IF(AND(H11&gt;3,H11&lt;7,H14&gt;3,H14&lt;7),MAX(H11,H14),IF(H14&gt;=7,MAX(7,H11),H11)))</f>
        <v>9</v>
      </c>
      <c r="P11" s="694" t="str">
        <f>VOS!C26</f>
        <v>&gt;75% - 90%</v>
      </c>
      <c r="Q11" s="695">
        <v>0</v>
      </c>
    </row>
    <row r="12" spans="1:20" ht="22.5" customHeight="1">
      <c r="A12" s="163"/>
      <c r="B12" s="441" t="s">
        <v>8</v>
      </c>
      <c r="C12" s="742" t="str">
        <f>VOS!B37</f>
        <v>What level of data transfer errors are checked as part of the electronic calibration process?</v>
      </c>
      <c r="D12" s="264" t="s">
        <v>61</v>
      </c>
      <c r="E12" s="627" t="str">
        <f t="shared" ref="E12:E13" si="0">IFERROR(IF(OR($D$20=10,NOT(ISNUMBER($D$20))),"",IF(I12=$I$20,"Limiting","")),"")</f>
        <v/>
      </c>
      <c r="F12" s="258"/>
      <c r="G12" s="668">
        <f>IFERROR(IF(H9&lt;7,1,IF(OR(D11=VOS!D23,D11=VOS!D27),1,IF(LEN(D12)&gt;0,1,0))),"")</f>
        <v>1</v>
      </c>
      <c r="H12" s="676">
        <f>VLOOKUP('Interactive Data Grading'!D12,VOS!$E$6:$M$16,9,FALSE)</f>
        <v>10</v>
      </c>
      <c r="I12" s="676">
        <f>H12</f>
        <v>10</v>
      </c>
      <c r="J12" s="668" t="s">
        <v>7</v>
      </c>
      <c r="P12" s="694"/>
      <c r="Q12" s="695"/>
    </row>
    <row r="13" spans="1:20" ht="20.100000000000001" customHeight="1">
      <c r="A13" s="163"/>
      <c r="B13" s="441" t="s">
        <v>9</v>
      </c>
      <c r="C13" s="742" t="str">
        <f>VOS!B38</f>
        <v>Is the most recent electronic calibration documentation available for review?</v>
      </c>
      <c r="D13" s="264" t="s">
        <v>62</v>
      </c>
      <c r="E13" s="627" t="str">
        <f t="shared" si="0"/>
        <v/>
      </c>
      <c r="F13" s="258"/>
      <c r="G13" s="678">
        <f>IFERROR(IF(H9&lt;7,1,IF(OR(D11=VOS!D23,D11=VOS!D27),1,IF(LEN(D13)&gt;0,1,0))),"")</f>
        <v>1</v>
      </c>
      <c r="H13" s="676">
        <f>VLOOKUP('Interactive Data Grading'!D13,VOS!$F$6:$M$16,8,FALSE)</f>
        <v>10</v>
      </c>
      <c r="I13" s="677">
        <f>IF(D11=VOS!D23,X,IF(AND(H13=5,H15=10),7,H13))</f>
        <v>10</v>
      </c>
      <c r="J13" s="668" t="s">
        <v>7</v>
      </c>
      <c r="P13" s="773" t="str">
        <f>VOS!C27</f>
        <v>&gt;90% - 95%</v>
      </c>
      <c r="Q13" s="774">
        <v>1</v>
      </c>
    </row>
    <row r="14" spans="1:20" ht="20.25" customHeight="1">
      <c r="A14" s="163"/>
      <c r="B14" s="441" t="s">
        <v>10</v>
      </c>
      <c r="C14" s="742" t="str">
        <f>VOS!B39</f>
        <v>What is the frequency of in-situ flow accuracy testing?</v>
      </c>
      <c r="D14" s="264" t="s">
        <v>60</v>
      </c>
      <c r="E14" s="627" t="str">
        <f t="shared" ref="E14:E19" si="1">IFERROR(IF(OR($D$20=10,NOT(ISNUMBER($D$20))),"",IF(I14=$I$20,"Limiting","")),"")</f>
        <v/>
      </c>
      <c r="F14" s="258"/>
      <c r="G14" s="668">
        <f>IF(D13=VOS!F23,1,IFERROR(IF(H9&lt;7,1,IF(LEN(D14)&gt;0,1,0)),""))</f>
        <v>1</v>
      </c>
      <c r="H14" s="676">
        <f>VLOOKUP('Interactive Data Grading'!D14,VOS!$G$6:$M$16,7,FALSE)</f>
        <v>10</v>
      </c>
      <c r="I14" s="677">
        <f>IF(AND(H11&gt;=7,H14&gt;=7),MAX(H14,9),IF(AND(H11&gt;3,H11&lt;7,H14&gt;3,H14&lt;7),MAX(H11,H14),IF(H11&gt;=7,MAX(7,H14),H14)))</f>
        <v>10</v>
      </c>
      <c r="P14" s="773" t="str">
        <f>VOS!C28</f>
        <v>&gt;95 - 99%</v>
      </c>
      <c r="Q14" s="774">
        <v>1</v>
      </c>
    </row>
    <row r="15" spans="1:20" ht="26.1" customHeight="1">
      <c r="A15" s="163"/>
      <c r="B15" s="441" t="s">
        <v>11</v>
      </c>
      <c r="C15" s="742" t="str">
        <f>VOS!B40</f>
        <v>Is the most recent in-situ flow accuracy testing documentation available for review?</v>
      </c>
      <c r="D15" s="264" t="s">
        <v>62</v>
      </c>
      <c r="E15" s="627" t="str">
        <f t="shared" si="1"/>
        <v/>
      </c>
      <c r="F15" s="258"/>
      <c r="G15" s="668">
        <f>IFERROR(IF(H9&lt;7,1,IF(D14=VOS!G23,1,IF(LEN(D15)&gt;0,1,0))),"")</f>
        <v>1</v>
      </c>
      <c r="H15" s="676">
        <f>VLOOKUP('Interactive Data Grading'!D15,VOS!$H$6:$M$16,6,FALSE)</f>
        <v>10</v>
      </c>
      <c r="I15" s="677">
        <f>IF(D14=VOS!G23,X,IF(AND(H15=5,H13=10),7,H15))</f>
        <v>10</v>
      </c>
      <c r="J15" s="668" t="s">
        <v>9</v>
      </c>
      <c r="P15" s="775" t="s">
        <v>59</v>
      </c>
      <c r="Q15" s="776">
        <v>1</v>
      </c>
    </row>
    <row r="16" spans="1:20" ht="23.85" customHeight="1">
      <c r="A16" s="163"/>
      <c r="B16" s="441" t="s">
        <v>12</v>
      </c>
      <c r="C16" s="742" t="str">
        <f>VOS!B41</f>
        <v>What are the total volume-weighted average results of in-situ flow accuracy testing (during or closest to audit year)?</v>
      </c>
      <c r="D16" s="264" t="s">
        <v>57</v>
      </c>
      <c r="E16" s="627" t="str">
        <f t="shared" si="1"/>
        <v>Limiting</v>
      </c>
      <c r="F16" s="258"/>
      <c r="G16" s="668">
        <f>IFERROR(IF(H9&lt;7,1,IF(OR(D14=VOS!D23,D15=VOS!H23),1,IF(LEN(D16)&gt;0,1,0))),"")</f>
        <v>1</v>
      </c>
      <c r="H16" s="676">
        <f>VLOOKUP('Interactive Data Grading'!D16,VOS!$I$6:$M$16,5,FALSE)</f>
        <v>9</v>
      </c>
      <c r="I16" s="677">
        <f>IF(OR(D14=VOS!D23,D15=VOS!H23),X,H16)</f>
        <v>9</v>
      </c>
      <c r="J16" s="668" t="s">
        <v>804</v>
      </c>
    </row>
    <row r="17" spans="1:18" ht="32.85" customHeight="1">
      <c r="A17" s="163"/>
      <c r="B17" s="441" t="s">
        <v>13</v>
      </c>
      <c r="C17" s="742" t="str">
        <f>VOS!B42</f>
        <v>Have testing and calibration procedures been closely scrutinized for compliance with procedures described in the AWWA M36 and/or M33 Manual(s)?</v>
      </c>
      <c r="D17" s="264" t="s">
        <v>62</v>
      </c>
      <c r="E17" s="627" t="str">
        <f t="shared" si="1"/>
        <v/>
      </c>
      <c r="F17" s="258"/>
      <c r="G17" s="668">
        <f>IFERROR(IF(H9&lt;7,1,IF(AND(OR(D11=VOS!D23,D11=VOS!D27),D14=VOS!G23),1,IF(LEN(D17)&gt;0,1,0))),"")</f>
        <v>1</v>
      </c>
      <c r="H17" s="676">
        <f>VLOOKUP('Interactive Data Grading'!D17,VOS!$J$6:$M$16,4,FALSE)</f>
        <v>10</v>
      </c>
      <c r="I17" s="677">
        <f>IF(OR(D14=VOS!D23,D15=VOS!H23),X,H17)</f>
        <v>10</v>
      </c>
      <c r="J17" s="678" t="s">
        <v>805</v>
      </c>
    </row>
    <row r="18" spans="1:18" ht="22.35" customHeight="1">
      <c r="A18" s="163"/>
      <c r="B18" s="441" t="s">
        <v>14</v>
      </c>
      <c r="C18" s="742" t="str">
        <f>VOS!B43</f>
        <v>Which best describes the frequency of finished water meter readings?</v>
      </c>
      <c r="D18" s="264" t="s">
        <v>64</v>
      </c>
      <c r="E18" s="627" t="str">
        <f t="shared" si="1"/>
        <v/>
      </c>
      <c r="F18" s="258"/>
      <c r="G18" s="668">
        <f>IFERROR(IF(H9&lt;7,1,IF(LEN(D18)&gt;0,1,0)),"")</f>
        <v>1</v>
      </c>
      <c r="H18" s="676">
        <f>VLOOKUP('Interactive Data Grading'!D18,VOS!$K$6:$M$16,3,FALSE)</f>
        <v>10</v>
      </c>
      <c r="I18" s="676">
        <f>H18</f>
        <v>10</v>
      </c>
    </row>
    <row r="19" spans="1:18" ht="37.35" customHeight="1">
      <c r="A19" s="163"/>
      <c r="B19" s="441" t="s">
        <v>15</v>
      </c>
      <c r="C19" s="742" t="str">
        <f>VOS!B44</f>
        <v>Which best describes the frequency of data review for anomalies/errors? These can include numbers that are outside of typical patterns, and zero or 'null' values that may reflect a gap in data recording.</v>
      </c>
      <c r="D19" s="264" t="s">
        <v>58</v>
      </c>
      <c r="E19" s="627" t="str">
        <f t="shared" si="1"/>
        <v/>
      </c>
      <c r="F19" s="258"/>
      <c r="G19" s="668">
        <f>IFERROR(IF(H9&lt;7,1,IF(LEN(D19)&gt;0,1,0)),"")</f>
        <v>1</v>
      </c>
      <c r="H19" s="676">
        <f>VLOOKUP('Interactive Data Grading'!D19,VOS!$L$6:$M$16,2,FALSE)</f>
        <v>10</v>
      </c>
      <c r="I19" s="676">
        <f>H19</f>
        <v>10</v>
      </c>
    </row>
    <row r="20" spans="1:18" ht="27.6" customHeight="1">
      <c r="A20" s="163"/>
      <c r="B20" s="163"/>
      <c r="C20" s="457" t="s">
        <v>806</v>
      </c>
      <c r="D20" s="630">
        <f>IF(D8="","",IF(D8="No","n/a",IF(G20=0,"",IF(R7=0,H9,I20))))</f>
        <v>9</v>
      </c>
      <c r="E20" s="627"/>
      <c r="F20" s="258"/>
      <c r="G20" s="669">
        <f>MIN(G9:G19)</f>
        <v>1</v>
      </c>
      <c r="H20" s="679">
        <f>MIN(H9:H19)</f>
        <v>7</v>
      </c>
      <c r="I20" s="679">
        <f t="array" ref="I20">MIN(IF(ISNUMBER(I9:I19),I9:I19))</f>
        <v>9</v>
      </c>
      <c r="J20" s="669" t="s">
        <v>807</v>
      </c>
    </row>
    <row r="21" spans="1:18" s="369" customFormat="1" ht="16.350000000000001" customHeight="1">
      <c r="C21" s="454"/>
      <c r="D21" s="454"/>
      <c r="E21" s="706"/>
      <c r="G21" s="680"/>
      <c r="H21" s="680"/>
      <c r="I21" s="681"/>
      <c r="J21" s="680"/>
      <c r="K21" s="680"/>
      <c r="L21" s="680"/>
      <c r="M21" s="680"/>
      <c r="N21" s="680"/>
      <c r="O21" s="680"/>
      <c r="P21" s="680"/>
      <c r="Q21" s="680"/>
      <c r="R21" s="680"/>
    </row>
    <row r="22" spans="1:18" s="369" customFormat="1" ht="16.350000000000001" customHeight="1">
      <c r="C22" s="454"/>
      <c r="D22" s="454"/>
      <c r="E22" s="706"/>
      <c r="G22" s="680"/>
      <c r="H22" s="680"/>
      <c r="I22" s="681"/>
      <c r="J22" s="680"/>
      <c r="K22" s="680"/>
      <c r="L22" s="680"/>
      <c r="M22" s="680"/>
      <c r="N22" s="680"/>
      <c r="O22" s="680"/>
      <c r="P22" s="680"/>
      <c r="Q22" s="680"/>
      <c r="R22" s="680"/>
    </row>
    <row r="23" spans="1:18" s="369" customFormat="1" ht="7.9" customHeight="1">
      <c r="C23" s="454"/>
      <c r="D23" s="454"/>
      <c r="E23" s="706"/>
      <c r="G23" s="680"/>
      <c r="H23" s="680"/>
      <c r="I23" s="681"/>
      <c r="J23" s="680"/>
      <c r="K23" s="680"/>
      <c r="L23" s="680"/>
      <c r="M23" s="680"/>
      <c r="N23" s="680"/>
      <c r="O23" s="680"/>
      <c r="P23" s="680"/>
      <c r="Q23" s="680"/>
      <c r="R23" s="680"/>
    </row>
    <row r="24" spans="1:18" s="369" customFormat="1" ht="8.4499999999999993" customHeight="1">
      <c r="C24" s="454"/>
      <c r="D24" s="454"/>
      <c r="E24" s="706"/>
      <c r="G24" s="680"/>
      <c r="H24" s="680"/>
      <c r="I24" s="681"/>
      <c r="J24" s="680"/>
      <c r="K24" s="680"/>
      <c r="L24" s="680"/>
      <c r="M24" s="680"/>
      <c r="N24" s="680"/>
      <c r="O24" s="680"/>
      <c r="P24" s="680"/>
      <c r="Q24" s="680"/>
      <c r="R24" s="680"/>
    </row>
    <row r="25" spans="1:18" s="369" customFormat="1" ht="7.35" customHeight="1">
      <c r="C25" s="454"/>
      <c r="D25" s="454"/>
      <c r="E25" s="706"/>
      <c r="G25" s="680"/>
      <c r="H25" s="680"/>
      <c r="I25" s="681"/>
      <c r="J25" s="680"/>
      <c r="K25" s="680"/>
      <c r="L25" s="680"/>
      <c r="M25" s="680"/>
      <c r="N25" s="680"/>
      <c r="O25" s="680"/>
      <c r="P25" s="680"/>
      <c r="Q25" s="680"/>
      <c r="R25" s="680"/>
    </row>
    <row r="26" spans="1:18" s="369" customFormat="1" ht="7.9" customHeight="1">
      <c r="C26" s="454"/>
      <c r="D26" s="454"/>
      <c r="E26" s="706"/>
      <c r="G26" s="680"/>
      <c r="H26" s="680"/>
      <c r="I26" s="681"/>
      <c r="J26" s="680"/>
      <c r="K26" s="680"/>
      <c r="L26" s="680"/>
      <c r="M26" s="680"/>
      <c r="N26" s="680"/>
      <c r="O26" s="680"/>
      <c r="P26" s="680"/>
      <c r="Q26" s="680"/>
      <c r="R26" s="680"/>
    </row>
    <row r="27" spans="1:18" s="369" customFormat="1" ht="7.9" customHeight="1">
      <c r="C27" s="454"/>
      <c r="D27" s="454"/>
      <c r="E27" s="706"/>
      <c r="G27" s="680"/>
      <c r="H27" s="680"/>
      <c r="I27" s="681"/>
      <c r="J27" s="680"/>
      <c r="K27" s="680"/>
      <c r="L27" s="680"/>
      <c r="M27" s="680"/>
      <c r="N27" s="680"/>
      <c r="O27" s="680"/>
      <c r="P27" s="680"/>
      <c r="Q27" s="680"/>
      <c r="R27" s="680"/>
    </row>
    <row r="28" spans="1:18" s="369" customFormat="1" ht="7.9" customHeight="1">
      <c r="C28" s="454"/>
      <c r="D28" s="454"/>
      <c r="E28" s="706"/>
      <c r="G28" s="680"/>
      <c r="H28" s="680"/>
      <c r="I28" s="681"/>
      <c r="J28" s="680"/>
      <c r="K28" s="680"/>
      <c r="L28" s="680"/>
      <c r="M28" s="680"/>
      <c r="N28" s="680"/>
      <c r="O28" s="680"/>
      <c r="P28" s="680"/>
      <c r="Q28" s="680"/>
      <c r="R28" s="680"/>
    </row>
    <row r="29" spans="1:18" s="369" customFormat="1" ht="7.9" customHeight="1">
      <c r="C29" s="454"/>
      <c r="D29" s="454"/>
      <c r="E29" s="706"/>
      <c r="G29" s="680"/>
      <c r="H29" s="680"/>
      <c r="I29" s="681"/>
      <c r="J29" s="680"/>
      <c r="K29" s="680"/>
      <c r="L29" s="680"/>
      <c r="M29" s="680"/>
      <c r="N29" s="680"/>
      <c r="O29" s="680"/>
      <c r="P29" s="680"/>
      <c r="Q29" s="680"/>
      <c r="R29" s="680"/>
    </row>
    <row r="30" spans="1:18" s="369" customFormat="1" ht="7.9" customHeight="1">
      <c r="C30" s="454"/>
      <c r="D30" s="454"/>
      <c r="E30" s="706"/>
      <c r="G30" s="680"/>
      <c r="H30" s="680"/>
      <c r="I30" s="681"/>
      <c r="J30" s="680"/>
      <c r="K30" s="680"/>
      <c r="L30" s="680"/>
      <c r="M30" s="680"/>
      <c r="N30" s="680"/>
      <c r="O30" s="680"/>
      <c r="P30" s="680"/>
      <c r="Q30" s="680"/>
      <c r="R30" s="680"/>
    </row>
    <row r="31" spans="1:18" s="369" customFormat="1" ht="7.9" customHeight="1">
      <c r="C31" s="454"/>
      <c r="D31" s="454"/>
      <c r="E31" s="706"/>
      <c r="G31" s="680"/>
      <c r="H31" s="680"/>
      <c r="I31" s="681"/>
      <c r="J31" s="680"/>
      <c r="K31" s="680"/>
      <c r="L31" s="680"/>
      <c r="M31" s="680"/>
      <c r="N31" s="680"/>
      <c r="O31" s="680"/>
      <c r="P31" s="680"/>
      <c r="Q31" s="680"/>
      <c r="R31" s="680"/>
    </row>
    <row r="32" spans="1:18" s="369" customFormat="1" ht="8.4499999999999993" customHeight="1">
      <c r="C32" s="454"/>
      <c r="D32" s="454"/>
      <c r="E32" s="706"/>
      <c r="G32" s="680"/>
      <c r="H32" s="680"/>
      <c r="I32" s="681"/>
      <c r="J32" s="680"/>
      <c r="K32" s="680"/>
      <c r="L32" s="680"/>
      <c r="M32" s="680"/>
      <c r="N32" s="680"/>
      <c r="O32" s="680"/>
      <c r="P32" s="680"/>
      <c r="Q32" s="680"/>
      <c r="R32" s="680"/>
    </row>
    <row r="33" spans="1:18" s="369" customFormat="1" ht="8.4499999999999993" customHeight="1">
      <c r="C33" s="454"/>
      <c r="D33" s="454"/>
      <c r="E33" s="706"/>
      <c r="G33" s="680"/>
      <c r="H33" s="680"/>
      <c r="I33" s="681"/>
      <c r="J33" s="680"/>
      <c r="K33" s="680"/>
      <c r="L33" s="680"/>
      <c r="M33" s="680"/>
      <c r="N33" s="680"/>
      <c r="O33" s="680"/>
      <c r="P33" s="680"/>
      <c r="Q33" s="680"/>
      <c r="R33" s="680"/>
    </row>
    <row r="34" spans="1:18" s="369" customFormat="1" ht="8.4499999999999993" customHeight="1">
      <c r="C34" s="454"/>
      <c r="D34" s="454"/>
      <c r="E34" s="706"/>
      <c r="G34" s="680"/>
      <c r="H34" s="680"/>
      <c r="I34" s="681"/>
      <c r="J34" s="680"/>
      <c r="K34" s="680"/>
      <c r="L34" s="680"/>
      <c r="M34" s="680"/>
      <c r="N34" s="680"/>
      <c r="O34" s="680"/>
      <c r="P34" s="680"/>
      <c r="Q34" s="680"/>
      <c r="R34" s="680"/>
    </row>
    <row r="35" spans="1:18" s="369" customFormat="1" ht="16.350000000000001" customHeight="1">
      <c r="C35" s="454"/>
      <c r="D35" s="454"/>
      <c r="E35" s="706"/>
      <c r="G35" s="680"/>
      <c r="H35" s="680"/>
      <c r="I35" s="681"/>
      <c r="J35" s="680"/>
      <c r="K35" s="680"/>
      <c r="L35" s="680"/>
      <c r="M35" s="680"/>
      <c r="N35" s="680"/>
      <c r="O35" s="680"/>
      <c r="P35" s="680"/>
      <c r="Q35" s="680"/>
      <c r="R35" s="680"/>
    </row>
    <row r="36" spans="1:18" s="369" customFormat="1" ht="16.350000000000001" customHeight="1">
      <c r="A36" s="1034" t="s">
        <v>790</v>
      </c>
      <c r="B36" s="1035"/>
      <c r="C36" s="1036" t="s">
        <v>808</v>
      </c>
      <c r="D36" s="1036"/>
      <c r="E36" s="749" t="s">
        <v>792</v>
      </c>
      <c r="G36" s="680"/>
      <c r="H36" s="680" t="s">
        <v>809</v>
      </c>
      <c r="I36" s="681"/>
      <c r="J36" s="680"/>
      <c r="K36" s="680"/>
      <c r="L36" s="680"/>
      <c r="M36" s="680"/>
      <c r="N36" s="680"/>
      <c r="O36" s="680"/>
      <c r="P36" s="680"/>
      <c r="Q36" s="680"/>
      <c r="R36" s="680"/>
    </row>
    <row r="37" spans="1:18" ht="9.75" customHeight="1">
      <c r="A37" s="163"/>
      <c r="B37" s="163"/>
      <c r="C37" s="163"/>
      <c r="D37" s="163"/>
      <c r="E37" s="628"/>
      <c r="F37" s="258"/>
      <c r="H37" s="672"/>
      <c r="I37" s="672"/>
    </row>
    <row r="38" spans="1:18" s="462" customFormat="1" ht="12">
      <c r="A38" s="458"/>
      <c r="B38" s="459" t="s">
        <v>810</v>
      </c>
      <c r="C38" s="460" t="s">
        <v>796</v>
      </c>
      <c r="D38" s="460" t="s">
        <v>797</v>
      </c>
      <c r="E38" s="627"/>
      <c r="F38" s="461"/>
      <c r="G38" s="673"/>
      <c r="H38" s="674" t="s">
        <v>798</v>
      </c>
      <c r="I38" s="674"/>
      <c r="J38" s="673" t="s">
        <v>800</v>
      </c>
      <c r="K38" s="673"/>
      <c r="L38" s="673"/>
      <c r="M38" s="673"/>
      <c r="N38" s="673"/>
      <c r="O38" s="673"/>
      <c r="P38" s="673"/>
      <c r="Q38" s="673"/>
      <c r="R38" s="673"/>
    </row>
    <row r="39" spans="1:18" ht="27.6" customHeight="1">
      <c r="A39" s="163"/>
      <c r="B39" s="441" t="s">
        <v>75</v>
      </c>
      <c r="C39" s="743" t="str">
        <f>VOSEA!B34</f>
        <v>Are tank levels monitored automatically &amp; recorded daily?</v>
      </c>
      <c r="D39" s="264" t="s">
        <v>62</v>
      </c>
      <c r="E39" s="627" t="str">
        <f>IFERROR(IF(OR($D$43="",$H39=10,NOT(ISNUMBER($H39))),"",IF(H39=$H$43,"Limiting","")),"")</f>
        <v/>
      </c>
      <c r="F39" s="258"/>
      <c r="G39" s="682">
        <f t="shared" ref="G39" si="2">IF(LEN(D39)&gt;0,1,0)</f>
        <v>1</v>
      </c>
      <c r="H39" s="676">
        <f>VLOOKUP('Interactive Data Grading'!D39,VOSEA!$C$6:$G$18,5,FALSE)</f>
        <v>10</v>
      </c>
      <c r="I39" s="675"/>
    </row>
    <row r="40" spans="1:18" ht="27.6" customHeight="1">
      <c r="A40" s="163"/>
      <c r="B40" s="441" t="s">
        <v>76</v>
      </c>
      <c r="C40" s="743" t="str">
        <f>VOSEA!B35</f>
        <v>Are daily changes of stored water volumes in distribution system tanks included in the tabulation of the daily "Volume from Own Sources" quantity?</v>
      </c>
      <c r="D40" s="264" t="s">
        <v>62</v>
      </c>
      <c r="E40" s="627" t="str">
        <f t="shared" ref="E40:E42" si="3">IFERROR(IF(OR($D$43="",$H40=10,NOT(ISNUMBER($H40))),"",IF(H40=$H$43,"Limiting","")),"")</f>
        <v/>
      </c>
      <c r="F40" s="258"/>
      <c r="G40" s="682">
        <f>IF(OR(LEN(D40)&gt;0,D39=VOSEA!$C$23),1,0)</f>
        <v>1</v>
      </c>
      <c r="H40" s="676">
        <f>VLOOKUP('Interactive Data Grading'!D40,VOSEA!$D$6:$G$18,4,FALSE)</f>
        <v>10</v>
      </c>
      <c r="I40" s="675"/>
      <c r="J40" s="668" t="s">
        <v>75</v>
      </c>
    </row>
    <row r="41" spans="1:18" ht="27.6" customHeight="1">
      <c r="A41" s="163"/>
      <c r="B41" s="441" t="s">
        <v>77</v>
      </c>
      <c r="C41" s="743" t="str">
        <f>VOSEA!B36</f>
        <v>Is the annual net distribution storage change included in either the VOS input or the VOSEA input?</v>
      </c>
      <c r="D41" s="264" t="s">
        <v>62</v>
      </c>
      <c r="E41" s="627" t="str">
        <f t="shared" si="3"/>
        <v/>
      </c>
      <c r="F41" s="258"/>
      <c r="G41" s="682">
        <f t="shared" ref="G41:G42" si="4">IF(LEN(D41)&gt;0,1,0)</f>
        <v>1</v>
      </c>
      <c r="H41" s="676">
        <f>VLOOKUP('Interactive Data Grading'!D41,VOSEA!$E$6:$G$18,3,FALSE)</f>
        <v>10</v>
      </c>
      <c r="I41" s="675"/>
    </row>
    <row r="42" spans="1:18" ht="27.6" customHeight="1">
      <c r="A42" s="163"/>
      <c r="B42" s="441" t="s">
        <v>78</v>
      </c>
      <c r="C42" s="743" t="str">
        <f>VOSEA!B37</f>
        <v>Are the flow accuracy test and/or electronic calibration results included in the VOSEA input in the water audit?</v>
      </c>
      <c r="D42" s="264" t="s">
        <v>88</v>
      </c>
      <c r="E42" s="627" t="str">
        <f t="shared" si="3"/>
        <v/>
      </c>
      <c r="F42" s="258"/>
      <c r="G42" s="682">
        <f t="shared" si="4"/>
        <v>1</v>
      </c>
      <c r="H42" s="676">
        <f>VLOOKUP('Interactive Data Grading'!D42,VOSEA!$F$6:$G$18,2,FALSE)</f>
        <v>10</v>
      </c>
      <c r="I42" s="675"/>
    </row>
    <row r="43" spans="1:18" ht="27.6" customHeight="1">
      <c r="A43" s="163"/>
      <c r="B43" s="163"/>
      <c r="C43" s="457" t="s">
        <v>806</v>
      </c>
      <c r="D43" s="630">
        <f>IFERROR(IF(D8="No","n/a",IF(G43=0,"",H43)),"")</f>
        <v>10</v>
      </c>
      <c r="E43" s="627"/>
      <c r="F43" s="258"/>
      <c r="G43" s="682">
        <f>MIN(G39:G42)</f>
        <v>1</v>
      </c>
      <c r="H43" s="679">
        <f t="array" ref="H43">MIN(IF(ISNUMBER(H39:H42),H39:H42))</f>
        <v>10</v>
      </c>
      <c r="I43" s="675"/>
    </row>
    <row r="44" spans="1:18" s="369" customFormat="1" ht="16.350000000000001" customHeight="1">
      <c r="C44" s="454"/>
      <c r="D44" s="531" t="str">
        <f>IF(AND(D41="Yes",LEN(Worksheet!O15)=0,LEN(Worksheet!Q15)=0),"Please check consistency of inputs with vosea.3 - no adjustment entered on Worksheet","")</f>
        <v/>
      </c>
      <c r="E44" s="706"/>
      <c r="G44" s="680"/>
      <c r="H44" s="680"/>
      <c r="I44" s="681"/>
      <c r="J44" s="680"/>
      <c r="K44" s="680"/>
      <c r="L44" s="680"/>
      <c r="M44" s="680"/>
      <c r="N44" s="680"/>
      <c r="O44" s="680"/>
      <c r="P44" s="680"/>
      <c r="Q44" s="680"/>
      <c r="R44" s="680"/>
    </row>
    <row r="45" spans="1:18" s="369" customFormat="1" ht="16.350000000000001" customHeight="1">
      <c r="C45" s="454"/>
      <c r="D45" s="454"/>
      <c r="E45" s="706"/>
      <c r="G45" s="680"/>
      <c r="H45" s="680"/>
      <c r="I45" s="681"/>
      <c r="J45" s="680"/>
      <c r="K45" s="680"/>
      <c r="L45" s="680"/>
      <c r="M45" s="680"/>
      <c r="N45" s="680"/>
      <c r="O45" s="680"/>
      <c r="P45" s="680"/>
      <c r="Q45" s="680"/>
      <c r="R45" s="680"/>
    </row>
    <row r="46" spans="1:18" s="369" customFormat="1" ht="16.350000000000001" customHeight="1">
      <c r="C46" s="454"/>
      <c r="D46" s="454"/>
      <c r="E46" s="706"/>
      <c r="G46" s="680"/>
      <c r="H46" s="680"/>
      <c r="I46" s="681"/>
      <c r="J46" s="680"/>
      <c r="K46" s="680"/>
      <c r="L46" s="680"/>
      <c r="M46" s="680"/>
      <c r="N46" s="680"/>
      <c r="O46" s="680"/>
      <c r="P46" s="680"/>
      <c r="Q46" s="680"/>
      <c r="R46" s="680"/>
    </row>
    <row r="47" spans="1:18" s="369" customFormat="1" ht="16.350000000000001" customHeight="1">
      <c r="C47" s="454"/>
      <c r="D47" s="454"/>
      <c r="E47" s="706"/>
      <c r="G47" s="680"/>
      <c r="H47" s="680"/>
      <c r="I47" s="681"/>
      <c r="J47" s="680"/>
      <c r="K47" s="680"/>
      <c r="L47" s="680"/>
      <c r="M47" s="680"/>
      <c r="N47" s="680"/>
      <c r="O47" s="680"/>
      <c r="P47" s="680"/>
      <c r="Q47" s="680"/>
      <c r="R47" s="680"/>
    </row>
    <row r="48" spans="1:18" s="369" customFormat="1" ht="16.350000000000001" customHeight="1">
      <c r="C48" s="454"/>
      <c r="D48" s="454"/>
      <c r="E48" s="706"/>
      <c r="G48" s="680"/>
      <c r="H48" s="680"/>
      <c r="I48" s="681"/>
      <c r="J48" s="680"/>
      <c r="K48" s="680"/>
      <c r="L48" s="680"/>
      <c r="M48" s="680"/>
      <c r="N48" s="680"/>
      <c r="O48" s="680"/>
      <c r="P48" s="680"/>
      <c r="Q48" s="680"/>
      <c r="R48" s="680"/>
    </row>
    <row r="49" spans="1:18" s="369" customFormat="1" ht="16.350000000000001" customHeight="1">
      <c r="C49" s="454"/>
      <c r="D49" s="454"/>
      <c r="E49" s="706"/>
      <c r="G49" s="680"/>
      <c r="H49" s="680"/>
      <c r="I49" s="681"/>
      <c r="J49" s="680"/>
      <c r="K49" s="680"/>
      <c r="L49" s="680"/>
      <c r="M49" s="680"/>
      <c r="N49" s="680"/>
      <c r="O49" s="680"/>
      <c r="P49" s="680"/>
      <c r="Q49" s="680"/>
      <c r="R49" s="680"/>
    </row>
    <row r="50" spans="1:18" s="369" customFormat="1" ht="16.350000000000001" customHeight="1">
      <c r="C50" s="454"/>
      <c r="D50" s="454"/>
      <c r="E50" s="706"/>
      <c r="G50" s="680"/>
      <c r="H50" s="680"/>
      <c r="I50" s="681"/>
      <c r="J50" s="680"/>
      <c r="K50" s="680"/>
      <c r="L50" s="680"/>
      <c r="M50" s="680"/>
      <c r="N50" s="680"/>
      <c r="O50" s="680"/>
      <c r="P50" s="680"/>
      <c r="Q50" s="680"/>
      <c r="R50" s="680"/>
    </row>
    <row r="51" spans="1:18" s="369" customFormat="1" ht="16.350000000000001" customHeight="1">
      <c r="C51" s="454"/>
      <c r="D51" s="454"/>
      <c r="E51" s="706"/>
      <c r="G51" s="680"/>
      <c r="H51" s="680"/>
      <c r="I51" s="681"/>
      <c r="J51" s="680"/>
      <c r="K51" s="680"/>
      <c r="L51" s="680"/>
      <c r="M51" s="680"/>
      <c r="N51" s="680"/>
      <c r="O51" s="680"/>
      <c r="P51" s="680"/>
      <c r="Q51" s="680"/>
      <c r="R51" s="680"/>
    </row>
    <row r="52" spans="1:18" s="369" customFormat="1" ht="16.350000000000001" customHeight="1">
      <c r="C52" s="454"/>
      <c r="D52" s="454"/>
      <c r="E52" s="706"/>
      <c r="G52" s="680"/>
      <c r="H52" s="680"/>
      <c r="I52" s="681"/>
      <c r="J52" s="680"/>
      <c r="K52" s="680"/>
      <c r="L52" s="680"/>
      <c r="M52" s="680"/>
      <c r="N52" s="680"/>
      <c r="O52" s="680"/>
      <c r="P52" s="680"/>
      <c r="Q52" s="680"/>
      <c r="R52" s="680"/>
    </row>
    <row r="53" spans="1:18" s="369" customFormat="1" ht="16.350000000000001" customHeight="1">
      <c r="C53" s="454"/>
      <c r="D53" s="454"/>
      <c r="E53" s="706"/>
      <c r="G53" s="680"/>
      <c r="H53" s="680"/>
      <c r="I53" s="681"/>
      <c r="J53" s="680"/>
      <c r="K53" s="680"/>
      <c r="L53" s="680"/>
      <c r="M53" s="680"/>
      <c r="N53" s="680"/>
      <c r="O53" s="680"/>
      <c r="P53" s="680"/>
      <c r="Q53" s="680"/>
      <c r="R53" s="680"/>
    </row>
    <row r="54" spans="1:18" s="369" customFormat="1" ht="16.350000000000001" customHeight="1">
      <c r="C54" s="454"/>
      <c r="D54" s="454"/>
      <c r="E54" s="706"/>
      <c r="G54" s="680"/>
      <c r="H54" s="680"/>
      <c r="I54" s="681"/>
      <c r="J54" s="680"/>
      <c r="K54" s="680"/>
      <c r="L54" s="680"/>
      <c r="M54" s="680"/>
      <c r="N54" s="680"/>
      <c r="O54" s="680"/>
      <c r="P54" s="680"/>
      <c r="Q54" s="680"/>
      <c r="R54" s="680"/>
    </row>
    <row r="55" spans="1:18" s="369" customFormat="1" ht="16.350000000000001" customHeight="1">
      <c r="C55" s="454"/>
      <c r="D55" s="454"/>
      <c r="E55" s="706"/>
      <c r="G55" s="680"/>
      <c r="H55" s="680"/>
      <c r="I55" s="681"/>
      <c r="J55" s="680"/>
      <c r="K55" s="680"/>
      <c r="L55" s="680"/>
      <c r="M55" s="680"/>
      <c r="N55" s="680"/>
      <c r="O55" s="680"/>
      <c r="P55" s="680"/>
      <c r="Q55" s="680"/>
      <c r="R55" s="680"/>
    </row>
    <row r="56" spans="1:18" s="369" customFormat="1" ht="16.5" customHeight="1">
      <c r="C56" s="454"/>
      <c r="D56" s="454"/>
      <c r="E56" s="706"/>
      <c r="G56" s="680"/>
      <c r="H56" s="680"/>
      <c r="I56" s="681"/>
      <c r="J56" s="680"/>
      <c r="K56" s="680"/>
      <c r="L56" s="680"/>
      <c r="M56" s="680"/>
      <c r="N56" s="680"/>
      <c r="O56" s="680"/>
      <c r="P56" s="680"/>
      <c r="Q56" s="680"/>
      <c r="R56" s="680"/>
    </row>
    <row r="57" spans="1:18" s="369" customFormat="1" ht="20.45" customHeight="1">
      <c r="C57" s="454"/>
      <c r="D57" s="454"/>
      <c r="E57" s="706"/>
      <c r="G57" s="680"/>
      <c r="H57" s="680"/>
      <c r="I57" s="681"/>
      <c r="J57" s="680"/>
      <c r="K57" s="680"/>
      <c r="L57" s="680"/>
      <c r="M57" s="680"/>
      <c r="N57" s="680"/>
      <c r="O57" s="680"/>
      <c r="P57" s="680"/>
      <c r="Q57" s="680"/>
      <c r="R57" s="680"/>
    </row>
    <row r="58" spans="1:18" s="369" customFormat="1" ht="20.45" customHeight="1">
      <c r="C58" s="454"/>
      <c r="D58" s="454"/>
      <c r="E58" s="706"/>
      <c r="G58" s="680"/>
      <c r="H58" s="680"/>
      <c r="I58" s="681"/>
      <c r="J58" s="680"/>
      <c r="K58" s="680"/>
      <c r="L58" s="680"/>
      <c r="M58" s="680"/>
      <c r="N58" s="680"/>
      <c r="O58" s="680"/>
      <c r="P58" s="680"/>
      <c r="Q58" s="680"/>
      <c r="R58" s="680"/>
    </row>
    <row r="59" spans="1:18" s="369" customFormat="1" ht="16.350000000000001" customHeight="1">
      <c r="A59" s="1034" t="s">
        <v>790</v>
      </c>
      <c r="B59" s="1035"/>
      <c r="C59" s="1036" t="s">
        <v>811</v>
      </c>
      <c r="D59" s="1036"/>
      <c r="E59" s="749" t="s">
        <v>792</v>
      </c>
      <c r="G59" s="680"/>
      <c r="H59" s="680"/>
      <c r="I59" s="681"/>
      <c r="J59" s="680"/>
      <c r="K59" s="680"/>
      <c r="L59" s="680"/>
      <c r="M59" s="680"/>
      <c r="N59" s="680"/>
      <c r="O59" s="680"/>
      <c r="P59" s="680"/>
      <c r="Q59" s="680"/>
      <c r="R59" s="680"/>
    </row>
    <row r="60" spans="1:18" ht="12.6" customHeight="1">
      <c r="A60" s="163"/>
      <c r="B60" s="163"/>
      <c r="C60" s="1037" t="str">
        <f>IF(OR(AND(D62="Yes",Worksheet!H16&gt;0),AND(D62="No",Worksheet!H16&lt;=0),LEN(D62)=0),"","Inconsistency between Worksheet WI input and Wi.0 response")</f>
        <v/>
      </c>
      <c r="D60" s="1037"/>
      <c r="E60" s="628"/>
      <c r="F60" s="258"/>
      <c r="H60" s="672"/>
      <c r="I60" s="672"/>
    </row>
    <row r="61" spans="1:18" s="462" customFormat="1" ht="12">
      <c r="A61" s="458"/>
      <c r="B61" s="459" t="s">
        <v>812</v>
      </c>
      <c r="C61" s="460" t="s">
        <v>796</v>
      </c>
      <c r="D61" s="460" t="s">
        <v>797</v>
      </c>
      <c r="E61" s="627"/>
      <c r="F61" s="461"/>
      <c r="G61" s="673"/>
      <c r="H61" s="674" t="s">
        <v>798</v>
      </c>
      <c r="I61" s="674" t="s">
        <v>799</v>
      </c>
      <c r="J61" s="673" t="s">
        <v>800</v>
      </c>
      <c r="K61" s="673"/>
      <c r="L61" s="673"/>
      <c r="M61" s="673"/>
      <c r="N61" s="673"/>
      <c r="O61" s="673"/>
      <c r="P61" s="673"/>
      <c r="Q61" s="673"/>
      <c r="R61" s="673"/>
    </row>
    <row r="62" spans="1:18" ht="18" customHeight="1">
      <c r="A62" s="163"/>
      <c r="B62" s="441" t="s">
        <v>813</v>
      </c>
      <c r="C62" s="742" t="str">
        <f>WI!B34</f>
        <v>Did the water utility import any water during the audit year?</v>
      </c>
      <c r="D62" s="264" t="s">
        <v>62</v>
      </c>
      <c r="E62" s="627"/>
      <c r="F62" s="258"/>
      <c r="I62" s="675"/>
      <c r="J62" s="668" t="s">
        <v>802</v>
      </c>
    </row>
    <row r="63" spans="1:18" ht="17.45" customHeight="1">
      <c r="A63" s="163"/>
      <c r="B63" s="441" t="s">
        <v>97</v>
      </c>
      <c r="C63" s="742" t="str">
        <f>WI!B35</f>
        <v>What percent of water imported is metered?</v>
      </c>
      <c r="D63" s="264" t="s">
        <v>59</v>
      </c>
      <c r="E63" s="627" t="str">
        <f>IF(OR(D74=10,NOT(ISNUMBER(D74))),"",IF(I63=I74,"Limiting",IF(VLOOKUP(D63,$P$7:$Q$15,2,FALSE)=0,"Limiting","")))</f>
        <v/>
      </c>
      <c r="F63" s="258"/>
      <c r="G63" s="668">
        <f>IF(LEN(D63)&gt;0,1,0)</f>
        <v>1</v>
      </c>
      <c r="H63" s="676">
        <f>VLOOKUP('Interactive Data Grading'!D63,WI!$C$6:$M$16,11,FALSE)</f>
        <v>10</v>
      </c>
      <c r="I63" s="676">
        <f>H63</f>
        <v>10</v>
      </c>
    </row>
    <row r="64" spans="1:18" ht="67.5" customHeight="1">
      <c r="A64" s="163"/>
      <c r="C64" s="1038" t="s">
        <v>814</v>
      </c>
      <c r="D64" s="1039"/>
      <c r="E64" s="627"/>
      <c r="F64" s="258"/>
      <c r="H64" s="676"/>
      <c r="I64" s="677"/>
    </row>
    <row r="65" spans="1:18" ht="18" customHeight="1">
      <c r="A65" s="163"/>
      <c r="B65" s="441" t="s">
        <v>98</v>
      </c>
      <c r="C65" s="742" t="str">
        <f>WI!B36</f>
        <v>What is the frequency of electronic calibration?</v>
      </c>
      <c r="D65" s="264" t="s">
        <v>52</v>
      </c>
      <c r="E65" s="627" t="str">
        <f>IFERROR(IF(OR($D$74=10,NOT(ISNUMBER($D$74))),"",IF(I65=$I$74,"Limiting","")),"")</f>
        <v>Limiting</v>
      </c>
      <c r="F65" s="258"/>
      <c r="G65" s="668">
        <f>IFERROR(IF(H63&lt;7,1,IF(LEN(D65)&gt;0,1,0)),"")</f>
        <v>1</v>
      </c>
      <c r="H65" s="676">
        <f>VLOOKUP('Interactive Data Grading'!D65,WI!$D$6:$M$16,10,FALSE)</f>
        <v>7</v>
      </c>
      <c r="I65" s="677">
        <f>IF(AND(H65&gt;=7,H68&gt;=7),MAX(H65,9),IF(AND(H65&gt;3,H65&lt;7,H68&gt;3,H68&lt;7),MAX(H65,H68),IF(H68&gt;=7,MAX(7,H65),H65)))</f>
        <v>9</v>
      </c>
    </row>
    <row r="66" spans="1:18" ht="26.45" customHeight="1">
      <c r="A66" s="163"/>
      <c r="B66" s="441" t="s">
        <v>99</v>
      </c>
      <c r="C66" s="742" t="str">
        <f>WI!B37</f>
        <v>What level of data transfer errors are checked as part of the electronic calibration process?</v>
      </c>
      <c r="D66" s="264" t="s">
        <v>61</v>
      </c>
      <c r="E66" s="627" t="str">
        <f t="shared" ref="E66:E73" si="5">IFERROR(IF(OR($D$74=10,NOT(ISNUMBER($D$74))),"",IF(I66=$I$74,"Limiting","")),"")</f>
        <v/>
      </c>
      <c r="F66" s="258"/>
      <c r="G66" s="678">
        <f>IFERROR(IF(H63&lt;7,1,IF(OR(D65=WI!D23,D65=WI!D27),1,IF(LEN(D66)&gt;0,1,0))),"")</f>
        <v>1</v>
      </c>
      <c r="H66" s="676">
        <f>VLOOKUP('Interactive Data Grading'!D66,WI!$E$6:$M$16,9,FALSE)</f>
        <v>10</v>
      </c>
      <c r="I66" s="676">
        <f>H66</f>
        <v>10</v>
      </c>
      <c r="J66" s="668" t="s">
        <v>98</v>
      </c>
    </row>
    <row r="67" spans="1:18" ht="18" customHeight="1">
      <c r="A67" s="163"/>
      <c r="B67" s="441" t="s">
        <v>100</v>
      </c>
      <c r="C67" s="742" t="str">
        <f>WI!B38</f>
        <v>Is the most recent electronic calibration documentation available?</v>
      </c>
      <c r="D67" s="264" t="s">
        <v>62</v>
      </c>
      <c r="E67" s="627" t="str">
        <f t="shared" si="5"/>
        <v/>
      </c>
      <c r="F67" s="258"/>
      <c r="G67" s="668">
        <f>IFERROR(IF(H63&lt;7,1,IF(OR(D65=WI!D23,D65=WI!D27),1,IF(LEN(D67)&gt;0,1,0))),"")</f>
        <v>1</v>
      </c>
      <c r="H67" s="676">
        <f>VLOOKUP('Interactive Data Grading'!D67,WI!$F$6:$M$16,8,FALSE)</f>
        <v>10</v>
      </c>
      <c r="I67" s="677">
        <f>IF(D65=WI!D23,X,IF(AND(H67=5,H69=10),7,H67))</f>
        <v>10</v>
      </c>
      <c r="J67" s="668" t="s">
        <v>98</v>
      </c>
    </row>
    <row r="68" spans="1:18" ht="16.5" customHeight="1">
      <c r="A68" s="163"/>
      <c r="B68" s="441" t="s">
        <v>101</v>
      </c>
      <c r="C68" s="742" t="str">
        <f>WI!B39</f>
        <v>What is the frequency of in-situ flow accuracy testing?</v>
      </c>
      <c r="D68" s="264" t="s">
        <v>60</v>
      </c>
      <c r="E68" s="627" t="str">
        <f t="shared" si="5"/>
        <v/>
      </c>
      <c r="F68" s="258"/>
      <c r="G68" s="668">
        <f>IFERROR(IF(H63&lt;7,1,IF(LEN(D68)&gt;0,1,0)),"")</f>
        <v>1</v>
      </c>
      <c r="H68" s="676">
        <f>VLOOKUP('Interactive Data Grading'!D68,WI!$G$6:$M$16,7,FALSE)</f>
        <v>10</v>
      </c>
      <c r="I68" s="677">
        <f>IF(AND(H65&gt;=7,H68&gt;=7),MAX(H68,9),IF(AND(H65&gt;3,H65&lt;7,H68&gt;3,H68&lt;7),MAX(H65,H68),IF(H65&gt;=7,MAX(7,H68),H68)))</f>
        <v>10</v>
      </c>
    </row>
    <row r="69" spans="1:18" ht="20.45" customHeight="1">
      <c r="A69" s="163"/>
      <c r="B69" s="441" t="s">
        <v>102</v>
      </c>
      <c r="C69" s="742" t="str">
        <f>WI!B40</f>
        <v>Is the most recent in-situ flow accuracy testing documentation available?</v>
      </c>
      <c r="D69" s="264" t="s">
        <v>62</v>
      </c>
      <c r="E69" s="627" t="str">
        <f t="shared" si="5"/>
        <v/>
      </c>
      <c r="F69" s="258"/>
      <c r="G69" s="668">
        <f>IFERROR(IF(H63&lt;7,1,IF(D68=WI!G23,1,IF(LEN(D69)&gt;0,1,0))),"")</f>
        <v>1</v>
      </c>
      <c r="H69" s="676">
        <f>VLOOKUP('Interactive Data Grading'!D69,WI!$H$6:$M$16,6,FALSE)</f>
        <v>10</v>
      </c>
      <c r="I69" s="677">
        <f>IF(D68=WI!G23,X,IF(AND(H69=5,H67=10),7,H69))</f>
        <v>10</v>
      </c>
      <c r="J69" s="668" t="s">
        <v>100</v>
      </c>
    </row>
    <row r="70" spans="1:18" ht="27" customHeight="1">
      <c r="A70" s="163"/>
      <c r="B70" s="441" t="s">
        <v>103</v>
      </c>
      <c r="C70" s="742" t="str">
        <f>WI!B41</f>
        <v>What are the total volume-weighted average results of in-situ flow accuracy testing (during or closest to audit year)?</v>
      </c>
      <c r="D70" s="264" t="s">
        <v>57</v>
      </c>
      <c r="E70" s="627" t="str">
        <f t="shared" si="5"/>
        <v>Limiting</v>
      </c>
      <c r="F70" s="258"/>
      <c r="G70" s="668">
        <f>IFERROR(IF(H63&lt;7,1,IF(OR(D68=WI!G23,D69=WI!H23),1,IF(LEN(D70)&gt;0,1,0))),"")</f>
        <v>1</v>
      </c>
      <c r="H70" s="676">
        <f>VLOOKUP('Interactive Data Grading'!D70,WI!$I$6:$M$16,5,FALSE)</f>
        <v>9</v>
      </c>
      <c r="I70" s="677">
        <f>IF(OR(D68=WI!G23,D69=WI!H23),X,H70)</f>
        <v>9</v>
      </c>
      <c r="J70" s="668" t="s">
        <v>815</v>
      </c>
    </row>
    <row r="71" spans="1:18" ht="37.5" customHeight="1">
      <c r="A71" s="163"/>
      <c r="B71" s="441" t="s">
        <v>104</v>
      </c>
      <c r="C71" s="742" t="str">
        <f>WI!B42</f>
        <v>Have testing and calibration procedures been closely scrutinized for compliance with procedures described in the AWWA M36 and/or M33 Manual(s)?</v>
      </c>
      <c r="D71" s="264" t="s">
        <v>62</v>
      </c>
      <c r="E71" s="627" t="str">
        <f t="shared" si="5"/>
        <v/>
      </c>
      <c r="F71" s="258"/>
      <c r="G71" s="668">
        <f>IFERROR(IF(H63&lt;7,1,IF(AND(OR(D65=WI!D23,D65=WI!D27),D68=WI!G23),1,IF(LEN(D71)&gt;0,1,0))),"")</f>
        <v>1</v>
      </c>
      <c r="H71" s="676">
        <f>VLOOKUP('Interactive Data Grading'!D71,WI!$J$6:$M$16,4,FALSE)</f>
        <v>10</v>
      </c>
      <c r="I71" s="677">
        <f>IF(OR(D68=WI!G23,D69=WI!H23),X,H71)</f>
        <v>10</v>
      </c>
      <c r="J71" s="678" t="s">
        <v>816</v>
      </c>
    </row>
    <row r="72" spans="1:18" ht="25.5" customHeight="1">
      <c r="A72" s="163"/>
      <c r="B72" s="441" t="s">
        <v>105</v>
      </c>
      <c r="C72" s="742" t="str">
        <f>WI!B43</f>
        <v>Which best describes the frequency of meter readings (data collection frequency as opposed to billing frequency)?</v>
      </c>
      <c r="D72" s="264" t="s">
        <v>64</v>
      </c>
      <c r="E72" s="627" t="str">
        <f t="shared" si="5"/>
        <v/>
      </c>
      <c r="F72" s="258"/>
      <c r="G72" s="668">
        <f>IFERROR(IF(H63&lt;7,1,IF(LEN(D72)&gt;0,1,0)),"")</f>
        <v>1</v>
      </c>
      <c r="H72" s="676">
        <f>VLOOKUP('Interactive Data Grading'!D72,WI!$K$6:$M$16,3,FALSE)</f>
        <v>10</v>
      </c>
      <c r="I72" s="676">
        <f>H72</f>
        <v>10</v>
      </c>
    </row>
    <row r="73" spans="1:18" ht="44.45" customHeight="1">
      <c r="A73" s="163"/>
      <c r="B73" s="441" t="s">
        <v>106</v>
      </c>
      <c r="C73" s="742" t="str">
        <f>WI!B44</f>
        <v>What is the frequency of data review &amp; correction by Exporting or Importing Utility for data gaps and/or anomalies? These can include numbers that are outside of typical patterns, and zero or 'null' values that may reflect a gap in data recording.</v>
      </c>
      <c r="D73" s="264" t="s">
        <v>58</v>
      </c>
      <c r="E73" s="627" t="str">
        <f t="shared" si="5"/>
        <v/>
      </c>
      <c r="F73" s="258"/>
      <c r="G73" s="668">
        <f>IFERROR(IF(H63&lt;7,1,IF(LEN(D73)&gt;0,1,0)),"")</f>
        <v>1</v>
      </c>
      <c r="H73" s="676">
        <f>VLOOKUP('Interactive Data Grading'!D73,WI!$L$6:$M$16,2,FALSE)</f>
        <v>10</v>
      </c>
      <c r="I73" s="676">
        <f>H73</f>
        <v>10</v>
      </c>
    </row>
    <row r="74" spans="1:18" ht="27.6" customHeight="1">
      <c r="A74" s="163"/>
      <c r="B74" s="163"/>
      <c r="C74" s="259" t="s">
        <v>806</v>
      </c>
      <c r="D74" s="630">
        <f>IF(D62="","",IF(D62="No","n/a",IF(G74=0,"",IF(R8=0,H63,I74))))</f>
        <v>9</v>
      </c>
      <c r="E74" s="627"/>
      <c r="F74" s="258"/>
      <c r="G74" s="668">
        <f>MIN(G63:G73)</f>
        <v>1</v>
      </c>
      <c r="H74" s="679">
        <f>MIN(H63:H73)</f>
        <v>7</v>
      </c>
      <c r="I74" s="679">
        <f t="array" ref="I74">MIN(IF(ISNUMBER(I63:I73),I63:I73))</f>
        <v>9</v>
      </c>
    </row>
    <row r="75" spans="1:18" s="369" customFormat="1" ht="16.350000000000001" customHeight="1">
      <c r="C75" s="454"/>
      <c r="D75" s="454"/>
      <c r="E75" s="706"/>
      <c r="G75" s="680"/>
      <c r="H75" s="680"/>
      <c r="I75" s="681"/>
      <c r="J75" s="680"/>
      <c r="K75" s="680"/>
      <c r="L75" s="680"/>
      <c r="M75" s="680"/>
      <c r="N75" s="680"/>
      <c r="O75" s="680"/>
      <c r="P75" s="680"/>
      <c r="Q75" s="680"/>
      <c r="R75" s="680"/>
    </row>
    <row r="76" spans="1:18" s="369" customFormat="1" ht="16.350000000000001" customHeight="1">
      <c r="C76" s="454"/>
      <c r="D76" s="454"/>
      <c r="E76" s="706"/>
      <c r="G76" s="680"/>
      <c r="H76" s="680"/>
      <c r="I76" s="681"/>
      <c r="J76" s="680"/>
      <c r="K76" s="680"/>
      <c r="L76" s="680"/>
      <c r="M76" s="680"/>
      <c r="N76" s="680"/>
      <c r="O76" s="680"/>
      <c r="P76" s="680"/>
      <c r="Q76" s="680"/>
      <c r="R76" s="680"/>
    </row>
    <row r="77" spans="1:18" s="369" customFormat="1" ht="16.350000000000001" customHeight="1">
      <c r="C77" s="454"/>
      <c r="D77" s="454"/>
      <c r="E77" s="706"/>
      <c r="G77" s="680"/>
      <c r="H77" s="680"/>
      <c r="I77" s="681"/>
      <c r="J77" s="680"/>
      <c r="K77" s="680"/>
      <c r="L77" s="680"/>
      <c r="M77" s="680"/>
      <c r="N77" s="680"/>
      <c r="O77" s="680"/>
      <c r="P77" s="680"/>
      <c r="Q77" s="680"/>
      <c r="R77" s="680"/>
    </row>
    <row r="78" spans="1:18" s="369" customFormat="1" ht="16.350000000000001" customHeight="1">
      <c r="C78" s="454"/>
      <c r="D78" s="454"/>
      <c r="E78" s="706"/>
      <c r="G78" s="680"/>
      <c r="H78" s="680"/>
      <c r="I78" s="681"/>
      <c r="J78" s="680"/>
      <c r="K78" s="680"/>
      <c r="L78" s="680"/>
      <c r="M78" s="680"/>
      <c r="N78" s="680"/>
      <c r="O78" s="680"/>
      <c r="P78" s="680"/>
      <c r="Q78" s="680"/>
      <c r="R78" s="680"/>
    </row>
    <row r="79" spans="1:18" s="369" customFormat="1" ht="16.350000000000001" customHeight="1">
      <c r="C79" s="454"/>
      <c r="D79" s="454"/>
      <c r="E79" s="706"/>
      <c r="G79" s="680"/>
      <c r="H79" s="680"/>
      <c r="I79" s="681"/>
      <c r="J79" s="680"/>
      <c r="K79" s="680"/>
      <c r="L79" s="680"/>
      <c r="M79" s="680"/>
      <c r="N79" s="680"/>
      <c r="O79" s="680"/>
      <c r="P79" s="680"/>
      <c r="Q79" s="680"/>
      <c r="R79" s="680"/>
    </row>
    <row r="80" spans="1:18" s="369" customFormat="1" ht="16.350000000000001" customHeight="1">
      <c r="C80" s="454"/>
      <c r="D80" s="454"/>
      <c r="E80" s="706"/>
      <c r="G80" s="680"/>
      <c r="H80" s="680"/>
      <c r="I80" s="681"/>
      <c r="J80" s="680"/>
      <c r="K80" s="680"/>
      <c r="L80" s="680"/>
      <c r="M80" s="680"/>
      <c r="N80" s="680"/>
      <c r="O80" s="680"/>
      <c r="P80" s="680"/>
      <c r="Q80" s="680"/>
      <c r="R80" s="680"/>
    </row>
    <row r="81" spans="1:18" s="369" customFormat="1" ht="16.350000000000001" customHeight="1">
      <c r="C81" s="454"/>
      <c r="D81" s="454"/>
      <c r="E81" s="706"/>
      <c r="G81" s="680"/>
      <c r="H81" s="680"/>
      <c r="I81" s="681"/>
      <c r="J81" s="680"/>
      <c r="K81" s="680"/>
      <c r="L81" s="680"/>
      <c r="M81" s="680"/>
      <c r="N81" s="680"/>
      <c r="O81" s="680"/>
      <c r="P81" s="680"/>
      <c r="Q81" s="680"/>
      <c r="R81" s="680"/>
    </row>
    <row r="82" spans="1:18" s="369" customFormat="1" ht="16.350000000000001" customHeight="1">
      <c r="C82" s="454"/>
      <c r="D82" s="454"/>
      <c r="E82" s="706"/>
      <c r="G82" s="680"/>
      <c r="H82" s="680"/>
      <c r="I82" s="681"/>
      <c r="J82" s="680"/>
      <c r="K82" s="680"/>
      <c r="L82" s="680"/>
      <c r="M82" s="680"/>
      <c r="N82" s="680"/>
      <c r="O82" s="680"/>
      <c r="P82" s="680"/>
      <c r="Q82" s="680"/>
      <c r="R82" s="680"/>
    </row>
    <row r="83" spans="1:18" s="369" customFormat="1" ht="16.350000000000001" customHeight="1">
      <c r="C83" s="454"/>
      <c r="D83" s="454"/>
      <c r="E83" s="706"/>
      <c r="G83" s="680"/>
      <c r="H83" s="680"/>
      <c r="I83" s="681"/>
      <c r="J83" s="680"/>
      <c r="K83" s="680"/>
      <c r="L83" s="680"/>
      <c r="M83" s="680"/>
      <c r="N83" s="680"/>
      <c r="O83" s="680"/>
      <c r="P83" s="680"/>
      <c r="Q83" s="680"/>
      <c r="R83" s="680"/>
    </row>
    <row r="84" spans="1:18" s="369" customFormat="1" ht="16.350000000000001" customHeight="1">
      <c r="C84" s="454"/>
      <c r="D84" s="454"/>
      <c r="E84" s="706"/>
      <c r="G84" s="680"/>
      <c r="H84" s="680"/>
      <c r="I84" s="681"/>
      <c r="J84" s="680"/>
      <c r="K84" s="680"/>
      <c r="L84" s="680"/>
      <c r="M84" s="680"/>
      <c r="N84" s="680"/>
      <c r="O84" s="680"/>
      <c r="P84" s="680"/>
      <c r="Q84" s="680"/>
      <c r="R84" s="680"/>
    </row>
    <row r="85" spans="1:18" s="369" customFormat="1" ht="9.6" customHeight="1">
      <c r="C85" s="454"/>
      <c r="D85" s="454"/>
      <c r="E85" s="706"/>
      <c r="G85" s="680"/>
      <c r="H85" s="680"/>
      <c r="I85" s="681"/>
      <c r="J85" s="680"/>
      <c r="K85" s="680"/>
      <c r="L85" s="680"/>
      <c r="M85" s="680"/>
      <c r="N85" s="680"/>
      <c r="O85" s="680"/>
      <c r="P85" s="680"/>
      <c r="Q85" s="680"/>
      <c r="R85" s="680"/>
    </row>
    <row r="86" spans="1:18" s="369" customFormat="1" ht="7.35" customHeight="1">
      <c r="C86" s="454"/>
      <c r="D86" s="454"/>
      <c r="E86" s="706"/>
      <c r="G86" s="680"/>
      <c r="H86" s="680"/>
      <c r="I86" s="681"/>
      <c r="J86" s="680"/>
      <c r="K86" s="680"/>
      <c r="L86" s="680"/>
      <c r="M86" s="680"/>
      <c r="N86" s="680"/>
      <c r="O86" s="680"/>
      <c r="P86" s="680"/>
      <c r="Q86" s="680"/>
      <c r="R86" s="680"/>
    </row>
    <row r="87" spans="1:18" s="369" customFormat="1" ht="7.5" customHeight="1">
      <c r="C87" s="454"/>
      <c r="D87" s="454"/>
      <c r="E87" s="706"/>
      <c r="G87" s="680"/>
      <c r="H87" s="680"/>
      <c r="I87" s="681"/>
      <c r="J87" s="680"/>
      <c r="K87" s="680"/>
      <c r="L87" s="680"/>
      <c r="M87" s="680"/>
      <c r="N87" s="680"/>
      <c r="O87" s="680"/>
      <c r="P87" s="680"/>
      <c r="Q87" s="680"/>
      <c r="R87" s="680"/>
    </row>
    <row r="88" spans="1:18" s="369" customFormat="1" ht="16.350000000000001" customHeight="1">
      <c r="C88" s="454"/>
      <c r="D88" s="454"/>
      <c r="E88" s="706"/>
      <c r="G88" s="680"/>
      <c r="H88" s="680"/>
      <c r="I88" s="681"/>
      <c r="J88" s="680"/>
      <c r="K88" s="680"/>
      <c r="L88" s="680"/>
      <c r="M88" s="680"/>
      <c r="N88" s="680"/>
      <c r="O88" s="680"/>
      <c r="P88" s="680"/>
      <c r="Q88" s="680"/>
      <c r="R88" s="680"/>
    </row>
    <row r="89" spans="1:18" s="369" customFormat="1" ht="16.350000000000001" customHeight="1">
      <c r="A89" s="1034" t="s">
        <v>790</v>
      </c>
      <c r="B89" s="1035"/>
      <c r="C89" s="1036" t="s">
        <v>817</v>
      </c>
      <c r="D89" s="1036"/>
      <c r="E89" s="749" t="s">
        <v>792</v>
      </c>
      <c r="G89" s="680"/>
      <c r="H89" s="680" t="s">
        <v>818</v>
      </c>
      <c r="I89" s="681"/>
      <c r="J89" s="680"/>
      <c r="K89" s="680"/>
      <c r="L89" s="680"/>
      <c r="M89" s="680"/>
      <c r="N89" s="680"/>
      <c r="O89" s="680"/>
      <c r="P89" s="680"/>
      <c r="Q89" s="680"/>
      <c r="R89" s="680"/>
    </row>
    <row r="90" spans="1:18" ht="9.75" customHeight="1">
      <c r="A90" s="163"/>
      <c r="B90" s="163"/>
      <c r="C90" s="163"/>
      <c r="D90" s="163"/>
      <c r="E90" s="628"/>
      <c r="F90" s="258"/>
      <c r="H90" s="672"/>
      <c r="I90" s="672"/>
    </row>
    <row r="91" spans="1:18" s="462" customFormat="1" ht="12">
      <c r="A91" s="458"/>
      <c r="B91" s="459" t="s">
        <v>819</v>
      </c>
      <c r="C91" s="460" t="s">
        <v>796</v>
      </c>
      <c r="D91" s="460" t="s">
        <v>797</v>
      </c>
      <c r="E91" s="627"/>
      <c r="F91" s="461"/>
      <c r="G91" s="673"/>
      <c r="H91" s="674" t="s">
        <v>798</v>
      </c>
      <c r="I91" s="674"/>
      <c r="J91" s="673" t="s">
        <v>800</v>
      </c>
      <c r="K91" s="673"/>
      <c r="L91" s="673"/>
      <c r="M91" s="673"/>
      <c r="N91" s="673"/>
      <c r="O91" s="673"/>
      <c r="P91" s="673"/>
      <c r="Q91" s="673"/>
      <c r="R91" s="673"/>
    </row>
    <row r="92" spans="1:18" ht="27.6" customHeight="1">
      <c r="A92" s="163"/>
      <c r="B92" s="441" t="s">
        <v>122</v>
      </c>
      <c r="C92" s="742" t="str">
        <f>WIEA!B34</f>
        <v>Is an agreement in place between Exporting and Importing Utility for the purchase of water?</v>
      </c>
      <c r="D92" s="264" t="s">
        <v>138</v>
      </c>
      <c r="E92" s="627" t="str">
        <f>IFERROR(IF(OR($D$96="",$H92=10,NOT(ISNUMBER($H92))),"",IF(H92=$H$96,"Limiting","")),"")</f>
        <v/>
      </c>
      <c r="F92" s="258"/>
      <c r="G92" s="682">
        <f t="shared" ref="G92" si="6">IF(LEN(D92)&gt;0,1,0)</f>
        <v>1</v>
      </c>
      <c r="H92" s="676">
        <f>VLOOKUP('Interactive Data Grading'!D92,WIEA!$C$6:$G$16,5,FALSE)</f>
        <v>10</v>
      </c>
      <c r="I92" s="675"/>
    </row>
    <row r="93" spans="1:18" ht="27.6" customHeight="1">
      <c r="A93" s="163"/>
      <c r="B93" s="441" t="s">
        <v>123</v>
      </c>
      <c r="C93" s="742" t="str">
        <f>WIEA!B35</f>
        <v>Are meter accuracy testing or electronic calibration requirements stipulated in the water purchase agreement?</v>
      </c>
      <c r="D93" s="264" t="s">
        <v>134</v>
      </c>
      <c r="E93" s="627" t="str">
        <f t="shared" ref="E93:E95" si="7">IFERROR(IF(OR($D$96="",$H93=10,NOT(ISNUMBER($H93))),"",IF(H93=$H$96,"Limiting","")),"")</f>
        <v/>
      </c>
      <c r="F93" s="258"/>
      <c r="G93" s="682">
        <f>IF(OR(LEN(D93)&gt;0,D92=WIEA!$C$23),1,0)</f>
        <v>1</v>
      </c>
      <c r="H93" s="676">
        <f>VLOOKUP('Interactive Data Grading'!D93,WIEA!$D$6:$G$16,4,FALSE)</f>
        <v>6</v>
      </c>
      <c r="I93" s="675"/>
      <c r="J93" s="668" t="s">
        <v>122</v>
      </c>
    </row>
    <row r="94" spans="1:18" ht="27.6" customHeight="1">
      <c r="A94" s="163"/>
      <c r="B94" s="441" t="s">
        <v>124</v>
      </c>
      <c r="C94" s="742" t="str">
        <f>WIEA!B36</f>
        <v>Are flow accuracy test and/or electronic calibration results used to inform the error adjustment input in the water audit?</v>
      </c>
      <c r="D94" s="264" t="s">
        <v>49</v>
      </c>
      <c r="E94" s="627" t="str">
        <f t="shared" si="7"/>
        <v>Limiting</v>
      </c>
      <c r="F94" s="258"/>
      <c r="G94" s="682">
        <f t="shared" ref="G94:G95" si="8">IF(LEN(D94)&gt;0,1,0)</f>
        <v>1</v>
      </c>
      <c r="H94" s="676">
        <f>VLOOKUP('Interactive Data Grading'!D94,WIEA!$E$6:$G$16,3,FALSE)</f>
        <v>4</v>
      </c>
      <c r="I94" s="675"/>
    </row>
    <row r="95" spans="1:18" ht="27.6" customHeight="1">
      <c r="A95" s="163"/>
      <c r="B95" s="441" t="s">
        <v>125</v>
      </c>
      <c r="C95" s="742" t="str">
        <f>WIEA!B37</f>
        <v>Who has access to the import meter readings including current and archived data?</v>
      </c>
      <c r="D95" s="264" t="s">
        <v>140</v>
      </c>
      <c r="E95" s="627" t="str">
        <f t="shared" si="7"/>
        <v/>
      </c>
      <c r="F95" s="258"/>
      <c r="G95" s="682">
        <f t="shared" si="8"/>
        <v>1</v>
      </c>
      <c r="H95" s="676">
        <f>VLOOKUP('Interactive Data Grading'!D95,WIEA!$F$6:$G$16,2,FALSE)</f>
        <v>10</v>
      </c>
      <c r="I95" s="675"/>
    </row>
    <row r="96" spans="1:18" ht="27.6" customHeight="1">
      <c r="A96" s="163"/>
      <c r="B96" s="163"/>
      <c r="C96" s="259" t="s">
        <v>806</v>
      </c>
      <c r="D96" s="752">
        <f>IF(D62="No","n/a",IF(G96=0,"",H96))</f>
        <v>4</v>
      </c>
      <c r="E96" s="627"/>
      <c r="F96" s="258"/>
      <c r="G96" s="682">
        <f>MIN(G92:G95)</f>
        <v>1</v>
      </c>
      <c r="H96" s="679">
        <f t="array" ref="H96">MIN(IF(ISNUMBER(H92:H95),H92:H95))</f>
        <v>4</v>
      </c>
      <c r="I96" s="675"/>
    </row>
    <row r="97" spans="1:18" s="369" customFormat="1" ht="16.350000000000001" customHeight="1">
      <c r="C97" s="454"/>
      <c r="D97" s="454"/>
      <c r="E97" s="706"/>
      <c r="G97" s="680"/>
      <c r="H97" s="680"/>
      <c r="I97" s="681"/>
      <c r="J97" s="680"/>
      <c r="K97" s="680"/>
      <c r="L97" s="680"/>
      <c r="M97" s="680"/>
      <c r="N97" s="680"/>
      <c r="O97" s="680"/>
      <c r="P97" s="680"/>
      <c r="Q97" s="680"/>
      <c r="R97" s="680"/>
    </row>
    <row r="98" spans="1:18" s="369" customFormat="1" ht="16.350000000000001" customHeight="1">
      <c r="C98" s="454"/>
      <c r="D98" s="454"/>
      <c r="E98" s="706"/>
      <c r="G98" s="680"/>
      <c r="H98" s="680"/>
      <c r="I98" s="681"/>
      <c r="J98" s="680"/>
      <c r="K98" s="680"/>
      <c r="L98" s="680"/>
      <c r="M98" s="680"/>
      <c r="N98" s="680"/>
      <c r="O98" s="680"/>
      <c r="P98" s="680"/>
      <c r="Q98" s="680"/>
      <c r="R98" s="680"/>
    </row>
    <row r="99" spans="1:18" s="369" customFormat="1" ht="16.350000000000001" customHeight="1">
      <c r="C99" s="454"/>
      <c r="D99" s="454"/>
      <c r="E99" s="706"/>
      <c r="G99" s="680"/>
      <c r="H99" s="680"/>
      <c r="I99" s="681"/>
      <c r="J99" s="680"/>
      <c r="K99" s="680"/>
      <c r="L99" s="680"/>
      <c r="M99" s="680"/>
      <c r="N99" s="680"/>
      <c r="O99" s="680"/>
      <c r="P99" s="680"/>
      <c r="Q99" s="680"/>
      <c r="R99" s="680"/>
    </row>
    <row r="100" spans="1:18" s="369" customFormat="1" ht="16.350000000000001" customHeight="1">
      <c r="C100" s="454"/>
      <c r="D100" s="454"/>
      <c r="E100" s="706"/>
      <c r="G100" s="680"/>
      <c r="H100" s="680"/>
      <c r="I100" s="681"/>
      <c r="J100" s="680"/>
      <c r="K100" s="680"/>
      <c r="L100" s="680"/>
      <c r="M100" s="680"/>
      <c r="N100" s="680"/>
      <c r="O100" s="680"/>
      <c r="P100" s="680"/>
      <c r="Q100" s="680"/>
      <c r="R100" s="680"/>
    </row>
    <row r="101" spans="1:18" s="369" customFormat="1" ht="16.350000000000001" customHeight="1">
      <c r="C101" s="454"/>
      <c r="D101" s="454"/>
      <c r="E101" s="706"/>
      <c r="G101" s="680"/>
      <c r="H101" s="680"/>
      <c r="I101" s="681"/>
      <c r="J101" s="680"/>
      <c r="K101" s="680"/>
      <c r="L101" s="680"/>
      <c r="M101" s="680"/>
      <c r="N101" s="680"/>
      <c r="O101" s="680"/>
      <c r="P101" s="680"/>
      <c r="Q101" s="680"/>
      <c r="R101" s="680"/>
    </row>
    <row r="102" spans="1:18" s="369" customFormat="1" ht="16.350000000000001" customHeight="1">
      <c r="C102" s="454"/>
      <c r="D102" s="454"/>
      <c r="E102" s="706"/>
      <c r="G102" s="680"/>
      <c r="H102" s="680"/>
      <c r="I102" s="681"/>
      <c r="J102" s="680"/>
      <c r="K102" s="680"/>
      <c r="L102" s="680"/>
      <c r="M102" s="680"/>
      <c r="N102" s="680"/>
      <c r="O102" s="680"/>
      <c r="P102" s="680"/>
      <c r="Q102" s="680"/>
      <c r="R102" s="680"/>
    </row>
    <row r="103" spans="1:18" s="369" customFormat="1" ht="16.350000000000001" customHeight="1">
      <c r="C103" s="454"/>
      <c r="D103" s="454"/>
      <c r="E103" s="706"/>
      <c r="G103" s="680"/>
      <c r="H103" s="680"/>
      <c r="I103" s="681"/>
      <c r="J103" s="680"/>
      <c r="K103" s="680"/>
      <c r="L103" s="680"/>
      <c r="M103" s="680"/>
      <c r="N103" s="680"/>
      <c r="O103" s="680"/>
      <c r="P103" s="680"/>
      <c r="Q103" s="680"/>
      <c r="R103" s="680"/>
    </row>
    <row r="104" spans="1:18" s="369" customFormat="1" ht="16.350000000000001" customHeight="1">
      <c r="C104" s="454"/>
      <c r="D104" s="454"/>
      <c r="E104" s="706"/>
      <c r="G104" s="680"/>
      <c r="H104" s="680"/>
      <c r="I104" s="681"/>
      <c r="J104" s="680"/>
      <c r="K104" s="680"/>
      <c r="L104" s="680"/>
      <c r="M104" s="680"/>
      <c r="N104" s="680"/>
      <c r="O104" s="680"/>
      <c r="P104" s="680"/>
      <c r="Q104" s="680"/>
      <c r="R104" s="680"/>
    </row>
    <row r="105" spans="1:18" s="369" customFormat="1" ht="16.350000000000001" customHeight="1">
      <c r="C105" s="454"/>
      <c r="D105" s="454"/>
      <c r="E105" s="706"/>
      <c r="G105" s="680"/>
      <c r="H105" s="680"/>
      <c r="I105" s="681"/>
      <c r="J105" s="680"/>
      <c r="K105" s="680"/>
      <c r="L105" s="680"/>
      <c r="M105" s="680"/>
      <c r="N105" s="680"/>
      <c r="O105" s="680"/>
      <c r="P105" s="680"/>
      <c r="Q105" s="680"/>
      <c r="R105" s="680"/>
    </row>
    <row r="106" spans="1:18" s="369" customFormat="1" ht="16.350000000000001" customHeight="1">
      <c r="C106" s="454"/>
      <c r="D106" s="454"/>
      <c r="E106" s="706"/>
      <c r="G106" s="680"/>
      <c r="H106" s="680"/>
      <c r="I106" s="681"/>
      <c r="J106" s="680"/>
      <c r="K106" s="680"/>
      <c r="L106" s="680"/>
      <c r="M106" s="680"/>
      <c r="N106" s="680"/>
      <c r="O106" s="680"/>
      <c r="P106" s="680"/>
      <c r="Q106" s="680"/>
      <c r="R106" s="680"/>
    </row>
    <row r="107" spans="1:18" s="369" customFormat="1" ht="16.350000000000001" customHeight="1">
      <c r="C107" s="454"/>
      <c r="D107" s="454"/>
      <c r="E107" s="706"/>
      <c r="G107" s="680"/>
      <c r="H107" s="680"/>
      <c r="I107" s="681"/>
      <c r="J107" s="680"/>
      <c r="K107" s="680"/>
      <c r="L107" s="680"/>
      <c r="M107" s="680"/>
      <c r="N107" s="680"/>
      <c r="O107" s="680"/>
      <c r="P107" s="680"/>
      <c r="Q107" s="680"/>
      <c r="R107" s="680"/>
    </row>
    <row r="108" spans="1:18" s="369" customFormat="1" ht="16.350000000000001" customHeight="1">
      <c r="C108" s="454"/>
      <c r="D108" s="454"/>
      <c r="E108" s="706"/>
      <c r="G108" s="680"/>
      <c r="H108" s="680"/>
      <c r="I108" s="681"/>
      <c r="J108" s="680"/>
      <c r="K108" s="680"/>
      <c r="L108" s="680"/>
      <c r="M108" s="680"/>
      <c r="N108" s="680"/>
      <c r="O108" s="680"/>
      <c r="P108" s="680"/>
      <c r="Q108" s="680"/>
      <c r="R108" s="680"/>
    </row>
    <row r="109" spans="1:18" s="369" customFormat="1" ht="16.350000000000001" customHeight="1">
      <c r="C109" s="454"/>
      <c r="D109" s="454"/>
      <c r="E109" s="706"/>
      <c r="G109" s="680"/>
      <c r="H109" s="680"/>
      <c r="I109" s="681"/>
      <c r="J109" s="680"/>
      <c r="K109" s="680"/>
      <c r="L109" s="680"/>
      <c r="M109" s="680"/>
      <c r="N109" s="680"/>
      <c r="O109" s="680"/>
      <c r="P109" s="680"/>
      <c r="Q109" s="680"/>
      <c r="R109" s="680"/>
    </row>
    <row r="110" spans="1:18" s="369" customFormat="1" ht="16.350000000000001" customHeight="1">
      <c r="C110" s="454"/>
      <c r="D110" s="454"/>
      <c r="E110" s="706"/>
      <c r="G110" s="680"/>
      <c r="H110" s="680"/>
      <c r="I110" s="681"/>
      <c r="J110" s="680"/>
      <c r="K110" s="680"/>
      <c r="L110" s="680"/>
      <c r="M110" s="680"/>
      <c r="N110" s="680"/>
      <c r="O110" s="680"/>
      <c r="P110" s="680"/>
      <c r="Q110" s="680"/>
      <c r="R110" s="680"/>
    </row>
    <row r="111" spans="1:18" s="369" customFormat="1" ht="16.350000000000001" customHeight="1">
      <c r="C111" s="454"/>
      <c r="D111" s="454"/>
      <c r="E111" s="706"/>
      <c r="G111" s="680"/>
      <c r="H111" s="680"/>
      <c r="I111" s="681"/>
      <c r="J111" s="680"/>
      <c r="K111" s="680"/>
      <c r="L111" s="680"/>
      <c r="M111" s="680"/>
      <c r="N111" s="680"/>
      <c r="O111" s="680"/>
      <c r="P111" s="680"/>
      <c r="Q111" s="680"/>
      <c r="R111" s="680"/>
    </row>
    <row r="112" spans="1:18" s="369" customFormat="1" ht="16.350000000000001" customHeight="1">
      <c r="A112" s="1034" t="s">
        <v>790</v>
      </c>
      <c r="B112" s="1035"/>
      <c r="C112" s="1036" t="s">
        <v>820</v>
      </c>
      <c r="D112" s="1036"/>
      <c r="E112" s="749" t="s">
        <v>792</v>
      </c>
      <c r="G112" s="680"/>
      <c r="H112" s="680"/>
      <c r="I112" s="681"/>
      <c r="J112" s="680"/>
      <c r="K112" s="680"/>
      <c r="L112" s="680"/>
      <c r="M112" s="680"/>
      <c r="N112" s="680"/>
      <c r="O112" s="680"/>
      <c r="P112" s="680"/>
      <c r="Q112" s="680"/>
      <c r="R112" s="680"/>
    </row>
    <row r="113" spans="1:18" ht="12.6" customHeight="1">
      <c r="A113" s="163"/>
      <c r="B113" s="163"/>
      <c r="C113" s="1037" t="str">
        <f>IF(OR(AND(D115="Yes",Worksheet!H17&gt;0),AND(D115="No",Worksheet!H17&lt;=0),LEN(D115)=0),"","Inconsistency between Worksheet WE input and we.0 response")</f>
        <v/>
      </c>
      <c r="D113" s="1037"/>
      <c r="E113" s="628"/>
      <c r="F113" s="258"/>
      <c r="H113" s="672"/>
      <c r="I113" s="672"/>
    </row>
    <row r="114" spans="1:18" s="462" customFormat="1" ht="12">
      <c r="A114" s="458"/>
      <c r="B114" s="459" t="s">
        <v>821</v>
      </c>
      <c r="C114" s="460" t="s">
        <v>796</v>
      </c>
      <c r="D114" s="460" t="s">
        <v>797</v>
      </c>
      <c r="E114" s="627"/>
      <c r="F114" s="461"/>
      <c r="G114" s="673"/>
      <c r="H114" s="674" t="s">
        <v>798</v>
      </c>
      <c r="I114" s="674" t="s">
        <v>799</v>
      </c>
      <c r="J114" s="673" t="s">
        <v>800</v>
      </c>
      <c r="K114" s="673"/>
      <c r="L114" s="673"/>
      <c r="M114" s="673"/>
      <c r="N114" s="673"/>
      <c r="O114" s="673"/>
      <c r="P114" s="673"/>
      <c r="Q114" s="673"/>
      <c r="R114" s="673"/>
    </row>
    <row r="115" spans="1:18" ht="18" customHeight="1">
      <c r="A115" s="163"/>
      <c r="B115" s="163" t="s">
        <v>822</v>
      </c>
      <c r="C115" s="742" t="str">
        <f>WE!B34</f>
        <v>Did the water utility export any water during the audit year?</v>
      </c>
      <c r="D115" s="264" t="s">
        <v>62</v>
      </c>
      <c r="E115" s="627"/>
      <c r="F115" s="258"/>
      <c r="H115" s="668" t="s">
        <v>823</v>
      </c>
      <c r="I115" s="675"/>
      <c r="J115" s="668" t="s">
        <v>802</v>
      </c>
    </row>
    <row r="116" spans="1:18" ht="17.45" customHeight="1">
      <c r="A116" s="163"/>
      <c r="B116" s="163" t="s">
        <v>143</v>
      </c>
      <c r="C116" s="742" t="str">
        <f>WE!B35</f>
        <v>What percent of water exported is metered?</v>
      </c>
      <c r="D116" s="264" t="s">
        <v>59</v>
      </c>
      <c r="E116" s="627" t="str">
        <f>IF(OR(D127=10,NOT(ISNUMBER(D127))),"",IF(I116=I127,"Limiting",IF(VLOOKUP(D116,$P$7:$Q$15,2,FALSE)=0,"Limiting","")))</f>
        <v/>
      </c>
      <c r="F116" s="258"/>
      <c r="G116" s="668">
        <f>IF(LEN(D116)&gt;0,1,0)</f>
        <v>1</v>
      </c>
      <c r="H116" s="676">
        <f>VLOOKUP('Interactive Data Grading'!D116,WE!$C$6:$M$16,11,FALSE)</f>
        <v>10</v>
      </c>
      <c r="I116" s="676">
        <f>H116</f>
        <v>10</v>
      </c>
    </row>
    <row r="117" spans="1:18" ht="67.150000000000006" customHeight="1">
      <c r="A117" s="163"/>
      <c r="C117" s="1038" t="s">
        <v>824</v>
      </c>
      <c r="D117" s="1039"/>
      <c r="E117" s="627"/>
      <c r="F117" s="258"/>
      <c r="H117" s="676"/>
      <c r="I117" s="677"/>
    </row>
    <row r="118" spans="1:18" ht="18" customHeight="1">
      <c r="A118" s="163"/>
      <c r="B118" s="163" t="s">
        <v>144</v>
      </c>
      <c r="C118" s="742" t="str">
        <f>WE!B36</f>
        <v>What is the frequency of electronic calibration?</v>
      </c>
      <c r="D118" s="264" t="s">
        <v>52</v>
      </c>
      <c r="E118" s="627" t="str">
        <f>IFERROR(IF(OR($D$127=10,NOT(ISNUMBER($D$127))),"",IF(I118=$I$127,"Limiting","")),"")</f>
        <v>Limiting</v>
      </c>
      <c r="F118" s="258"/>
      <c r="G118" s="668">
        <f>IFERROR(IF(H116&lt;7,1,IF(LEN(D118)&gt;0,1,0)),"")</f>
        <v>1</v>
      </c>
      <c r="H118" s="676">
        <f>VLOOKUP('Interactive Data Grading'!D118,WE!$D$6:$M$16,10,FALSE)</f>
        <v>7</v>
      </c>
      <c r="I118" s="677">
        <f>IF(AND(H118&gt;=7,H121&gt;=7),MAX(H118,9),IF(AND(H118&gt;3,H118&lt;7,H121&gt;3,H121&lt;7),MAX(H118,H121),IF(H121&gt;=7,MAX(7,H118),H118)))</f>
        <v>9</v>
      </c>
    </row>
    <row r="119" spans="1:18" ht="25.9" customHeight="1">
      <c r="A119" s="163"/>
      <c r="B119" s="163" t="s">
        <v>145</v>
      </c>
      <c r="C119" s="742" t="str">
        <f>WE!B37</f>
        <v>What level of data transfer errors are checked as part of the electronic calibration process?</v>
      </c>
      <c r="D119" s="264" t="s">
        <v>61</v>
      </c>
      <c r="E119" s="627" t="str">
        <f t="shared" ref="E119:E126" si="9">IFERROR(IF(OR($D$127=10,NOT(ISNUMBER($D$127))),"",IF(I119=$I$127,"Limiting","")),"")</f>
        <v/>
      </c>
      <c r="F119" s="258"/>
      <c r="G119" s="678">
        <f>IFERROR(IF(H116&lt;7,1,IF(OR(D118=WE!D23,D118=WE!D27),1,IF(LEN(D119)&gt;0,1,0))),"")</f>
        <v>1</v>
      </c>
      <c r="H119" s="676">
        <f>VLOOKUP('Interactive Data Grading'!D119,WE!$E$6:$M$16,9,FALSE)</f>
        <v>10</v>
      </c>
      <c r="I119" s="676">
        <f>H119</f>
        <v>10</v>
      </c>
      <c r="J119" s="668" t="s">
        <v>825</v>
      </c>
    </row>
    <row r="120" spans="1:18" ht="18" customHeight="1">
      <c r="A120" s="163"/>
      <c r="B120" s="163" t="s">
        <v>146</v>
      </c>
      <c r="C120" s="742" t="str">
        <f>WE!B38</f>
        <v>Is the most recent electronic calibration documentation available?</v>
      </c>
      <c r="D120" s="264" t="s">
        <v>62</v>
      </c>
      <c r="E120" s="627" t="str">
        <f t="shared" si="9"/>
        <v/>
      </c>
      <c r="F120" s="258"/>
      <c r="G120" s="668">
        <f>IFERROR(IF(H116&lt;7,1,IF(OR(D118=WE!D23,D118=WE!D27),1,IF(LEN(D120)&gt;0,1,0))),"")</f>
        <v>1</v>
      </c>
      <c r="H120" s="676">
        <f>VLOOKUP('Interactive Data Grading'!D120,WE!$F$6:$M$16,8,FALSE)</f>
        <v>10</v>
      </c>
      <c r="I120" s="677">
        <f>IF(D118=WE!D23,X,IF(AND(H120=5,H122=10),7,H120))</f>
        <v>10</v>
      </c>
      <c r="J120" s="668" t="s">
        <v>144</v>
      </c>
    </row>
    <row r="121" spans="1:18" ht="16.149999999999999" customHeight="1">
      <c r="A121" s="163"/>
      <c r="B121" s="163" t="s">
        <v>147</v>
      </c>
      <c r="C121" s="742" t="str">
        <f>WE!B39</f>
        <v>What is the frequency of in-situ flow accuracy testing?</v>
      </c>
      <c r="D121" s="264" t="s">
        <v>60</v>
      </c>
      <c r="E121" s="627" t="str">
        <f t="shared" si="9"/>
        <v/>
      </c>
      <c r="F121" s="258"/>
      <c r="G121" s="668">
        <f>IFERROR(IF(H116&lt;7,1,IF(LEN(D121)&gt;0,1,0)),"")</f>
        <v>1</v>
      </c>
      <c r="H121" s="676">
        <f>VLOOKUP('Interactive Data Grading'!D121,WE!$G$6:$M$16,7,FALSE)</f>
        <v>10</v>
      </c>
      <c r="I121" s="677">
        <f>IF(AND(H118&gt;=7,H121&gt;=7),MAX(H121,9),IF(AND(H118&gt;3,H118&lt;7,H121&gt;3,H121&lt;7),MAX(H118,H121),IF(H118&gt;=7,MAX(7,H121),H121)))</f>
        <v>10</v>
      </c>
    </row>
    <row r="122" spans="1:18" ht="19.899999999999999" customHeight="1">
      <c r="A122" s="163"/>
      <c r="B122" s="163" t="s">
        <v>148</v>
      </c>
      <c r="C122" s="742" t="str">
        <f>WE!B40</f>
        <v>Is the most recent in-situ flow accuracy testing documentation available?</v>
      </c>
      <c r="D122" s="264" t="s">
        <v>62</v>
      </c>
      <c r="E122" s="627" t="str">
        <f t="shared" si="9"/>
        <v/>
      </c>
      <c r="F122" s="258"/>
      <c r="G122" s="668">
        <f>IFERROR(IF(H116&lt;7,1,IF(D121=WE!G23,1,IF(LEN(D122)&gt;0,1,0))),"")</f>
        <v>1</v>
      </c>
      <c r="H122" s="676">
        <f>VLOOKUP('Interactive Data Grading'!D122,WE!$H$6:$M$16,6,FALSE)</f>
        <v>10</v>
      </c>
      <c r="I122" s="677">
        <f>IF(D121=WE!G23,X,IF(AND(H122=5,H120=10),7,H122))</f>
        <v>10</v>
      </c>
      <c r="J122" s="668" t="s">
        <v>146</v>
      </c>
    </row>
    <row r="123" spans="1:18" ht="27" customHeight="1">
      <c r="A123" s="163"/>
      <c r="B123" s="163" t="s">
        <v>149</v>
      </c>
      <c r="C123" s="742" t="str">
        <f>WE!B41</f>
        <v>What are the total volume-weighted average results of in-situ flow accuracy testing (during or closest to audit year)?</v>
      </c>
      <c r="D123" s="264" t="s">
        <v>57</v>
      </c>
      <c r="E123" s="627" t="str">
        <f t="shared" si="9"/>
        <v>Limiting</v>
      </c>
      <c r="F123" s="258"/>
      <c r="G123" s="668">
        <f>IFERROR(IF(H116&lt;7,1,IF(OR(D121=WE!G23,D122=WE!H23),1,IF(LEN(D123)&gt;0,1,0))),"")</f>
        <v>1</v>
      </c>
      <c r="H123" s="676">
        <f>VLOOKUP('Interactive Data Grading'!D123,WE!$I$6:$M$16,5,FALSE)</f>
        <v>9</v>
      </c>
      <c r="I123" s="676">
        <f>IF(OR(D121=WE!G23,D122=WE!H23),X,H123)</f>
        <v>9</v>
      </c>
      <c r="J123" s="668" t="s">
        <v>826</v>
      </c>
    </row>
    <row r="124" spans="1:18" ht="37.5" customHeight="1">
      <c r="A124" s="163"/>
      <c r="B124" s="163" t="s">
        <v>150</v>
      </c>
      <c r="C124" s="742" t="str">
        <f>WE!B42</f>
        <v>Have testing and calibration procedures been closely scrutinized for compliance with procedures described in the AWWA M36 and/or M33 Manual(s)?</v>
      </c>
      <c r="D124" s="264" t="s">
        <v>62</v>
      </c>
      <c r="E124" s="627" t="str">
        <f t="shared" si="9"/>
        <v/>
      </c>
      <c r="F124" s="258"/>
      <c r="G124" s="668">
        <f>IFERROR(IF(H116&lt;7,1,IF(AND(OR(D118=WE!D23,D118=WE!D27),D121=WE!G23),1,IF(LEN(D124)&gt;0,1,0))),"")</f>
        <v>1</v>
      </c>
      <c r="H124" s="676">
        <f>VLOOKUP('Interactive Data Grading'!D124,WE!$J$6:$M$16,4,FALSE)</f>
        <v>10</v>
      </c>
      <c r="I124" s="676">
        <f>IF(OR(D121=WE!G23,D122=WE!H23),X,H124)</f>
        <v>10</v>
      </c>
      <c r="J124" s="678" t="s">
        <v>827</v>
      </c>
    </row>
    <row r="125" spans="1:18" ht="25.15" customHeight="1">
      <c r="A125" s="163"/>
      <c r="B125" s="163" t="s">
        <v>151</v>
      </c>
      <c r="C125" s="742" t="str">
        <f>WE!B43</f>
        <v>Which best describes the frequency of meter readings (data collection frequency as opposed to billing frequency)?</v>
      </c>
      <c r="D125" s="264" t="s">
        <v>64</v>
      </c>
      <c r="E125" s="627" t="str">
        <f t="shared" si="9"/>
        <v/>
      </c>
      <c r="F125" s="258"/>
      <c r="G125" s="668">
        <f>IFERROR(IF(H116&lt;7,1,IF(LEN(D125)&gt;0,1,0)),"")</f>
        <v>1</v>
      </c>
      <c r="H125" s="676">
        <f>VLOOKUP('Interactive Data Grading'!D125,WE!$K$6:$M$16,3,FALSE)</f>
        <v>10</v>
      </c>
      <c r="I125" s="676">
        <f>H125</f>
        <v>10</v>
      </c>
    </row>
    <row r="126" spans="1:18" ht="44.45" customHeight="1">
      <c r="A126" s="163"/>
      <c r="B126" s="163" t="s">
        <v>152</v>
      </c>
      <c r="C126" s="742" t="str">
        <f>WE!B44</f>
        <v>What is the frequency of data review &amp; correction by Exporting or Importing Utility for data gaps and/or anomalies? These can include numbers that are outside of typical patterns, and zero or 'null' values that may reflect a gap in data recording.</v>
      </c>
      <c r="D126" s="264" t="s">
        <v>58</v>
      </c>
      <c r="E126" s="627" t="str">
        <f t="shared" si="9"/>
        <v/>
      </c>
      <c r="F126" s="258"/>
      <c r="G126" s="668">
        <f>IFERROR(IF(H116&lt;7,1,IF(LEN(D126)&gt;0,1,0)),"")</f>
        <v>1</v>
      </c>
      <c r="H126" s="676">
        <f>VLOOKUP('Interactive Data Grading'!D126,WE!$L$6:$M$16,2,FALSE)</f>
        <v>10</v>
      </c>
      <c r="I126" s="676">
        <f>H126</f>
        <v>10</v>
      </c>
    </row>
    <row r="127" spans="1:18" ht="27.6" customHeight="1">
      <c r="A127" s="163"/>
      <c r="B127" s="163"/>
      <c r="C127" s="259" t="s">
        <v>806</v>
      </c>
      <c r="D127" s="630">
        <f>IF(D115="","",IF(D115="No","n/a",IF(G127=0,"",IF(R9=0,H116,I127))))</f>
        <v>9</v>
      </c>
      <c r="E127" s="627"/>
      <c r="F127" s="258"/>
      <c r="G127" s="668">
        <f>MIN(G116:G126)</f>
        <v>1</v>
      </c>
      <c r="H127" s="679">
        <f>MIN(H116:H126)</f>
        <v>7</v>
      </c>
      <c r="I127" s="679">
        <f t="array" ref="I127">MIN(IF(ISNUMBER(I116:I126),I116:I126))</f>
        <v>9</v>
      </c>
    </row>
    <row r="128" spans="1:18" s="369" customFormat="1" ht="16.350000000000001" customHeight="1">
      <c r="C128" s="454"/>
      <c r="D128" s="454"/>
      <c r="E128" s="706"/>
      <c r="G128" s="680"/>
      <c r="H128" s="680"/>
      <c r="I128" s="681"/>
      <c r="J128" s="680"/>
      <c r="K128" s="680"/>
      <c r="L128" s="680"/>
      <c r="M128" s="680"/>
      <c r="N128" s="680"/>
      <c r="O128" s="680"/>
      <c r="P128" s="680"/>
      <c r="Q128" s="680"/>
      <c r="R128" s="680"/>
    </row>
    <row r="129" spans="1:18" s="369" customFormat="1" ht="16.350000000000001" customHeight="1">
      <c r="C129" s="454"/>
      <c r="D129" s="454"/>
      <c r="E129" s="706"/>
      <c r="G129" s="680"/>
      <c r="H129" s="680"/>
      <c r="I129" s="681"/>
      <c r="J129" s="680"/>
      <c r="K129" s="680"/>
      <c r="L129" s="680"/>
      <c r="M129" s="680"/>
      <c r="N129" s="680"/>
      <c r="O129" s="680"/>
      <c r="P129" s="680"/>
      <c r="Q129" s="680"/>
      <c r="R129" s="680"/>
    </row>
    <row r="130" spans="1:18" s="369" customFormat="1" ht="16.350000000000001" customHeight="1">
      <c r="C130" s="454"/>
      <c r="D130" s="454"/>
      <c r="E130" s="706"/>
      <c r="G130" s="680"/>
      <c r="H130" s="680"/>
      <c r="I130" s="681"/>
      <c r="J130" s="680"/>
      <c r="K130" s="680"/>
      <c r="L130" s="680"/>
      <c r="M130" s="680"/>
      <c r="N130" s="680"/>
      <c r="O130" s="680"/>
      <c r="P130" s="680"/>
      <c r="Q130" s="680"/>
      <c r="R130" s="680"/>
    </row>
    <row r="131" spans="1:18" s="369" customFormat="1" ht="16.350000000000001" customHeight="1">
      <c r="C131" s="454"/>
      <c r="D131" s="454"/>
      <c r="E131" s="706"/>
      <c r="G131" s="680"/>
      <c r="H131" s="680"/>
      <c r="I131" s="681"/>
      <c r="J131" s="680"/>
      <c r="K131" s="680"/>
      <c r="L131" s="680"/>
      <c r="M131" s="680"/>
      <c r="N131" s="680"/>
      <c r="O131" s="680"/>
      <c r="P131" s="680"/>
      <c r="Q131" s="680"/>
      <c r="R131" s="680"/>
    </row>
    <row r="132" spans="1:18" s="369" customFormat="1" ht="16.350000000000001" customHeight="1">
      <c r="C132" s="454"/>
      <c r="D132" s="454"/>
      <c r="E132" s="706"/>
      <c r="G132" s="680"/>
      <c r="H132" s="680"/>
      <c r="I132" s="681"/>
      <c r="J132" s="680"/>
      <c r="K132" s="680"/>
      <c r="L132" s="680"/>
      <c r="M132" s="680"/>
      <c r="N132" s="680"/>
      <c r="O132" s="680"/>
      <c r="P132" s="680"/>
      <c r="Q132" s="680"/>
      <c r="R132" s="680"/>
    </row>
    <row r="133" spans="1:18" s="369" customFormat="1" ht="16.350000000000001" customHeight="1">
      <c r="C133" s="454"/>
      <c r="D133" s="454"/>
      <c r="E133" s="706"/>
      <c r="G133" s="680"/>
      <c r="H133" s="680"/>
      <c r="I133" s="681"/>
      <c r="J133" s="680"/>
      <c r="K133" s="680"/>
      <c r="L133" s="680"/>
      <c r="M133" s="680"/>
      <c r="N133" s="680"/>
      <c r="O133" s="680"/>
      <c r="P133" s="680"/>
      <c r="Q133" s="680"/>
      <c r="R133" s="680"/>
    </row>
    <row r="134" spans="1:18" s="369" customFormat="1" ht="13.35" customHeight="1">
      <c r="C134" s="454"/>
      <c r="D134" s="454"/>
      <c r="E134" s="706"/>
      <c r="G134" s="680"/>
      <c r="H134" s="680"/>
      <c r="I134" s="681"/>
      <c r="J134" s="680"/>
      <c r="K134" s="680"/>
      <c r="L134" s="680"/>
      <c r="M134" s="680"/>
      <c r="N134" s="680"/>
      <c r="O134" s="680"/>
      <c r="P134" s="680"/>
      <c r="Q134" s="680"/>
      <c r="R134" s="680"/>
    </row>
    <row r="135" spans="1:18" s="369" customFormat="1" ht="13.35" customHeight="1">
      <c r="C135" s="454"/>
      <c r="D135" s="454"/>
      <c r="E135" s="706"/>
      <c r="G135" s="680"/>
      <c r="H135" s="680"/>
      <c r="I135" s="681"/>
      <c r="J135" s="680"/>
      <c r="K135" s="680"/>
      <c r="L135" s="680"/>
      <c r="M135" s="680"/>
      <c r="N135" s="680"/>
      <c r="O135" s="680"/>
      <c r="P135" s="680"/>
      <c r="Q135" s="680"/>
      <c r="R135" s="680"/>
    </row>
    <row r="136" spans="1:18" s="369" customFormat="1" ht="13.35" customHeight="1">
      <c r="C136" s="454"/>
      <c r="D136" s="454"/>
      <c r="E136" s="706"/>
      <c r="G136" s="680"/>
      <c r="H136" s="680"/>
      <c r="I136" s="681"/>
      <c r="J136" s="680"/>
      <c r="K136" s="680"/>
      <c r="L136" s="680"/>
      <c r="M136" s="680"/>
      <c r="N136" s="680"/>
      <c r="O136" s="680"/>
      <c r="P136" s="680"/>
      <c r="Q136" s="680"/>
      <c r="R136" s="680"/>
    </row>
    <row r="137" spans="1:18" s="369" customFormat="1" ht="13.35" customHeight="1">
      <c r="C137" s="454"/>
      <c r="D137" s="454"/>
      <c r="E137" s="706"/>
      <c r="G137" s="680"/>
      <c r="H137" s="680"/>
      <c r="I137" s="681"/>
      <c r="J137" s="680"/>
      <c r="K137" s="680"/>
      <c r="L137" s="680"/>
      <c r="M137" s="680"/>
      <c r="N137" s="680"/>
      <c r="O137" s="680"/>
      <c r="P137" s="680"/>
      <c r="Q137" s="680"/>
      <c r="R137" s="680"/>
    </row>
    <row r="138" spans="1:18" s="369" customFormat="1" ht="4.5" customHeight="1">
      <c r="C138" s="454"/>
      <c r="D138" s="454"/>
      <c r="E138" s="706"/>
      <c r="G138" s="680"/>
      <c r="H138" s="680"/>
      <c r="I138" s="681"/>
      <c r="J138" s="680"/>
      <c r="K138" s="680"/>
      <c r="L138" s="680"/>
      <c r="M138" s="680"/>
      <c r="N138" s="680"/>
      <c r="O138" s="680"/>
      <c r="P138" s="680"/>
      <c r="Q138" s="680"/>
      <c r="R138" s="680"/>
    </row>
    <row r="139" spans="1:18" s="369" customFormat="1" ht="5.25" customHeight="1">
      <c r="C139" s="454"/>
      <c r="D139" s="454"/>
      <c r="E139" s="706"/>
      <c r="G139" s="680"/>
      <c r="H139" s="680"/>
      <c r="I139" s="681"/>
      <c r="J139" s="680"/>
      <c r="K139" s="680"/>
      <c r="L139" s="680"/>
      <c r="M139" s="680"/>
      <c r="N139" s="680"/>
      <c r="O139" s="680"/>
      <c r="P139" s="680"/>
      <c r="Q139" s="680"/>
      <c r="R139" s="680"/>
    </row>
    <row r="140" spans="1:18" s="369" customFormat="1" ht="3.75" customHeight="1">
      <c r="C140" s="454"/>
      <c r="D140" s="454"/>
      <c r="E140" s="706"/>
      <c r="G140" s="680"/>
      <c r="H140" s="680"/>
      <c r="I140" s="681"/>
      <c r="J140" s="680"/>
      <c r="K140" s="680"/>
      <c r="L140" s="680"/>
      <c r="M140" s="680"/>
      <c r="N140" s="680"/>
      <c r="O140" s="680"/>
      <c r="P140" s="680"/>
      <c r="Q140" s="680"/>
      <c r="R140" s="680"/>
    </row>
    <row r="141" spans="1:18" s="369" customFormat="1" ht="10.9" customHeight="1">
      <c r="C141" s="454"/>
      <c r="D141" s="454"/>
      <c r="E141" s="706"/>
      <c r="G141" s="680"/>
      <c r="H141" s="680"/>
      <c r="I141" s="681"/>
      <c r="J141" s="680"/>
      <c r="K141" s="680"/>
      <c r="L141" s="680"/>
      <c r="M141" s="680"/>
      <c r="N141" s="680"/>
      <c r="O141" s="680"/>
      <c r="P141" s="680"/>
      <c r="Q141" s="680"/>
      <c r="R141" s="680"/>
    </row>
    <row r="142" spans="1:18" s="369" customFormat="1" ht="8.4499999999999993" customHeight="1">
      <c r="C142" s="454"/>
      <c r="D142" s="454"/>
      <c r="E142" s="706"/>
      <c r="G142" s="680"/>
      <c r="H142" s="680"/>
      <c r="I142" s="681"/>
      <c r="J142" s="680"/>
      <c r="K142" s="680"/>
      <c r="L142" s="680"/>
      <c r="M142" s="680"/>
      <c r="N142" s="680"/>
      <c r="O142" s="680"/>
      <c r="P142" s="680"/>
      <c r="Q142" s="680"/>
      <c r="R142" s="680"/>
    </row>
    <row r="143" spans="1:18" s="369" customFormat="1" ht="16.350000000000001" customHeight="1">
      <c r="A143" s="1034" t="s">
        <v>790</v>
      </c>
      <c r="B143" s="1035"/>
      <c r="C143" s="1036" t="s">
        <v>828</v>
      </c>
      <c r="D143" s="1036"/>
      <c r="E143" s="749" t="s">
        <v>792</v>
      </c>
      <c r="G143" s="680"/>
      <c r="H143" s="680" t="s">
        <v>823</v>
      </c>
      <c r="I143" s="681"/>
      <c r="J143" s="680"/>
      <c r="K143" s="680"/>
      <c r="L143" s="680"/>
      <c r="M143" s="680"/>
      <c r="N143" s="680"/>
      <c r="O143" s="680"/>
      <c r="P143" s="680"/>
      <c r="Q143" s="680"/>
      <c r="R143" s="680"/>
    </row>
    <row r="144" spans="1:18" ht="9.75" customHeight="1">
      <c r="A144" s="163"/>
      <c r="B144" s="163"/>
      <c r="C144" s="163"/>
      <c r="D144" s="163"/>
      <c r="E144" s="628"/>
      <c r="F144" s="258"/>
      <c r="I144" s="672"/>
    </row>
    <row r="145" spans="1:18" s="462" customFormat="1" ht="12">
      <c r="A145" s="458"/>
      <c r="B145" s="459" t="s">
        <v>829</v>
      </c>
      <c r="C145" s="460" t="s">
        <v>796</v>
      </c>
      <c r="D145" s="460" t="s">
        <v>797</v>
      </c>
      <c r="E145" s="627"/>
      <c r="F145" s="461"/>
      <c r="G145" s="673"/>
      <c r="H145" s="674" t="s">
        <v>798</v>
      </c>
      <c r="I145" s="674"/>
      <c r="J145" s="673" t="s">
        <v>800</v>
      </c>
      <c r="K145" s="673"/>
      <c r="L145" s="673"/>
      <c r="M145" s="673"/>
      <c r="N145" s="673"/>
      <c r="O145" s="673"/>
      <c r="P145" s="673"/>
      <c r="Q145" s="673"/>
      <c r="R145" s="673"/>
    </row>
    <row r="146" spans="1:18" ht="27.6" customHeight="1">
      <c r="A146" s="163"/>
      <c r="B146" s="441" t="s">
        <v>158</v>
      </c>
      <c r="C146" s="742" t="str">
        <f>WEEA!B34</f>
        <v>Is an agreement in place between Exporting and Importing Utility?</v>
      </c>
      <c r="D146" s="264" t="s">
        <v>138</v>
      </c>
      <c r="E146" s="627" t="str">
        <f>IFERROR(IF(OR($D$150="",$H146=10,NOT(ISNUMBER($H146))),"",IF(H146=$H$150,"Limiting","")),"")</f>
        <v/>
      </c>
      <c r="F146" s="258"/>
      <c r="G146" s="682">
        <f t="shared" ref="G146" si="10">IF(LEN(D146)&gt;0,1,0)</f>
        <v>1</v>
      </c>
      <c r="H146" s="676">
        <f>VLOOKUP('Interactive Data Grading'!D146,WEEA!$C$6:$G$16,5,FALSE)</f>
        <v>10</v>
      </c>
      <c r="I146" s="676"/>
    </row>
    <row r="147" spans="1:18" ht="27.6" customHeight="1">
      <c r="A147" s="163"/>
      <c r="B147" s="441" t="s">
        <v>159</v>
      </c>
      <c r="C147" s="742" t="str">
        <f>WEEA!B35</f>
        <v>Are meter accuracy testing or electronic calibration requirements stipulated in the water purchase agreement?</v>
      </c>
      <c r="D147" s="264" t="s">
        <v>134</v>
      </c>
      <c r="E147" s="627" t="str">
        <f t="shared" ref="E147:E149" si="11">IFERROR(IF(OR($D$150="",$H147=10,NOT(ISNUMBER($H147))),"",IF(H147=$H$150,"Limiting","")),"")</f>
        <v>Limiting</v>
      </c>
      <c r="F147" s="258"/>
      <c r="G147" s="682">
        <f>IF(OR(LEN(D147)&gt;0,D146=WEEA!$C$23),1,0)</f>
        <v>1</v>
      </c>
      <c r="H147" s="676">
        <f>VLOOKUP('Interactive Data Grading'!D147,WEEA!$D$6:$G$16,4,FALSE)</f>
        <v>6</v>
      </c>
      <c r="I147" s="677"/>
      <c r="J147" s="668" t="s">
        <v>158</v>
      </c>
    </row>
    <row r="148" spans="1:18" ht="27.6" customHeight="1">
      <c r="A148" s="163"/>
      <c r="B148" s="441" t="s">
        <v>160</v>
      </c>
      <c r="C148" s="742" t="str">
        <f>WEEA!B36</f>
        <v>Are flow accuracy test and/or electronic calibration results used to inform the error adjustment input in the water audit?</v>
      </c>
      <c r="D148" s="264" t="s">
        <v>90</v>
      </c>
      <c r="E148" s="627" t="str">
        <f t="shared" si="11"/>
        <v/>
      </c>
      <c r="F148" s="258"/>
      <c r="G148" s="682">
        <f t="shared" ref="G148:G149" si="12">IF(LEN(D148)&gt;0,1,0)</f>
        <v>1</v>
      </c>
      <c r="H148" s="676">
        <f>VLOOKUP('Interactive Data Grading'!D148,WEEA!$E$6:$G$16,3,FALSE)</f>
        <v>10</v>
      </c>
      <c r="I148" s="677"/>
    </row>
    <row r="149" spans="1:18" ht="27.6" customHeight="1">
      <c r="A149" s="163"/>
      <c r="B149" s="441" t="s">
        <v>161</v>
      </c>
      <c r="C149" s="742" t="str">
        <f>WEEA!B37</f>
        <v>Who has access to the import meter readings including current and archived data?</v>
      </c>
      <c r="D149" s="264" t="s">
        <v>140</v>
      </c>
      <c r="E149" s="627" t="str">
        <f t="shared" si="11"/>
        <v/>
      </c>
      <c r="F149" s="258"/>
      <c r="G149" s="682">
        <f t="shared" si="12"/>
        <v>1</v>
      </c>
      <c r="H149" s="676">
        <f>VLOOKUP('Interactive Data Grading'!D149,WEEA!$F$6:$G$16,2,FALSE)</f>
        <v>10</v>
      </c>
      <c r="I149" s="677"/>
    </row>
    <row r="150" spans="1:18" ht="27.6" customHeight="1">
      <c r="A150" s="163"/>
      <c r="B150" s="163"/>
      <c r="C150" s="259" t="s">
        <v>806</v>
      </c>
      <c r="D150" s="752">
        <f>IF(D115="No","n/a",IF(G150=0,"",H150))</f>
        <v>6</v>
      </c>
      <c r="E150" s="627"/>
      <c r="F150" s="258"/>
      <c r="G150" s="682">
        <f>MIN(G146:G149)</f>
        <v>1</v>
      </c>
      <c r="H150" s="679">
        <f t="array" ref="H150">MIN(IF(ISNUMBER(H146:H149),H146:H149))</f>
        <v>6</v>
      </c>
      <c r="I150" s="679"/>
    </row>
    <row r="151" spans="1:18" s="369" customFormat="1" ht="16.350000000000001" customHeight="1">
      <c r="C151" s="454"/>
      <c r="D151" s="454"/>
      <c r="E151" s="706"/>
      <c r="G151" s="680"/>
      <c r="H151" s="680"/>
      <c r="I151" s="681"/>
      <c r="J151" s="680"/>
      <c r="K151" s="680"/>
      <c r="L151" s="680"/>
      <c r="M151" s="680"/>
      <c r="N151" s="680"/>
      <c r="O151" s="680"/>
      <c r="P151" s="680"/>
      <c r="Q151" s="680"/>
      <c r="R151" s="680"/>
    </row>
    <row r="152" spans="1:18" s="369" customFormat="1" ht="16.350000000000001" customHeight="1">
      <c r="C152" s="454"/>
      <c r="D152" s="454"/>
      <c r="E152" s="706"/>
      <c r="G152" s="680"/>
      <c r="H152" s="680"/>
      <c r="I152" s="681"/>
      <c r="J152" s="680"/>
      <c r="K152" s="680"/>
      <c r="L152" s="680"/>
      <c r="M152" s="680"/>
      <c r="N152" s="680"/>
      <c r="O152" s="680"/>
      <c r="P152" s="680"/>
      <c r="Q152" s="680"/>
      <c r="R152" s="680"/>
    </row>
    <row r="153" spans="1:18" s="369" customFormat="1" ht="16.350000000000001" customHeight="1">
      <c r="C153" s="454"/>
      <c r="D153" s="454"/>
      <c r="E153" s="706"/>
      <c r="G153" s="680"/>
      <c r="H153" s="680"/>
      <c r="I153" s="681"/>
      <c r="J153" s="680"/>
      <c r="K153" s="680"/>
      <c r="L153" s="680"/>
      <c r="M153" s="680"/>
      <c r="N153" s="680"/>
      <c r="O153" s="680"/>
      <c r="P153" s="680"/>
      <c r="Q153" s="680"/>
      <c r="R153" s="680"/>
    </row>
    <row r="154" spans="1:18" s="369" customFormat="1" ht="16.350000000000001" customHeight="1">
      <c r="C154" s="454"/>
      <c r="D154" s="454"/>
      <c r="E154" s="706"/>
      <c r="G154" s="680"/>
      <c r="H154" s="680"/>
      <c r="I154" s="681"/>
      <c r="J154" s="680"/>
      <c r="K154" s="680"/>
      <c r="L154" s="680"/>
      <c r="M154" s="680"/>
      <c r="N154" s="680"/>
      <c r="O154" s="680"/>
      <c r="P154" s="680"/>
      <c r="Q154" s="680"/>
      <c r="R154" s="680"/>
    </row>
    <row r="155" spans="1:18" s="369" customFormat="1" ht="16.350000000000001" customHeight="1">
      <c r="C155" s="454"/>
      <c r="D155" s="454"/>
      <c r="E155" s="706"/>
      <c r="G155" s="680"/>
      <c r="H155" s="680"/>
      <c r="I155" s="681"/>
      <c r="J155" s="680"/>
      <c r="K155" s="680"/>
      <c r="L155" s="680"/>
      <c r="M155" s="680"/>
      <c r="N155" s="680"/>
      <c r="O155" s="680"/>
      <c r="P155" s="680"/>
      <c r="Q155" s="680"/>
      <c r="R155" s="680"/>
    </row>
    <row r="156" spans="1:18" s="369" customFormat="1" ht="16.350000000000001" customHeight="1">
      <c r="C156" s="454"/>
      <c r="D156" s="454"/>
      <c r="E156" s="706"/>
      <c r="G156" s="680"/>
      <c r="H156" s="680"/>
      <c r="I156" s="681"/>
      <c r="J156" s="680"/>
      <c r="K156" s="680"/>
      <c r="L156" s="680"/>
      <c r="M156" s="680"/>
      <c r="N156" s="680"/>
      <c r="O156" s="680"/>
      <c r="P156" s="680"/>
      <c r="Q156" s="680"/>
      <c r="R156" s="680"/>
    </row>
    <row r="157" spans="1:18" s="369" customFormat="1" ht="16.350000000000001" customHeight="1">
      <c r="C157" s="454"/>
      <c r="D157" s="454"/>
      <c r="E157" s="706"/>
      <c r="G157" s="680"/>
      <c r="H157" s="680"/>
      <c r="I157" s="681"/>
      <c r="J157" s="680"/>
      <c r="K157" s="680"/>
      <c r="L157" s="680"/>
      <c r="M157" s="680"/>
      <c r="N157" s="680"/>
      <c r="O157" s="680"/>
      <c r="P157" s="680"/>
      <c r="Q157" s="680"/>
      <c r="R157" s="680"/>
    </row>
    <row r="158" spans="1:18" s="369" customFormat="1" ht="16.350000000000001" customHeight="1">
      <c r="C158" s="454"/>
      <c r="D158" s="454"/>
      <c r="E158" s="706"/>
      <c r="G158" s="680"/>
      <c r="H158" s="680"/>
      <c r="I158" s="681"/>
      <c r="J158" s="680"/>
      <c r="K158" s="680"/>
      <c r="L158" s="680"/>
      <c r="M158" s="680"/>
      <c r="N158" s="680"/>
      <c r="O158" s="680"/>
      <c r="P158" s="680"/>
      <c r="Q158" s="680"/>
      <c r="R158" s="680"/>
    </row>
    <row r="159" spans="1:18" s="369" customFormat="1" ht="16.350000000000001" customHeight="1">
      <c r="C159" s="454"/>
      <c r="D159" s="454"/>
      <c r="E159" s="706"/>
      <c r="G159" s="680"/>
      <c r="H159" s="680"/>
      <c r="I159" s="681"/>
      <c r="J159" s="680"/>
      <c r="K159" s="680"/>
      <c r="L159" s="680"/>
      <c r="M159" s="680"/>
      <c r="N159" s="680"/>
      <c r="O159" s="680"/>
      <c r="P159" s="680"/>
      <c r="Q159" s="680"/>
      <c r="R159" s="680"/>
    </row>
    <row r="160" spans="1:18" s="369" customFormat="1" ht="16.350000000000001" customHeight="1">
      <c r="C160" s="454"/>
      <c r="D160" s="454"/>
      <c r="E160" s="706"/>
      <c r="G160" s="680"/>
      <c r="H160" s="680"/>
      <c r="I160" s="681"/>
      <c r="J160" s="680"/>
      <c r="K160" s="680"/>
      <c r="L160" s="680"/>
      <c r="M160" s="680"/>
      <c r="N160" s="680"/>
      <c r="O160" s="680"/>
      <c r="P160" s="680"/>
      <c r="Q160" s="680"/>
      <c r="R160" s="680"/>
    </row>
    <row r="161" spans="1:18" s="369" customFormat="1" ht="16.350000000000001" customHeight="1">
      <c r="C161" s="454"/>
      <c r="D161" s="454"/>
      <c r="E161" s="706"/>
      <c r="G161" s="680"/>
      <c r="H161" s="680"/>
      <c r="I161" s="681"/>
      <c r="J161" s="680"/>
      <c r="K161" s="680"/>
      <c r="L161" s="680"/>
      <c r="M161" s="680"/>
      <c r="N161" s="680"/>
      <c r="O161" s="680"/>
      <c r="P161" s="680"/>
      <c r="Q161" s="680"/>
      <c r="R161" s="680"/>
    </row>
    <row r="162" spans="1:18" s="369" customFormat="1" ht="16.350000000000001" customHeight="1">
      <c r="C162" s="454"/>
      <c r="D162" s="454"/>
      <c r="E162" s="706"/>
      <c r="G162" s="680"/>
      <c r="H162" s="680"/>
      <c r="I162" s="681"/>
      <c r="J162" s="680"/>
      <c r="K162" s="680"/>
      <c r="L162" s="680"/>
      <c r="M162" s="680"/>
      <c r="N162" s="680"/>
      <c r="O162" s="680"/>
      <c r="P162" s="680"/>
      <c r="Q162" s="680"/>
      <c r="R162" s="680"/>
    </row>
    <row r="163" spans="1:18" s="369" customFormat="1" ht="16.350000000000001" customHeight="1">
      <c r="C163" s="454"/>
      <c r="D163" s="454"/>
      <c r="E163" s="706"/>
      <c r="G163" s="680"/>
      <c r="H163" s="680"/>
      <c r="I163" s="681"/>
      <c r="J163" s="680"/>
      <c r="K163" s="680"/>
      <c r="L163" s="680"/>
      <c r="M163" s="680"/>
      <c r="N163" s="680"/>
      <c r="O163" s="680"/>
      <c r="P163" s="680"/>
      <c r="Q163" s="680"/>
      <c r="R163" s="680"/>
    </row>
    <row r="164" spans="1:18" s="369" customFormat="1" ht="16.350000000000001" customHeight="1">
      <c r="C164" s="454"/>
      <c r="D164" s="454"/>
      <c r="E164" s="706"/>
      <c r="G164" s="680"/>
      <c r="H164" s="680"/>
      <c r="I164" s="681"/>
      <c r="J164" s="680"/>
      <c r="K164" s="680"/>
      <c r="L164" s="680"/>
      <c r="M164" s="680"/>
      <c r="N164" s="680"/>
      <c r="O164" s="680"/>
      <c r="P164" s="680"/>
      <c r="Q164" s="680"/>
      <c r="R164" s="680"/>
    </row>
    <row r="165" spans="1:18" s="369" customFormat="1" ht="16.350000000000001" customHeight="1">
      <c r="C165" s="454"/>
      <c r="D165" s="454"/>
      <c r="E165" s="706"/>
      <c r="G165" s="680"/>
      <c r="H165" s="680"/>
      <c r="I165" s="681"/>
      <c r="J165" s="680"/>
      <c r="K165" s="680"/>
      <c r="L165" s="680"/>
      <c r="M165" s="680"/>
      <c r="N165" s="680"/>
      <c r="O165" s="680"/>
      <c r="P165" s="680"/>
      <c r="Q165" s="680"/>
      <c r="R165" s="680"/>
    </row>
    <row r="166" spans="1:18" s="369" customFormat="1" ht="16.350000000000001" customHeight="1">
      <c r="A166" s="1034" t="s">
        <v>790</v>
      </c>
      <c r="B166" s="1035"/>
      <c r="C166" s="1036" t="s">
        <v>830</v>
      </c>
      <c r="D166" s="1036"/>
      <c r="E166" s="749" t="s">
        <v>792</v>
      </c>
      <c r="G166" s="680"/>
      <c r="H166" s="680"/>
      <c r="I166" s="681"/>
      <c r="J166" s="680"/>
      <c r="K166" s="680"/>
      <c r="L166" s="680"/>
      <c r="M166" s="680"/>
      <c r="N166" s="680"/>
      <c r="O166" s="680"/>
      <c r="P166" s="680"/>
      <c r="Q166" s="680"/>
      <c r="R166" s="680"/>
    </row>
    <row r="167" spans="1:18" ht="12" customHeight="1">
      <c r="A167" s="163"/>
      <c r="B167" s="163"/>
      <c r="C167" s="1037" t="str">
        <f>IF(OR(AND(D169="Yes",Worksheet!H23&gt;0),AND(D169="No",Worksheet!H23&lt;=0),LEN(D169)=0),"","Inconsistency between Worksheet BMAC input and bmac.0 response")</f>
        <v/>
      </c>
      <c r="D167" s="1037"/>
      <c r="E167" s="628"/>
      <c r="F167" s="258"/>
      <c r="H167" s="672"/>
      <c r="I167" s="672"/>
    </row>
    <row r="168" spans="1:18" s="462" customFormat="1" ht="12">
      <c r="A168" s="458"/>
      <c r="B168" s="459" t="s">
        <v>831</v>
      </c>
      <c r="C168" s="460" t="s">
        <v>796</v>
      </c>
      <c r="D168" s="460" t="s">
        <v>797</v>
      </c>
      <c r="E168" s="627"/>
      <c r="F168" s="461"/>
      <c r="G168" s="673"/>
      <c r="H168" s="674" t="s">
        <v>798</v>
      </c>
      <c r="I168" s="674"/>
      <c r="J168" s="673" t="s">
        <v>800</v>
      </c>
      <c r="K168" s="673"/>
      <c r="L168" s="673"/>
      <c r="M168" s="673"/>
      <c r="N168" s="673"/>
      <c r="O168" s="673"/>
      <c r="P168" s="673"/>
      <c r="Q168" s="673"/>
      <c r="R168" s="673"/>
    </row>
    <row r="169" spans="1:18" ht="20.100000000000001" customHeight="1">
      <c r="A169" s="163"/>
      <c r="B169" s="441" t="s">
        <v>832</v>
      </c>
      <c r="C169" s="742" t="str">
        <f>BMAC!B34</f>
        <v xml:space="preserve">Were any customers metered in the audit year? </v>
      </c>
      <c r="D169" s="264" t="s">
        <v>62</v>
      </c>
      <c r="E169" s="627"/>
      <c r="F169" s="258"/>
      <c r="H169" s="668" t="str">
        <f>IF(D169="",X,"")</f>
        <v/>
      </c>
      <c r="I169" s="675"/>
      <c r="J169" s="668" t="s">
        <v>833</v>
      </c>
    </row>
    <row r="170" spans="1:18" ht="23.1" customHeight="1">
      <c r="A170" s="163"/>
      <c r="B170" s="441" t="s">
        <v>166</v>
      </c>
      <c r="C170" s="742" t="str">
        <f>BMAC!B35</f>
        <v>For billed metered accounts, what % of bills are estimated in a typical billing cycle?</v>
      </c>
      <c r="D170" s="264" t="s">
        <v>201</v>
      </c>
      <c r="E170" s="627" t="str">
        <f t="shared" ref="E170:E176" si="13">IFERROR(IF(OR($D$177=10,NOT(ISNUMBER($D$177))),"",IF(I170=$I$177,"Limiting","")),"")</f>
        <v/>
      </c>
      <c r="F170" s="258"/>
      <c r="G170" s="669">
        <f>IF($D$169="No",1,IF(LEN(D170)&gt;0,1,0))</f>
        <v>1</v>
      </c>
      <c r="H170" s="683">
        <f>VLOOKUP('Interactive Data Grading'!D170,BMAC!$C$6:$J$15,8,FALSE)</f>
        <v>10</v>
      </c>
      <c r="I170" s="683">
        <f>H170</f>
        <v>10</v>
      </c>
    </row>
    <row r="171" spans="1:18" ht="38.25" customHeight="1">
      <c r="A171" s="163"/>
      <c r="B171" s="441" t="s">
        <v>167</v>
      </c>
      <c r="C171" s="742" t="str">
        <f>BMAC!B36</f>
        <v>How often does the utility read its customer meters?
For systems with multiple read frequencies, select the reading frequency that describes the majority of your customers.</v>
      </c>
      <c r="D171" s="264" t="s">
        <v>196</v>
      </c>
      <c r="E171" s="627" t="str">
        <f t="shared" si="13"/>
        <v>Limiting</v>
      </c>
      <c r="F171" s="258"/>
      <c r="G171" s="669">
        <f t="shared" ref="G171:G175" si="14">IF($D$169="No",1,IF(LEN(D171)&gt;0,1,0))</f>
        <v>1</v>
      </c>
      <c r="H171" s="683">
        <f>VLOOKUP('Interactive Data Grading'!D171,BMAC!$D$6:$J$15,7,FALSE)</f>
        <v>9</v>
      </c>
      <c r="I171" s="683">
        <f t="shared" ref="I171:I175" si="15">H171</f>
        <v>9</v>
      </c>
    </row>
    <row r="172" spans="1:18" ht="22.15" customHeight="1">
      <c r="A172" s="163"/>
      <c r="B172" s="441" t="s">
        <v>168</v>
      </c>
      <c r="C172" s="742" t="str">
        <f>BMAC!B37</f>
        <v>Is the BMAC volume pro-rated to represent consumption occuring exactly during the audit period?</v>
      </c>
      <c r="D172" s="264" t="s">
        <v>62</v>
      </c>
      <c r="E172" s="627" t="str">
        <f t="shared" si="13"/>
        <v/>
      </c>
      <c r="F172" s="258"/>
      <c r="G172" s="669">
        <f t="shared" si="14"/>
        <v>1</v>
      </c>
      <c r="H172" s="683">
        <f>VLOOKUP('Interactive Data Grading'!D172,BMAC!$E$6:$J$15,6,FALSE)</f>
        <v>10</v>
      </c>
      <c r="I172" s="683">
        <f t="shared" si="15"/>
        <v>10</v>
      </c>
    </row>
    <row r="173" spans="1:18" ht="20.100000000000001" customHeight="1">
      <c r="A173" s="163"/>
      <c r="B173" s="441" t="s">
        <v>169</v>
      </c>
      <c r="C173" s="742" t="str">
        <f>BMAC!B38</f>
        <v>How frequently does internal review by utility staff of the BMAC volumes occur?</v>
      </c>
      <c r="D173" s="264" t="s">
        <v>203</v>
      </c>
      <c r="E173" s="627" t="str">
        <f t="shared" si="13"/>
        <v/>
      </c>
      <c r="F173" s="258"/>
      <c r="G173" s="669">
        <f t="shared" si="14"/>
        <v>1</v>
      </c>
      <c r="H173" s="683">
        <f>VLOOKUP('Interactive Data Grading'!D173,BMAC!$F$6:$J$15,5,FALSE)</f>
        <v>10</v>
      </c>
      <c r="I173" s="683">
        <f t="shared" si="15"/>
        <v>10</v>
      </c>
    </row>
    <row r="174" spans="1:18" ht="20.100000000000001" customHeight="1">
      <c r="A174" s="163"/>
      <c r="B174" s="441" t="s">
        <v>170</v>
      </c>
      <c r="C174" s="742" t="str">
        <f>BMAC!B39</f>
        <v>What level of detail is examined in the internal review of BMAC volumes?</v>
      </c>
      <c r="D174" s="264" t="s">
        <v>204</v>
      </c>
      <c r="E174" s="627" t="str">
        <f t="shared" si="13"/>
        <v/>
      </c>
      <c r="F174" s="258"/>
      <c r="G174" s="669">
        <f>IF(OR($D$169="No",D173=BMAC!F23),1,IF(LEN(D174)&gt;0,1,0))</f>
        <v>1</v>
      </c>
      <c r="H174" s="683">
        <f>VLOOKUP('Interactive Data Grading'!D174,BMAC!$G$6:$J$15,4,FALSE)</f>
        <v>10</v>
      </c>
      <c r="I174" s="683">
        <f>IF(D173=BMAC!F23,X,H174)</f>
        <v>10</v>
      </c>
      <c r="J174" s="668" t="s">
        <v>169</v>
      </c>
    </row>
    <row r="175" spans="1:18" ht="22.9" customHeight="1">
      <c r="A175" s="163"/>
      <c r="B175" s="441" t="s">
        <v>171</v>
      </c>
      <c r="C175" s="742" t="str">
        <f>BMAC!B40</f>
        <v>When was the most recent billing data review by someone who is independent of the utility billing process?</v>
      </c>
      <c r="D175" s="264" t="s">
        <v>199</v>
      </c>
      <c r="E175" s="627" t="str">
        <f t="shared" si="13"/>
        <v>Limiting</v>
      </c>
      <c r="F175" s="258"/>
      <c r="G175" s="669">
        <f t="shared" si="14"/>
        <v>1</v>
      </c>
      <c r="H175" s="683">
        <f>VLOOKUP('Interactive Data Grading'!D175,BMAC!$H$6:$J$15,3,FALSE)</f>
        <v>9</v>
      </c>
      <c r="I175" s="683">
        <f t="shared" si="15"/>
        <v>9</v>
      </c>
    </row>
    <row r="176" spans="1:18" ht="22.9" customHeight="1">
      <c r="A176" s="163"/>
      <c r="B176" s="441" t="s">
        <v>172</v>
      </c>
      <c r="C176" s="742" t="str">
        <f>BMAC!B41</f>
        <v>What level of detail was examined in the review by someone who is independent of the utility billing process?</v>
      </c>
      <c r="D176" s="264" t="s">
        <v>206</v>
      </c>
      <c r="E176" s="627" t="str">
        <f t="shared" si="13"/>
        <v/>
      </c>
      <c r="F176" s="258"/>
      <c r="G176" s="669">
        <f>IF(OR($D$169="No",D175=BMAC!H23),1,IF(LEN(D176)&gt;0,1,0))</f>
        <v>1</v>
      </c>
      <c r="H176" s="683">
        <f>VLOOKUP('Interactive Data Grading'!D176,BMAC!$I$6:$J$15,2,FALSE)</f>
        <v>10</v>
      </c>
      <c r="I176" s="683">
        <f>IF(D175=BMAC!H23,X,H176)</f>
        <v>10</v>
      </c>
      <c r="J176" s="668" t="s">
        <v>171</v>
      </c>
    </row>
    <row r="177" spans="1:18" ht="27.6" customHeight="1">
      <c r="A177" s="163"/>
      <c r="B177" s="163"/>
      <c r="C177" s="259" t="s">
        <v>806</v>
      </c>
      <c r="D177" s="630">
        <f>IF(D169="","",IF(D169="No","n/a",IF(G177=0,"",I177)))</f>
        <v>9</v>
      </c>
      <c r="E177" s="627"/>
      <c r="F177" s="258"/>
      <c r="G177" s="669">
        <f>MIN(G170:G176)</f>
        <v>1</v>
      </c>
      <c r="H177" s="679">
        <f>MIN(H169:H176)</f>
        <v>9</v>
      </c>
      <c r="I177" s="679">
        <f t="array" ref="I177">MIN(IF(ISNUMBER(I168:I176),I168:I176))</f>
        <v>9</v>
      </c>
    </row>
    <row r="178" spans="1:18" s="369" customFormat="1" ht="16.350000000000001" customHeight="1">
      <c r="C178" s="454"/>
      <c r="D178" s="454"/>
      <c r="E178" s="706"/>
      <c r="G178" s="680"/>
      <c r="H178" s="680"/>
      <c r="I178" s="681"/>
      <c r="J178" s="680"/>
      <c r="K178" s="680"/>
      <c r="L178" s="680"/>
      <c r="M178" s="680"/>
      <c r="N178" s="680"/>
      <c r="O178" s="680"/>
      <c r="P178" s="680"/>
      <c r="Q178" s="680"/>
      <c r="R178" s="680"/>
    </row>
    <row r="179" spans="1:18" s="369" customFormat="1" ht="16.350000000000001" customHeight="1">
      <c r="C179" s="454"/>
      <c r="D179" s="454"/>
      <c r="E179" s="706"/>
      <c r="G179" s="680"/>
      <c r="H179" s="680"/>
      <c r="I179" s="681"/>
      <c r="J179" s="680"/>
      <c r="K179" s="680"/>
      <c r="L179" s="680"/>
      <c r="M179" s="680"/>
      <c r="N179" s="680"/>
      <c r="O179" s="680"/>
      <c r="P179" s="680"/>
      <c r="Q179" s="680"/>
      <c r="R179" s="680"/>
    </row>
    <row r="180" spans="1:18" s="369" customFormat="1" ht="16.350000000000001" customHeight="1">
      <c r="C180" s="454"/>
      <c r="D180" s="454"/>
      <c r="E180" s="706"/>
      <c r="G180" s="680"/>
      <c r="H180" s="680"/>
      <c r="I180" s="681"/>
      <c r="J180" s="680"/>
      <c r="K180" s="680"/>
      <c r="L180" s="680"/>
      <c r="M180" s="680"/>
      <c r="N180" s="680"/>
      <c r="O180" s="680"/>
      <c r="P180" s="680"/>
      <c r="Q180" s="680"/>
      <c r="R180" s="680"/>
    </row>
    <row r="181" spans="1:18" s="369" customFormat="1" ht="16.350000000000001" customHeight="1">
      <c r="C181" s="454"/>
      <c r="D181" s="454"/>
      <c r="E181" s="706"/>
      <c r="G181" s="680"/>
      <c r="H181" s="680"/>
      <c r="I181" s="681"/>
      <c r="J181" s="680"/>
      <c r="K181" s="680"/>
      <c r="L181" s="680"/>
      <c r="M181" s="680"/>
      <c r="N181" s="680"/>
      <c r="O181" s="680"/>
      <c r="P181" s="680"/>
      <c r="Q181" s="680"/>
      <c r="R181" s="680"/>
    </row>
    <row r="182" spans="1:18" s="369" customFormat="1" ht="16.350000000000001" customHeight="1">
      <c r="C182" s="454"/>
      <c r="D182" s="454"/>
      <c r="E182" s="706"/>
      <c r="G182" s="680"/>
      <c r="H182" s="680"/>
      <c r="I182" s="681"/>
      <c r="J182" s="680"/>
      <c r="K182" s="680"/>
      <c r="L182" s="680"/>
      <c r="M182" s="680"/>
      <c r="N182" s="680"/>
      <c r="O182" s="680"/>
      <c r="P182" s="680"/>
      <c r="Q182" s="680"/>
      <c r="R182" s="680"/>
    </row>
    <row r="183" spans="1:18" s="369" customFormat="1" ht="16.350000000000001" customHeight="1">
      <c r="C183" s="454"/>
      <c r="D183" s="454"/>
      <c r="E183" s="706"/>
      <c r="G183" s="680"/>
      <c r="H183" s="680"/>
      <c r="I183" s="681"/>
      <c r="J183" s="680"/>
      <c r="K183" s="680"/>
      <c r="L183" s="680"/>
      <c r="M183" s="680"/>
      <c r="N183" s="680"/>
      <c r="O183" s="680"/>
      <c r="P183" s="680"/>
      <c r="Q183" s="680"/>
      <c r="R183" s="680"/>
    </row>
    <row r="184" spans="1:18" s="369" customFormat="1" ht="16.350000000000001" customHeight="1">
      <c r="C184" s="454"/>
      <c r="D184" s="454"/>
      <c r="E184" s="706"/>
      <c r="G184" s="680"/>
      <c r="H184" s="680"/>
      <c r="I184" s="681"/>
      <c r="J184" s="680"/>
      <c r="K184" s="680"/>
      <c r="L184" s="680"/>
      <c r="M184" s="680"/>
      <c r="N184" s="680"/>
      <c r="O184" s="680"/>
      <c r="P184" s="680"/>
      <c r="Q184" s="680"/>
      <c r="R184" s="680"/>
    </row>
    <row r="185" spans="1:18" s="369" customFormat="1" ht="16.350000000000001" customHeight="1">
      <c r="C185" s="454"/>
      <c r="D185" s="454"/>
      <c r="E185" s="706"/>
      <c r="G185" s="680"/>
      <c r="H185" s="680"/>
      <c r="I185" s="681"/>
      <c r="J185" s="680"/>
      <c r="K185" s="680"/>
      <c r="L185" s="680"/>
      <c r="M185" s="680"/>
      <c r="N185" s="680"/>
      <c r="O185" s="680"/>
      <c r="P185" s="680"/>
      <c r="Q185" s="680"/>
      <c r="R185" s="680"/>
    </row>
    <row r="186" spans="1:18" s="369" customFormat="1" ht="16.350000000000001" customHeight="1">
      <c r="C186" s="454"/>
      <c r="D186" s="454"/>
      <c r="E186" s="706"/>
      <c r="G186" s="680"/>
      <c r="H186" s="680"/>
      <c r="I186" s="681"/>
      <c r="J186" s="680"/>
      <c r="K186" s="680"/>
      <c r="L186" s="680"/>
      <c r="M186" s="680"/>
      <c r="N186" s="680"/>
      <c r="O186" s="680"/>
      <c r="P186" s="680"/>
      <c r="Q186" s="680"/>
      <c r="R186" s="680"/>
    </row>
    <row r="187" spans="1:18" s="369" customFormat="1" ht="16.350000000000001" customHeight="1">
      <c r="C187" s="454"/>
      <c r="D187" s="454"/>
      <c r="E187" s="706"/>
      <c r="G187" s="680"/>
      <c r="H187" s="680"/>
      <c r="I187" s="681"/>
      <c r="J187" s="680"/>
      <c r="K187" s="680"/>
      <c r="L187" s="680"/>
      <c r="M187" s="680"/>
      <c r="N187" s="680"/>
      <c r="O187" s="680"/>
      <c r="P187" s="680"/>
      <c r="Q187" s="680"/>
      <c r="R187" s="680"/>
    </row>
    <row r="188" spans="1:18" s="369" customFormat="1" ht="16.350000000000001" customHeight="1">
      <c r="C188" s="454"/>
      <c r="D188" s="454"/>
      <c r="E188" s="706"/>
      <c r="G188" s="680"/>
      <c r="H188" s="680"/>
      <c r="I188" s="681"/>
      <c r="J188" s="680"/>
      <c r="K188" s="680"/>
      <c r="L188" s="680"/>
      <c r="M188" s="680"/>
      <c r="N188" s="680"/>
      <c r="O188" s="680"/>
      <c r="P188" s="680"/>
      <c r="Q188" s="680"/>
      <c r="R188" s="680"/>
    </row>
    <row r="189" spans="1:18" s="369" customFormat="1" ht="47.45" customHeight="1">
      <c r="C189" s="454"/>
      <c r="D189" s="454"/>
      <c r="E189" s="706"/>
      <c r="G189" s="680"/>
      <c r="H189" s="680"/>
      <c r="I189" s="681"/>
      <c r="J189" s="680"/>
      <c r="K189" s="680"/>
      <c r="L189" s="680"/>
      <c r="M189" s="680"/>
      <c r="N189" s="680"/>
      <c r="O189" s="680"/>
      <c r="P189" s="680"/>
      <c r="Q189" s="680"/>
      <c r="R189" s="680"/>
    </row>
    <row r="190" spans="1:18" s="369" customFormat="1" ht="33.75" customHeight="1">
      <c r="C190" s="454"/>
      <c r="D190" s="454"/>
      <c r="E190" s="706"/>
      <c r="G190" s="680"/>
      <c r="H190" s="680"/>
      <c r="I190" s="681"/>
      <c r="J190" s="680"/>
      <c r="K190" s="680"/>
      <c r="L190" s="680"/>
      <c r="M190" s="680"/>
      <c r="N190" s="680"/>
      <c r="O190" s="680"/>
      <c r="P190" s="680"/>
      <c r="Q190" s="680"/>
      <c r="R190" s="680"/>
    </row>
    <row r="191" spans="1:18" s="369" customFormat="1" ht="32.25" customHeight="1">
      <c r="C191" s="454"/>
      <c r="D191" s="454"/>
      <c r="E191" s="706"/>
      <c r="G191" s="680"/>
      <c r="H191" s="680"/>
      <c r="I191" s="681"/>
      <c r="J191" s="680"/>
      <c r="K191" s="680"/>
      <c r="L191" s="680"/>
      <c r="M191" s="680"/>
      <c r="N191" s="680"/>
      <c r="O191" s="680"/>
      <c r="P191" s="680"/>
      <c r="Q191" s="680"/>
      <c r="R191" s="680"/>
    </row>
    <row r="192" spans="1:18" s="369" customFormat="1" ht="24.75" customHeight="1">
      <c r="C192" s="454"/>
      <c r="D192" s="454"/>
      <c r="E192" s="706"/>
      <c r="G192" s="680"/>
      <c r="H192" s="680"/>
      <c r="I192" s="681"/>
      <c r="J192" s="680"/>
      <c r="K192" s="680"/>
      <c r="L192" s="680"/>
      <c r="M192" s="680"/>
      <c r="N192" s="680"/>
      <c r="O192" s="680"/>
      <c r="P192" s="680"/>
      <c r="Q192" s="680"/>
      <c r="R192" s="680"/>
    </row>
    <row r="193" spans="1:18" s="369" customFormat="1" ht="16.350000000000001" customHeight="1">
      <c r="A193" s="1034" t="s">
        <v>790</v>
      </c>
      <c r="B193" s="1035"/>
      <c r="C193" s="1036" t="s">
        <v>834</v>
      </c>
      <c r="D193" s="1036"/>
      <c r="E193" s="749" t="s">
        <v>792</v>
      </c>
      <c r="G193" s="680"/>
      <c r="H193" s="680"/>
      <c r="I193" s="681"/>
      <c r="J193" s="680"/>
      <c r="K193" s="680"/>
      <c r="L193" s="680"/>
      <c r="M193" s="680"/>
      <c r="N193" s="680"/>
      <c r="O193" s="680"/>
      <c r="P193" s="680"/>
      <c r="Q193" s="680"/>
      <c r="R193" s="680"/>
    </row>
    <row r="194" spans="1:18" ht="12" customHeight="1">
      <c r="A194" s="163"/>
      <c r="B194" s="163"/>
      <c r="C194" s="1037" t="str">
        <f>IF(OR(AND(D196="Yes",Worksheet!H24&gt;0),AND(D196="No",Worksheet!H24&lt;=0),LEN(D196)=0),"","Inconsistency between Worksheet BUAC input and buac.0 response")</f>
        <v>Inconsistency between Worksheet BUAC input and buac.0 response</v>
      </c>
      <c r="D194" s="1037"/>
      <c r="E194" s="628"/>
      <c r="F194" s="258"/>
      <c r="H194" s="672"/>
      <c r="I194" s="672"/>
    </row>
    <row r="195" spans="1:18" s="462" customFormat="1" ht="12">
      <c r="A195" s="458"/>
      <c r="B195" s="459" t="s">
        <v>835</v>
      </c>
      <c r="C195" s="460" t="s">
        <v>796</v>
      </c>
      <c r="D195" s="460" t="s">
        <v>797</v>
      </c>
      <c r="E195" s="627"/>
      <c r="F195" s="461"/>
      <c r="G195" s="673"/>
      <c r="H195" s="674" t="s">
        <v>798</v>
      </c>
      <c r="I195" s="674"/>
      <c r="J195" s="673" t="s">
        <v>800</v>
      </c>
      <c r="K195" s="673"/>
      <c r="L195" s="673"/>
      <c r="M195" s="673"/>
      <c r="N195" s="673"/>
      <c r="O195" s="673"/>
      <c r="P195" s="673"/>
      <c r="Q195" s="673"/>
      <c r="R195" s="673"/>
    </row>
    <row r="196" spans="1:18" ht="27.6" customHeight="1">
      <c r="A196" s="163"/>
      <c r="B196" s="441" t="s">
        <v>836</v>
      </c>
      <c r="C196" s="742" t="str">
        <f>BUAC!B34</f>
        <v>Was there any billed consumption on unmetered accounts in the audit year?</v>
      </c>
      <c r="D196" s="264" t="s">
        <v>62</v>
      </c>
      <c r="E196" s="627"/>
      <c r="F196" s="258"/>
      <c r="H196" s="668" t="str">
        <f>IF(D196="",X,"")</f>
        <v/>
      </c>
      <c r="I196" s="675"/>
      <c r="J196" s="668" t="s">
        <v>833</v>
      </c>
    </row>
    <row r="197" spans="1:18" ht="27.6" customHeight="1">
      <c r="A197" s="163"/>
      <c r="B197" s="441" t="s">
        <v>209</v>
      </c>
      <c r="C197" s="742" t="str">
        <f>BUAC!B35</f>
        <v>What portion of billed accounts are unmetered (% by number of accounts)?</v>
      </c>
      <c r="D197" s="264" t="s">
        <v>201</v>
      </c>
      <c r="E197" s="627" t="str">
        <f>IF(OR($D$200=10,$D$200="n/a"),"",IFERROR(IF(H197=MIN($H$197:$H$199),"Limiting",""),""))</f>
        <v/>
      </c>
      <c r="F197" s="258"/>
      <c r="H197" s="676">
        <f>VLOOKUP('Interactive Data Grading'!D197,BUAC!$C$6:$F$15,4,FALSE)</f>
        <v>10</v>
      </c>
      <c r="I197" s="676"/>
    </row>
    <row r="198" spans="1:18" ht="27.6" customHeight="1">
      <c r="A198" s="163"/>
      <c r="B198" s="441" t="s">
        <v>210</v>
      </c>
      <c r="C198" s="742" t="str">
        <f>BUAC!B36</f>
        <v>Methodology to quantify consumption for unmetered accounts?</v>
      </c>
      <c r="D198" s="264" t="s">
        <v>223</v>
      </c>
      <c r="E198" s="627" t="str">
        <f>IF(OR($D$200=10,$D$200="n/a"),"",IFERROR(IF(H198=MIN($H$197:$H$199),"Limiting",""),""))</f>
        <v/>
      </c>
      <c r="F198" s="258"/>
      <c r="H198" s="676">
        <f>VLOOKUP('Interactive Data Grading'!D198,BUAC!$D$6:$F$15,3,FALSE)</f>
        <v>10</v>
      </c>
      <c r="I198" s="677"/>
    </row>
    <row r="199" spans="1:18" ht="27.6" customHeight="1">
      <c r="A199" s="163"/>
      <c r="B199" s="441" t="s">
        <v>211</v>
      </c>
      <c r="C199" s="742" t="str">
        <f>BUAC!B37</f>
        <v>How frequently is unmetered customer consumption estimated?</v>
      </c>
      <c r="D199" s="264" t="s">
        <v>196</v>
      </c>
      <c r="E199" s="627" t="str">
        <f>IF(OR($D$200=10,$D$200="n/a"),"",IFERROR(IF(H199=MIN($H$197:$H$199),"Limiting",""),""))</f>
        <v/>
      </c>
      <c r="F199" s="258"/>
      <c r="H199" s="676">
        <f>VLOOKUP('Interactive Data Grading'!D199,BUAC!$E$6:$F$15,2,FALSE)</f>
        <v>10</v>
      </c>
      <c r="I199" s="677"/>
    </row>
    <row r="200" spans="1:18" ht="27.6" customHeight="1">
      <c r="A200" s="163"/>
      <c r="B200" s="163"/>
      <c r="C200" s="259" t="s">
        <v>806</v>
      </c>
      <c r="D200" s="630">
        <f>IFERROR((IF(D196="No","n/a",H200)),"")</f>
        <v>10</v>
      </c>
      <c r="E200" s="627"/>
      <c r="F200" s="258"/>
      <c r="H200" s="679">
        <f>MIN(H196:H199)</f>
        <v>10</v>
      </c>
      <c r="I200" s="676"/>
    </row>
    <row r="201" spans="1:18" s="369" customFormat="1" ht="16.350000000000001" customHeight="1">
      <c r="C201" s="454"/>
      <c r="D201" s="454"/>
      <c r="E201" s="706"/>
      <c r="G201" s="680"/>
      <c r="H201" s="680"/>
      <c r="I201" s="681"/>
      <c r="J201" s="680"/>
      <c r="K201" s="680"/>
      <c r="L201" s="680"/>
      <c r="M201" s="680"/>
      <c r="N201" s="680"/>
      <c r="O201" s="680"/>
      <c r="P201" s="680"/>
      <c r="Q201" s="680"/>
      <c r="R201" s="680"/>
    </row>
    <row r="202" spans="1:18" s="369" customFormat="1" ht="16.350000000000001" customHeight="1">
      <c r="C202" s="454"/>
      <c r="D202" s="454"/>
      <c r="E202" s="706"/>
      <c r="G202" s="680"/>
      <c r="H202" s="680"/>
      <c r="I202" s="681"/>
      <c r="J202" s="680"/>
      <c r="K202" s="680"/>
      <c r="L202" s="680"/>
      <c r="M202" s="680"/>
      <c r="N202" s="680"/>
      <c r="O202" s="680"/>
      <c r="P202" s="680"/>
      <c r="Q202" s="680"/>
      <c r="R202" s="680"/>
    </row>
    <row r="203" spans="1:18" s="369" customFormat="1" ht="16.350000000000001" customHeight="1">
      <c r="C203" s="454"/>
      <c r="D203" s="454"/>
      <c r="E203" s="706"/>
      <c r="G203" s="680"/>
      <c r="H203" s="680"/>
      <c r="I203" s="681"/>
      <c r="J203" s="680"/>
      <c r="K203" s="680"/>
      <c r="L203" s="680"/>
      <c r="M203" s="680"/>
      <c r="N203" s="680"/>
      <c r="O203" s="680"/>
      <c r="P203" s="680"/>
      <c r="Q203" s="680"/>
      <c r="R203" s="680"/>
    </row>
    <row r="204" spans="1:18" s="369" customFormat="1" ht="16.350000000000001" customHeight="1">
      <c r="C204" s="454"/>
      <c r="D204" s="454"/>
      <c r="E204" s="706"/>
      <c r="G204" s="680"/>
      <c r="H204" s="680"/>
      <c r="I204" s="681"/>
      <c r="J204" s="680"/>
      <c r="K204" s="680"/>
      <c r="L204" s="680"/>
      <c r="M204" s="680"/>
      <c r="N204" s="680"/>
      <c r="O204" s="680"/>
      <c r="P204" s="680"/>
      <c r="Q204" s="680"/>
      <c r="R204" s="680"/>
    </row>
    <row r="205" spans="1:18" s="369" customFormat="1" ht="16.350000000000001" customHeight="1">
      <c r="C205" s="454"/>
      <c r="D205" s="454"/>
      <c r="E205" s="706"/>
      <c r="G205" s="680"/>
      <c r="H205" s="680"/>
      <c r="I205" s="681"/>
      <c r="J205" s="680"/>
      <c r="K205" s="680"/>
      <c r="L205" s="680"/>
      <c r="M205" s="680"/>
      <c r="N205" s="680"/>
      <c r="O205" s="680"/>
      <c r="P205" s="680"/>
      <c r="Q205" s="680"/>
      <c r="R205" s="680"/>
    </row>
    <row r="206" spans="1:18" s="369" customFormat="1" ht="16.350000000000001" customHeight="1">
      <c r="C206" s="454"/>
      <c r="D206" s="454"/>
      <c r="E206" s="706"/>
      <c r="G206" s="680"/>
      <c r="H206" s="680"/>
      <c r="I206" s="681"/>
      <c r="J206" s="680"/>
      <c r="K206" s="680"/>
      <c r="L206" s="680"/>
      <c r="M206" s="680"/>
      <c r="N206" s="680"/>
      <c r="O206" s="680"/>
      <c r="P206" s="680"/>
      <c r="Q206" s="680"/>
      <c r="R206" s="680"/>
    </row>
    <row r="207" spans="1:18" s="369" customFormat="1" ht="16.350000000000001" customHeight="1">
      <c r="C207" s="454"/>
      <c r="D207" s="454"/>
      <c r="E207" s="706"/>
      <c r="G207" s="680"/>
      <c r="H207" s="680"/>
      <c r="I207" s="681"/>
      <c r="J207" s="680"/>
      <c r="K207" s="680"/>
      <c r="L207" s="680"/>
      <c r="M207" s="680"/>
      <c r="N207" s="680"/>
      <c r="O207" s="680"/>
      <c r="P207" s="680"/>
      <c r="Q207" s="680"/>
      <c r="R207" s="680"/>
    </row>
    <row r="208" spans="1:18" s="369" customFormat="1" ht="16.350000000000001" customHeight="1">
      <c r="C208" s="454"/>
      <c r="D208" s="454"/>
      <c r="E208" s="706"/>
      <c r="G208" s="680"/>
      <c r="H208" s="680"/>
      <c r="I208" s="681"/>
      <c r="J208" s="680"/>
      <c r="K208" s="680"/>
      <c r="L208" s="680"/>
      <c r="M208" s="680"/>
      <c r="N208" s="680"/>
      <c r="O208" s="680"/>
      <c r="P208" s="680"/>
      <c r="Q208" s="680"/>
      <c r="R208" s="680"/>
    </row>
    <row r="209" spans="1:18" s="369" customFormat="1" ht="57.6" customHeight="1">
      <c r="C209" s="454"/>
      <c r="D209" s="454"/>
      <c r="E209" s="706"/>
      <c r="G209" s="680"/>
      <c r="H209" s="680"/>
      <c r="I209" s="681"/>
      <c r="J209" s="680"/>
      <c r="K209" s="680"/>
      <c r="L209" s="680"/>
      <c r="M209" s="680"/>
      <c r="N209" s="680"/>
      <c r="O209" s="680"/>
      <c r="P209" s="680"/>
      <c r="Q209" s="680"/>
      <c r="R209" s="680"/>
    </row>
    <row r="210" spans="1:18" s="369" customFormat="1" ht="57.6" customHeight="1">
      <c r="C210" s="454"/>
      <c r="D210" s="454"/>
      <c r="E210" s="706"/>
      <c r="G210" s="680"/>
      <c r="H210" s="680"/>
      <c r="I210" s="681"/>
      <c r="J210" s="680"/>
      <c r="K210" s="680"/>
      <c r="L210" s="680"/>
      <c r="M210" s="680"/>
      <c r="N210" s="680"/>
      <c r="O210" s="680"/>
      <c r="P210" s="680"/>
      <c r="Q210" s="680"/>
      <c r="R210" s="680"/>
    </row>
    <row r="211" spans="1:18" s="369" customFormat="1" ht="57.6" customHeight="1">
      <c r="C211" s="454"/>
      <c r="D211" s="454"/>
      <c r="E211" s="706"/>
      <c r="G211" s="680"/>
      <c r="H211" s="680"/>
      <c r="I211" s="681"/>
      <c r="J211" s="680"/>
      <c r="K211" s="680"/>
      <c r="L211" s="680"/>
      <c r="M211" s="680"/>
      <c r="N211" s="680"/>
      <c r="O211" s="680"/>
      <c r="P211" s="680"/>
      <c r="Q211" s="680"/>
      <c r="R211" s="680"/>
    </row>
    <row r="212" spans="1:18" s="369" customFormat="1" ht="33.75" customHeight="1">
      <c r="C212" s="454"/>
      <c r="D212" s="454"/>
      <c r="E212" s="706"/>
      <c r="G212" s="680"/>
      <c r="H212" s="680"/>
      <c r="I212" s="681"/>
      <c r="J212" s="680"/>
      <c r="K212" s="680"/>
      <c r="L212" s="680"/>
      <c r="M212" s="680"/>
      <c r="N212" s="680"/>
      <c r="O212" s="680"/>
      <c r="P212" s="680"/>
      <c r="Q212" s="680"/>
      <c r="R212" s="680"/>
    </row>
    <row r="213" spans="1:18" s="369" customFormat="1" ht="16.350000000000001" customHeight="1">
      <c r="C213" s="454"/>
      <c r="D213" s="454"/>
      <c r="E213" s="706"/>
      <c r="G213" s="680"/>
      <c r="H213" s="680"/>
      <c r="I213" s="681"/>
      <c r="J213" s="680"/>
      <c r="K213" s="680"/>
      <c r="L213" s="680"/>
      <c r="M213" s="680"/>
      <c r="N213" s="680"/>
      <c r="O213" s="680"/>
      <c r="P213" s="680"/>
      <c r="Q213" s="680"/>
      <c r="R213" s="680"/>
    </row>
    <row r="214" spans="1:18" s="369" customFormat="1" ht="16.350000000000001" customHeight="1">
      <c r="C214" s="454"/>
      <c r="D214" s="454"/>
      <c r="E214" s="706"/>
      <c r="G214" s="680"/>
      <c r="H214" s="680"/>
      <c r="I214" s="681"/>
      <c r="J214" s="680"/>
      <c r="K214" s="680"/>
      <c r="L214" s="680"/>
      <c r="M214" s="680"/>
      <c r="N214" s="680"/>
      <c r="O214" s="680"/>
      <c r="P214" s="680"/>
      <c r="Q214" s="680"/>
      <c r="R214" s="680"/>
    </row>
    <row r="215" spans="1:18" s="369" customFormat="1" ht="18.75" customHeight="1">
      <c r="C215" s="454"/>
      <c r="D215" s="454"/>
      <c r="E215" s="706"/>
      <c r="G215" s="680"/>
      <c r="H215" s="680"/>
      <c r="I215" s="681"/>
      <c r="J215" s="680"/>
      <c r="K215" s="680"/>
      <c r="L215" s="680"/>
      <c r="M215" s="680"/>
      <c r="N215" s="680"/>
      <c r="O215" s="680"/>
      <c r="P215" s="680"/>
      <c r="Q215" s="680"/>
      <c r="R215" s="680"/>
    </row>
    <row r="216" spans="1:18" s="369" customFormat="1" ht="16.350000000000001" customHeight="1">
      <c r="A216" s="1034" t="s">
        <v>790</v>
      </c>
      <c r="B216" s="1035"/>
      <c r="C216" s="1036" t="s">
        <v>837</v>
      </c>
      <c r="D216" s="1036"/>
      <c r="E216" s="749" t="s">
        <v>792</v>
      </c>
      <c r="G216" s="680"/>
      <c r="H216" s="680"/>
      <c r="I216" s="681"/>
      <c r="J216" s="680"/>
      <c r="K216" s="680"/>
      <c r="L216" s="680"/>
      <c r="M216" s="680"/>
      <c r="N216" s="680"/>
      <c r="O216" s="680"/>
      <c r="P216" s="680"/>
      <c r="Q216" s="680"/>
      <c r="R216" s="680"/>
    </row>
    <row r="217" spans="1:18" ht="12" customHeight="1">
      <c r="A217" s="163"/>
      <c r="B217" s="163"/>
      <c r="C217" s="1037" t="str">
        <f>IF(OR(AND(D219="Yes",Worksheet!H25&gt;0),AND(D219="No",Worksheet!H25&lt;=0),LEN(D219)=0),"","Inconsistency between Worksheet UMAC input and umac.0 response")</f>
        <v/>
      </c>
      <c r="D217" s="1037"/>
      <c r="E217" s="628"/>
      <c r="F217" s="258"/>
      <c r="H217" s="672"/>
      <c r="I217" s="672"/>
    </row>
    <row r="218" spans="1:18" s="462" customFormat="1" ht="12">
      <c r="A218" s="458"/>
      <c r="B218" s="459" t="s">
        <v>838</v>
      </c>
      <c r="C218" s="460" t="s">
        <v>796</v>
      </c>
      <c r="D218" s="460" t="s">
        <v>797</v>
      </c>
      <c r="E218" s="627"/>
      <c r="F218" s="461"/>
      <c r="G218" s="673"/>
      <c r="H218" s="674" t="s">
        <v>798</v>
      </c>
      <c r="I218" s="674"/>
      <c r="J218" s="673" t="s">
        <v>800</v>
      </c>
      <c r="K218" s="673"/>
      <c r="L218" s="673"/>
      <c r="M218" s="673"/>
      <c r="N218" s="673"/>
      <c r="O218" s="673"/>
      <c r="P218" s="673"/>
      <c r="Q218" s="673"/>
      <c r="R218" s="673"/>
    </row>
    <row r="219" spans="1:18" ht="27.6" customHeight="1">
      <c r="A219" s="163"/>
      <c r="B219" s="441" t="s">
        <v>839</v>
      </c>
      <c r="C219" s="742" t="str">
        <f>UMAC!B34</f>
        <v>Did the water utility have any unbilled-metered consumption in the audit year?</v>
      </c>
      <c r="D219" s="264" t="s">
        <v>62</v>
      </c>
      <c r="E219" s="627"/>
      <c r="F219" s="258"/>
      <c r="H219" s="668" t="str">
        <f>IF(D219="",X,"")</f>
        <v/>
      </c>
      <c r="I219" s="675"/>
      <c r="J219" s="668" t="s">
        <v>833</v>
      </c>
    </row>
    <row r="220" spans="1:18" ht="27.6" customHeight="1">
      <c r="A220" s="163"/>
      <c r="B220" s="441" t="s">
        <v>226</v>
      </c>
      <c r="C220" s="742" t="str">
        <f>UMAC!B35</f>
        <v>Does the water utility policy articulate which accounts are exempt from billing?</v>
      </c>
      <c r="D220" s="264" t="s">
        <v>244</v>
      </c>
      <c r="E220" s="627" t="str">
        <f>IF(OR($D$224=10,$D$224="n/a"),"",IFERROR(IF(H220=MIN($H$220:$H$223),"Limiting",""),""))</f>
        <v/>
      </c>
      <c r="F220" s="258"/>
      <c r="H220" s="676">
        <f>VLOOKUP('Interactive Data Grading'!D220,UMAC!$C$6:$G$15,5,FALSE)</f>
        <v>10</v>
      </c>
      <c r="I220" s="676"/>
    </row>
    <row r="221" spans="1:18" ht="27.6" customHeight="1">
      <c r="A221" s="163"/>
      <c r="B221" s="441" t="s">
        <v>227</v>
      </c>
      <c r="C221" s="742" t="str">
        <f>UMAC!B36</f>
        <v>How many unbilled metered accounts exist?</v>
      </c>
      <c r="D221" s="264" t="s">
        <v>245</v>
      </c>
      <c r="E221" s="627" t="str">
        <f>IF(OR($D$224=10,$D$224="n/a"),"",IFERROR(IF(H221=MIN($H$220:$H$223),"Limiting",""),""))</f>
        <v/>
      </c>
      <c r="F221" s="258"/>
      <c r="H221" s="676">
        <f>VLOOKUP('Interactive Data Grading'!D221,UMAC!$D$6:$G$15,4,FALSE)</f>
        <v>10</v>
      </c>
      <c r="I221" s="677"/>
    </row>
    <row r="222" spans="1:18" ht="41.85" customHeight="1">
      <c r="A222" s="163"/>
      <c r="B222" s="441" t="s">
        <v>228</v>
      </c>
      <c r="C222" s="742" t="str">
        <f>UMAC!B37</f>
        <v>How often is each unbilled customer meter read? 
For systems with multiple read frequencies, select the reading frequency that describes the majority of your customers.</v>
      </c>
      <c r="D222" s="264" t="s">
        <v>246</v>
      </c>
      <c r="E222" s="627" t="str">
        <f>IF(OR($D$224=10,$D$224="n/a"),"",IFERROR(IF(H222=MIN($H$220:$H$223),"Limiting",""),""))</f>
        <v/>
      </c>
      <c r="F222" s="258"/>
      <c r="H222" s="676">
        <f>VLOOKUP('Interactive Data Grading'!D222,UMAC!$E$6:$G$15,3,FALSE)</f>
        <v>10</v>
      </c>
      <c r="I222" s="677"/>
    </row>
    <row r="223" spans="1:18" ht="27.6" customHeight="1">
      <c r="A223" s="163"/>
      <c r="B223" s="441" t="s">
        <v>229</v>
      </c>
      <c r="C223" s="742" t="str">
        <f>UMAC!B38</f>
        <v>How often are unbilled metered volumes reviewed for error?</v>
      </c>
      <c r="D223" s="264" t="s">
        <v>247</v>
      </c>
      <c r="E223" s="627" t="str">
        <f>IF(OR($D$224=10,$D$224="n/a"),"",IFERROR(IF(H223=MIN($H$220:$H$223),"Limiting",""),""))</f>
        <v/>
      </c>
      <c r="F223" s="258"/>
      <c r="H223" s="676">
        <f>VLOOKUP('Interactive Data Grading'!D223,UMAC!$F$6:$G$15,2,FALSE)</f>
        <v>10</v>
      </c>
      <c r="I223" s="676"/>
    </row>
    <row r="224" spans="1:18" ht="27.6" customHeight="1">
      <c r="A224" s="163"/>
      <c r="B224" s="163"/>
      <c r="C224" s="259" t="s">
        <v>806</v>
      </c>
      <c r="D224" s="630">
        <f>IFERROR((IF(D219="No","n/a",H224)),"")</f>
        <v>10</v>
      </c>
      <c r="E224" s="627"/>
      <c r="F224" s="258"/>
      <c r="H224" s="679">
        <f>MIN(H219:H223)</f>
        <v>10</v>
      </c>
      <c r="I224" s="676"/>
    </row>
    <row r="225" spans="1:18" s="369" customFormat="1" ht="16.350000000000001" customHeight="1">
      <c r="C225" s="454"/>
      <c r="D225" s="454"/>
      <c r="E225" s="706"/>
      <c r="G225" s="680"/>
      <c r="H225" s="680"/>
      <c r="I225" s="681"/>
      <c r="J225" s="680"/>
      <c r="K225" s="680"/>
      <c r="L225" s="680"/>
      <c r="M225" s="680"/>
      <c r="N225" s="680"/>
      <c r="O225" s="680"/>
      <c r="P225" s="680"/>
      <c r="Q225" s="680"/>
      <c r="R225" s="680"/>
    </row>
    <row r="226" spans="1:18" s="369" customFormat="1" ht="16.350000000000001" customHeight="1">
      <c r="C226" s="454"/>
      <c r="D226" s="454"/>
      <c r="E226" s="706"/>
      <c r="G226" s="680"/>
      <c r="H226" s="680"/>
      <c r="I226" s="681"/>
      <c r="J226" s="680"/>
      <c r="K226" s="680"/>
      <c r="L226" s="680"/>
      <c r="M226" s="680"/>
      <c r="N226" s="680"/>
      <c r="O226" s="680"/>
      <c r="P226" s="680"/>
      <c r="Q226" s="680"/>
      <c r="R226" s="680"/>
    </row>
    <row r="227" spans="1:18" s="369" customFormat="1" ht="16.350000000000001" customHeight="1">
      <c r="C227" s="454"/>
      <c r="D227" s="454"/>
      <c r="E227" s="706"/>
      <c r="G227" s="680"/>
      <c r="H227" s="680"/>
      <c r="I227" s="681"/>
      <c r="J227" s="680"/>
      <c r="K227" s="680"/>
      <c r="L227" s="680"/>
      <c r="M227" s="680"/>
      <c r="N227" s="680"/>
      <c r="O227" s="680"/>
      <c r="P227" s="680"/>
      <c r="Q227" s="680"/>
      <c r="R227" s="680"/>
    </row>
    <row r="228" spans="1:18" s="369" customFormat="1" ht="16.350000000000001" customHeight="1">
      <c r="C228" s="454"/>
      <c r="D228" s="454"/>
      <c r="E228" s="706"/>
      <c r="G228" s="680"/>
      <c r="H228" s="680"/>
      <c r="I228" s="681"/>
      <c r="J228" s="680"/>
      <c r="K228" s="680"/>
      <c r="L228" s="680"/>
      <c r="M228" s="680"/>
      <c r="N228" s="680"/>
      <c r="O228" s="680"/>
      <c r="P228" s="680"/>
      <c r="Q228" s="680"/>
      <c r="R228" s="680"/>
    </row>
    <row r="229" spans="1:18" s="369" customFormat="1" ht="16.350000000000001" customHeight="1">
      <c r="C229" s="454"/>
      <c r="D229" s="454"/>
      <c r="E229" s="706"/>
      <c r="G229" s="680"/>
      <c r="H229" s="680"/>
      <c r="I229" s="681"/>
      <c r="J229" s="680"/>
      <c r="K229" s="680"/>
      <c r="L229" s="680"/>
      <c r="M229" s="680"/>
      <c r="N229" s="680"/>
      <c r="O229" s="680"/>
      <c r="P229" s="680"/>
      <c r="Q229" s="680"/>
      <c r="R229" s="680"/>
    </row>
    <row r="230" spans="1:18" s="369" customFormat="1" ht="40.35" customHeight="1">
      <c r="C230" s="454"/>
      <c r="D230" s="454"/>
      <c r="E230" s="706"/>
      <c r="G230" s="680"/>
      <c r="H230" s="680"/>
      <c r="I230" s="681"/>
      <c r="J230" s="680"/>
      <c r="K230" s="680"/>
      <c r="L230" s="680"/>
      <c r="M230" s="680"/>
      <c r="N230" s="680"/>
      <c r="O230" s="680"/>
      <c r="P230" s="680"/>
      <c r="Q230" s="680"/>
      <c r="R230" s="680"/>
    </row>
    <row r="231" spans="1:18" s="369" customFormat="1" ht="40.35" customHeight="1">
      <c r="C231" s="454"/>
      <c r="D231" s="454"/>
      <c r="E231" s="706"/>
      <c r="G231" s="680"/>
      <c r="H231" s="680"/>
      <c r="I231" s="681"/>
      <c r="J231" s="680"/>
      <c r="K231" s="680"/>
      <c r="L231" s="680"/>
      <c r="M231" s="680"/>
      <c r="N231" s="680"/>
      <c r="O231" s="680"/>
      <c r="P231" s="680"/>
      <c r="Q231" s="680"/>
      <c r="R231" s="680"/>
    </row>
    <row r="232" spans="1:18" s="369" customFormat="1" ht="40.35" customHeight="1">
      <c r="C232" s="454"/>
      <c r="D232" s="454"/>
      <c r="E232" s="706"/>
      <c r="G232" s="680"/>
      <c r="H232" s="680"/>
      <c r="I232" s="681"/>
      <c r="J232" s="680"/>
      <c r="K232" s="680"/>
      <c r="L232" s="680"/>
      <c r="M232" s="680"/>
      <c r="N232" s="680"/>
      <c r="O232" s="680"/>
      <c r="P232" s="680"/>
      <c r="Q232" s="680"/>
      <c r="R232" s="680"/>
    </row>
    <row r="233" spans="1:18" s="369" customFormat="1" ht="23.25" customHeight="1">
      <c r="C233" s="454"/>
      <c r="D233" s="454"/>
      <c r="E233" s="706"/>
      <c r="G233" s="680"/>
      <c r="H233" s="680"/>
      <c r="I233" s="681"/>
      <c r="J233" s="680"/>
      <c r="K233" s="680"/>
      <c r="L233" s="680"/>
      <c r="M233" s="680"/>
      <c r="N233" s="680"/>
      <c r="O233" s="680"/>
      <c r="P233" s="680"/>
      <c r="Q233" s="680"/>
      <c r="R233" s="680"/>
    </row>
    <row r="234" spans="1:18" s="369" customFormat="1" ht="13.5" customHeight="1">
      <c r="C234" s="454"/>
      <c r="D234" s="454"/>
      <c r="E234" s="706"/>
      <c r="G234" s="680"/>
      <c r="H234" s="680"/>
      <c r="I234" s="681"/>
      <c r="J234" s="680"/>
      <c r="K234" s="680"/>
      <c r="L234" s="680"/>
      <c r="M234" s="680"/>
      <c r="N234" s="680"/>
      <c r="O234" s="680"/>
      <c r="P234" s="680"/>
      <c r="Q234" s="680"/>
      <c r="R234" s="680"/>
    </row>
    <row r="235" spans="1:18" s="369" customFormat="1" ht="16.350000000000001" customHeight="1">
      <c r="C235" s="454"/>
      <c r="D235" s="454"/>
      <c r="E235" s="706"/>
      <c r="G235" s="680"/>
      <c r="H235" s="680"/>
      <c r="I235" s="681"/>
      <c r="J235" s="680"/>
      <c r="K235" s="680"/>
      <c r="L235" s="680"/>
      <c r="M235" s="680"/>
      <c r="N235" s="680"/>
      <c r="O235" s="680"/>
      <c r="P235" s="680"/>
      <c r="Q235" s="680"/>
      <c r="R235" s="680"/>
    </row>
    <row r="236" spans="1:18" s="369" customFormat="1" ht="12.75" customHeight="1">
      <c r="C236" s="454"/>
      <c r="D236" s="454"/>
      <c r="E236" s="706"/>
      <c r="G236" s="680"/>
      <c r="H236" s="680"/>
      <c r="I236" s="681"/>
      <c r="J236" s="680"/>
      <c r="K236" s="680"/>
      <c r="L236" s="680"/>
      <c r="M236" s="680"/>
      <c r="N236" s="680"/>
      <c r="O236" s="680"/>
      <c r="P236" s="680"/>
      <c r="Q236" s="680"/>
      <c r="R236" s="680"/>
    </row>
    <row r="237" spans="1:18" s="369" customFormat="1" ht="12.75" customHeight="1">
      <c r="C237" s="454"/>
      <c r="D237" s="454"/>
      <c r="E237" s="706"/>
      <c r="G237" s="680"/>
      <c r="H237" s="680"/>
      <c r="I237" s="681"/>
      <c r="J237" s="680"/>
      <c r="K237" s="680"/>
      <c r="L237" s="680"/>
      <c r="M237" s="680"/>
      <c r="N237" s="680"/>
      <c r="O237" s="680"/>
      <c r="P237" s="680"/>
      <c r="Q237" s="680"/>
      <c r="R237" s="680"/>
    </row>
    <row r="238" spans="1:18" s="369" customFormat="1" ht="12.75" customHeight="1">
      <c r="C238" s="454"/>
      <c r="D238" s="454"/>
      <c r="E238" s="706"/>
      <c r="G238" s="680"/>
      <c r="H238" s="680"/>
      <c r="I238" s="681"/>
      <c r="J238" s="680"/>
      <c r="K238" s="680"/>
      <c r="L238" s="680"/>
      <c r="M238" s="680"/>
      <c r="N238" s="680"/>
      <c r="O238" s="680"/>
      <c r="P238" s="680"/>
      <c r="Q238" s="680"/>
      <c r="R238" s="680"/>
    </row>
    <row r="239" spans="1:18" s="369" customFormat="1" ht="51" customHeight="1">
      <c r="C239" s="454"/>
      <c r="D239" s="454"/>
      <c r="E239" s="706"/>
      <c r="G239" s="680"/>
      <c r="H239" s="680"/>
      <c r="I239" s="681"/>
      <c r="J239" s="680"/>
      <c r="K239" s="680"/>
      <c r="L239" s="680"/>
      <c r="M239" s="680"/>
      <c r="N239" s="680"/>
      <c r="O239" s="680"/>
      <c r="P239" s="680"/>
      <c r="Q239" s="680"/>
      <c r="R239" s="680"/>
    </row>
    <row r="240" spans="1:18" s="369" customFormat="1" ht="16.350000000000001" customHeight="1">
      <c r="A240" s="1034" t="s">
        <v>790</v>
      </c>
      <c r="B240" s="1035"/>
      <c r="C240" s="1036" t="s">
        <v>840</v>
      </c>
      <c r="D240" s="1036"/>
      <c r="E240" s="749" t="s">
        <v>792</v>
      </c>
      <c r="G240" s="680"/>
      <c r="H240" s="680"/>
      <c r="I240" s="681"/>
      <c r="J240" s="680"/>
      <c r="K240" s="680"/>
      <c r="L240" s="680"/>
      <c r="M240" s="680"/>
      <c r="N240" s="680"/>
      <c r="O240" s="680"/>
      <c r="P240" s="680"/>
      <c r="Q240" s="680"/>
      <c r="R240" s="680"/>
    </row>
    <row r="241" spans="1:18" ht="9.75" customHeight="1">
      <c r="A241" s="163"/>
      <c r="B241" s="163"/>
      <c r="C241" s="1043" t="str">
        <f>IF(Worksheet!W26=1,"This Data Grading Criteria is hidden when the 'default' input is used on the Worksheet","")</f>
        <v/>
      </c>
      <c r="D241" s="1043"/>
      <c r="E241" s="628"/>
      <c r="F241" s="258"/>
      <c r="H241" s="672"/>
      <c r="I241" s="672"/>
    </row>
    <row r="242" spans="1:18" s="462" customFormat="1" ht="12">
      <c r="A242" s="458"/>
      <c r="B242" s="459" t="s">
        <v>841</v>
      </c>
      <c r="C242" s="460" t="s">
        <v>796</v>
      </c>
      <c r="D242" s="460" t="s">
        <v>797</v>
      </c>
      <c r="E242" s="627"/>
      <c r="F242" s="461"/>
      <c r="G242" s="673"/>
      <c r="H242" s="674" t="s">
        <v>798</v>
      </c>
      <c r="I242" s="674"/>
      <c r="J242" s="673" t="s">
        <v>800</v>
      </c>
      <c r="K242" s="673"/>
      <c r="L242" s="673"/>
      <c r="M242" s="673"/>
      <c r="N242" s="673"/>
      <c r="O242" s="673"/>
      <c r="P242" s="673"/>
      <c r="Q242" s="673"/>
      <c r="R242" s="673"/>
    </row>
    <row r="243" spans="1:18" ht="27.6" customHeight="1">
      <c r="A243" s="163"/>
      <c r="B243" s="441" t="s">
        <v>842</v>
      </c>
      <c r="C243" s="742" t="str">
        <f>UUAC!B34</f>
        <v xml:space="preserve">On the Worksheet, the status of the default option is: </v>
      </c>
      <c r="D243" s="262" t="str">
        <f>IF(AND(Worksheet!W26=2,Worksheet!Q26&gt;0),UUAC!A2,UUAC!A3)</f>
        <v>A system specific volume has been entered</v>
      </c>
      <c r="E243" s="627"/>
      <c r="F243" s="258"/>
      <c r="I243" s="675"/>
      <c r="J243" s="668" t="s">
        <v>843</v>
      </c>
    </row>
    <row r="244" spans="1:18" ht="27.6" customHeight="1">
      <c r="A244" s="163"/>
      <c r="B244" s="441" t="s">
        <v>253</v>
      </c>
      <c r="C244" s="742" t="str">
        <f>UUAC!B35</f>
        <v>How well-understood is the extent of unbilled unmetered use?</v>
      </c>
      <c r="D244" s="260" t="s">
        <v>268</v>
      </c>
      <c r="E244" s="627" t="str">
        <f>IF(OR($D$247=10,$D$247=3),"",IFERROR(IF(H244=MIN($H$244:$H$246),"Limiting",""),""))</f>
        <v/>
      </c>
      <c r="F244" s="258"/>
      <c r="H244" s="676">
        <f>VLOOKUP('Interactive Data Grading'!D244,UUAC!$C$6:$F$15,4,FALSE)</f>
        <v>10</v>
      </c>
      <c r="I244" s="676"/>
    </row>
    <row r="245" spans="1:18" ht="27.6" customHeight="1">
      <c r="A245" s="163"/>
      <c r="B245" s="441" t="s">
        <v>254</v>
      </c>
      <c r="C245" s="742" t="str">
        <f>UUAC!B36</f>
        <v>Which best describes the records that are kept for events of unbilled unmetered use?</v>
      </c>
      <c r="D245" s="261" t="s">
        <v>269</v>
      </c>
      <c r="E245" s="627" t="str">
        <f>IF(OR($D$247=10,$D$247=3),"",IFERROR(IF(H245=MIN($H$244:$H$246),"Limiting",""),""))</f>
        <v/>
      </c>
      <c r="F245" s="258"/>
      <c r="H245" s="676">
        <f>VLOOKUP('Interactive Data Grading'!D245,UUAC!$D$6:$F$15,3,FALSE)</f>
        <v>10</v>
      </c>
      <c r="I245" s="677"/>
    </row>
    <row r="246" spans="1:18" ht="27.6" customHeight="1">
      <c r="A246" s="163"/>
      <c r="B246" s="441" t="s">
        <v>255</v>
      </c>
      <c r="C246" s="742" t="str">
        <f>UUAC!B37</f>
        <v>How is the majority of unbilled unmetered use estimated?</v>
      </c>
      <c r="D246" s="261" t="s">
        <v>270</v>
      </c>
      <c r="E246" s="627" t="str">
        <f>IF(OR($D$247=10,$D$247=3),"",IFERROR(IF(H246=MIN($H$244:$H$246),"Limiting",""),""))</f>
        <v/>
      </c>
      <c r="F246" s="258"/>
      <c r="H246" s="676">
        <f>VLOOKUP('Interactive Data Grading'!D246,UUAC!$E$6:$F$15,2,FALSE)</f>
        <v>10</v>
      </c>
      <c r="I246" s="677"/>
    </row>
    <row r="247" spans="1:18" ht="27.6" customHeight="1">
      <c r="A247" s="163"/>
      <c r="B247" s="163"/>
      <c r="C247" s="259" t="s">
        <v>806</v>
      </c>
      <c r="D247" s="752">
        <f>IFERROR((IF(D243=UUAC!A3,3,H247)),"")</f>
        <v>10</v>
      </c>
      <c r="E247" s="627"/>
      <c r="F247" s="258"/>
      <c r="H247" s="679">
        <f>MIN(H244:H246)</f>
        <v>10</v>
      </c>
      <c r="I247" s="676"/>
    </row>
    <row r="248" spans="1:18" s="369" customFormat="1" ht="16.350000000000001" customHeight="1">
      <c r="C248" s="454"/>
      <c r="D248" s="454"/>
      <c r="E248" s="706"/>
      <c r="G248" s="680"/>
      <c r="H248" s="680"/>
      <c r="I248" s="681"/>
      <c r="J248" s="680"/>
      <c r="K248" s="680"/>
      <c r="L248" s="680"/>
      <c r="M248" s="680"/>
      <c r="N248" s="680"/>
      <c r="O248" s="680"/>
      <c r="P248" s="680"/>
      <c r="Q248" s="680"/>
      <c r="R248" s="680"/>
    </row>
    <row r="249" spans="1:18" s="369" customFormat="1" ht="16.350000000000001" customHeight="1">
      <c r="C249" s="454"/>
      <c r="D249" s="454"/>
      <c r="E249" s="706"/>
      <c r="G249" s="680"/>
      <c r="H249" s="680"/>
      <c r="I249" s="681"/>
      <c r="J249" s="680"/>
      <c r="K249" s="680"/>
      <c r="L249" s="680"/>
      <c r="M249" s="680"/>
      <c r="N249" s="680"/>
      <c r="O249" s="680"/>
      <c r="P249" s="680"/>
      <c r="Q249" s="680"/>
      <c r="R249" s="680"/>
    </row>
    <row r="250" spans="1:18" s="369" customFormat="1" ht="16.350000000000001" customHeight="1">
      <c r="C250" s="454"/>
      <c r="D250" s="454"/>
      <c r="E250" s="706"/>
      <c r="G250" s="680"/>
      <c r="H250" s="680"/>
      <c r="I250" s="681"/>
      <c r="J250" s="680"/>
      <c r="K250" s="680"/>
      <c r="L250" s="680"/>
      <c r="M250" s="680"/>
      <c r="N250" s="680"/>
      <c r="O250" s="680"/>
      <c r="P250" s="680"/>
      <c r="Q250" s="680"/>
      <c r="R250" s="680"/>
    </row>
    <row r="251" spans="1:18" s="369" customFormat="1" ht="16.350000000000001" customHeight="1">
      <c r="C251" s="454"/>
      <c r="D251" s="454"/>
      <c r="E251" s="706"/>
      <c r="G251" s="680"/>
      <c r="H251" s="680"/>
      <c r="I251" s="681"/>
      <c r="J251" s="680"/>
      <c r="K251" s="680"/>
      <c r="L251" s="680"/>
      <c r="M251" s="680"/>
      <c r="N251" s="680"/>
      <c r="O251" s="680"/>
      <c r="P251" s="680"/>
      <c r="Q251" s="680"/>
      <c r="R251" s="680"/>
    </row>
    <row r="252" spans="1:18" s="369" customFormat="1" ht="16.350000000000001" customHeight="1">
      <c r="C252" s="454"/>
      <c r="D252" s="454"/>
      <c r="E252" s="706"/>
      <c r="G252" s="680"/>
      <c r="H252" s="680"/>
      <c r="I252" s="681"/>
      <c r="J252" s="680"/>
      <c r="K252" s="680"/>
      <c r="L252" s="680"/>
      <c r="M252" s="680"/>
      <c r="N252" s="680"/>
      <c r="O252" s="680"/>
      <c r="P252" s="680"/>
      <c r="Q252" s="680"/>
      <c r="R252" s="680"/>
    </row>
    <row r="253" spans="1:18" s="369" customFormat="1" ht="16.350000000000001" customHeight="1">
      <c r="C253" s="454"/>
      <c r="D253" s="454"/>
      <c r="E253" s="706"/>
      <c r="G253" s="680"/>
      <c r="H253" s="680"/>
      <c r="I253" s="681"/>
      <c r="J253" s="680"/>
      <c r="K253" s="680"/>
      <c r="L253" s="680"/>
      <c r="M253" s="680"/>
      <c r="N253" s="680"/>
      <c r="O253" s="680"/>
      <c r="P253" s="680"/>
      <c r="Q253" s="680"/>
      <c r="R253" s="680"/>
    </row>
    <row r="254" spans="1:18" s="369" customFormat="1" ht="16.350000000000001" customHeight="1">
      <c r="C254" s="454"/>
      <c r="D254" s="454"/>
      <c r="E254" s="706"/>
      <c r="G254" s="680"/>
      <c r="H254" s="680"/>
      <c r="I254" s="681"/>
      <c r="J254" s="680"/>
      <c r="K254" s="680"/>
      <c r="L254" s="680"/>
      <c r="M254" s="680"/>
      <c r="N254" s="680"/>
      <c r="O254" s="680"/>
      <c r="P254" s="680"/>
      <c r="Q254" s="680"/>
      <c r="R254" s="680"/>
    </row>
    <row r="255" spans="1:18" s="369" customFormat="1" ht="16.350000000000001" customHeight="1">
      <c r="C255" s="454"/>
      <c r="D255" s="454"/>
      <c r="E255" s="706"/>
      <c r="G255" s="680"/>
      <c r="H255" s="680"/>
      <c r="I255" s="681"/>
      <c r="J255" s="680"/>
      <c r="K255" s="680"/>
      <c r="L255" s="680"/>
      <c r="M255" s="680"/>
      <c r="N255" s="680"/>
      <c r="O255" s="680"/>
      <c r="P255" s="680"/>
      <c r="Q255" s="680"/>
      <c r="R255" s="680"/>
    </row>
    <row r="256" spans="1:18" s="369" customFormat="1" ht="40.9" customHeight="1">
      <c r="C256" s="454"/>
      <c r="D256" s="454"/>
      <c r="E256" s="706"/>
      <c r="G256" s="680"/>
      <c r="H256" s="680"/>
      <c r="I256" s="681"/>
      <c r="J256" s="680"/>
      <c r="K256" s="680"/>
      <c r="L256" s="680"/>
      <c r="M256" s="680"/>
      <c r="N256" s="680"/>
      <c r="O256" s="680"/>
      <c r="P256" s="680"/>
      <c r="Q256" s="680"/>
      <c r="R256" s="680"/>
    </row>
    <row r="257" spans="1:18" s="369" customFormat="1" ht="40.9" customHeight="1">
      <c r="C257" s="454"/>
      <c r="D257" s="454"/>
      <c r="E257" s="706"/>
      <c r="G257" s="680"/>
      <c r="H257" s="680"/>
      <c r="I257" s="681"/>
      <c r="J257" s="680"/>
      <c r="K257" s="680"/>
      <c r="L257" s="680"/>
      <c r="M257" s="680"/>
      <c r="N257" s="680"/>
      <c r="O257" s="680"/>
      <c r="P257" s="680"/>
      <c r="Q257" s="680"/>
      <c r="R257" s="680"/>
    </row>
    <row r="258" spans="1:18" s="369" customFormat="1" ht="40.9" customHeight="1">
      <c r="C258" s="454"/>
      <c r="D258" s="454"/>
      <c r="E258" s="706"/>
      <c r="G258" s="680"/>
      <c r="H258" s="680"/>
      <c r="I258" s="681"/>
      <c r="J258" s="680"/>
      <c r="K258" s="680"/>
      <c r="L258" s="680"/>
      <c r="M258" s="680"/>
      <c r="N258" s="680"/>
      <c r="O258" s="680"/>
      <c r="P258" s="680"/>
      <c r="Q258" s="680"/>
      <c r="R258" s="680"/>
    </row>
    <row r="259" spans="1:18" s="369" customFormat="1" ht="40.9" customHeight="1">
      <c r="C259" s="454"/>
      <c r="D259" s="454"/>
      <c r="E259" s="706"/>
      <c r="G259" s="680"/>
      <c r="H259" s="680"/>
      <c r="I259" s="681"/>
      <c r="J259" s="680"/>
      <c r="K259" s="680"/>
      <c r="L259" s="680"/>
      <c r="M259" s="680"/>
      <c r="N259" s="680"/>
      <c r="O259" s="680"/>
      <c r="P259" s="680"/>
      <c r="Q259" s="680"/>
      <c r="R259" s="680"/>
    </row>
    <row r="260" spans="1:18" s="369" customFormat="1" ht="40.9" customHeight="1">
      <c r="C260" s="454"/>
      <c r="D260" s="454"/>
      <c r="E260" s="706"/>
      <c r="G260" s="680"/>
      <c r="H260" s="680"/>
      <c r="I260" s="681"/>
      <c r="J260" s="680"/>
      <c r="K260" s="680"/>
      <c r="L260" s="680"/>
      <c r="M260" s="680"/>
      <c r="N260" s="680"/>
      <c r="O260" s="680"/>
      <c r="P260" s="680"/>
      <c r="Q260" s="680"/>
      <c r="R260" s="680"/>
    </row>
    <row r="261" spans="1:18" s="369" customFormat="1" ht="31.5" customHeight="1">
      <c r="C261" s="454"/>
      <c r="D261" s="454"/>
      <c r="E261" s="706"/>
      <c r="G261" s="680"/>
      <c r="H261" s="680"/>
      <c r="I261" s="681"/>
      <c r="J261" s="680"/>
      <c r="K261" s="680"/>
      <c r="L261" s="680"/>
      <c r="M261" s="680"/>
      <c r="N261" s="680"/>
      <c r="O261" s="680"/>
      <c r="P261" s="680"/>
      <c r="Q261" s="680"/>
      <c r="R261" s="680"/>
    </row>
    <row r="262" spans="1:18" s="369" customFormat="1" ht="23.25" customHeight="1">
      <c r="C262" s="454"/>
      <c r="D262" s="454"/>
      <c r="E262" s="706"/>
      <c r="G262" s="680"/>
      <c r="H262" s="680"/>
      <c r="I262" s="681"/>
      <c r="J262" s="680"/>
      <c r="K262" s="680"/>
      <c r="L262" s="680"/>
      <c r="M262" s="680"/>
      <c r="N262" s="680"/>
      <c r="O262" s="680"/>
      <c r="P262" s="680"/>
      <c r="Q262" s="680"/>
      <c r="R262" s="680"/>
    </row>
    <row r="263" spans="1:18" s="369" customFormat="1" ht="16.350000000000001" customHeight="1">
      <c r="A263" s="1034" t="s">
        <v>790</v>
      </c>
      <c r="B263" s="1035"/>
      <c r="C263" s="1036" t="s">
        <v>844</v>
      </c>
      <c r="D263" s="1036"/>
      <c r="E263" s="749" t="s">
        <v>792</v>
      </c>
      <c r="G263" s="680"/>
      <c r="H263" s="680"/>
      <c r="I263" s="681"/>
      <c r="J263" s="680"/>
      <c r="K263" s="680"/>
      <c r="L263" s="680"/>
      <c r="M263" s="680"/>
      <c r="N263" s="680"/>
      <c r="O263" s="680"/>
      <c r="P263" s="680"/>
      <c r="Q263" s="680"/>
      <c r="R263" s="680"/>
    </row>
    <row r="264" spans="1:18" ht="9.75" customHeight="1">
      <c r="A264" s="163"/>
      <c r="B264" s="163"/>
      <c r="C264" s="1043" t="str">
        <f>IF(Worksheet!W39=1,"This Data Grading Criteria is hidden when the 'default' input is used on the Worksheet","")</f>
        <v>This Data Grading Criteria is hidden when the 'default' input is used on the Worksheet</v>
      </c>
      <c r="D264" s="1043"/>
      <c r="E264" s="628"/>
      <c r="F264" s="258"/>
      <c r="H264" s="672"/>
      <c r="I264" s="672"/>
    </row>
    <row r="265" spans="1:18" s="462" customFormat="1" ht="12">
      <c r="A265" s="458"/>
      <c r="B265" s="459" t="s">
        <v>845</v>
      </c>
      <c r="C265" s="460" t="s">
        <v>796</v>
      </c>
      <c r="D265" s="460" t="s">
        <v>797</v>
      </c>
      <c r="E265" s="627"/>
      <c r="F265" s="461"/>
      <c r="G265" s="673"/>
      <c r="H265" s="674" t="s">
        <v>798</v>
      </c>
      <c r="I265" s="674"/>
      <c r="J265" s="673" t="s">
        <v>800</v>
      </c>
      <c r="K265" s="673"/>
      <c r="L265" s="673"/>
      <c r="M265" s="673"/>
      <c r="N265" s="673"/>
      <c r="O265" s="673"/>
      <c r="P265" s="673"/>
      <c r="Q265" s="673"/>
      <c r="R265" s="673"/>
    </row>
    <row r="266" spans="1:18" ht="27.6" customHeight="1">
      <c r="A266" s="163"/>
      <c r="B266" s="441" t="s">
        <v>846</v>
      </c>
      <c r="C266" s="742" t="str">
        <f>SDHE!B34</f>
        <v xml:space="preserve">On the Worksheet, the status of the default option is: </v>
      </c>
      <c r="D266" s="263" t="str">
        <f>IF(AND(Worksheet!W39=2,Worksheet!Q39&gt;0),SDHE!A2,SDHE!A3)</f>
        <v>Default is used because Custom Value is selected but no value has been entered</v>
      </c>
      <c r="F266" s="258"/>
      <c r="H266" s="668" t="s">
        <v>847</v>
      </c>
      <c r="I266" s="675"/>
      <c r="J266" s="668" t="s">
        <v>843</v>
      </c>
    </row>
    <row r="267" spans="1:18" ht="27.6" customHeight="1">
      <c r="A267" s="163"/>
      <c r="B267" s="441" t="s">
        <v>352</v>
      </c>
      <c r="C267" s="742" t="str">
        <f>SDHE!B35</f>
        <v>Which best describes how the input was derived?</v>
      </c>
      <c r="D267" s="261"/>
      <c r="E267" s="627" t="str">
        <f>IF(OR($D$271=10,$D$271=3),"",IFERROR(IF(H267=MIN($H$267:$H$270),"Limiting",""),""))</f>
        <v/>
      </c>
      <c r="F267" s="258"/>
      <c r="H267" s="676" t="e">
        <f>VLOOKUP('Interactive Data Grading'!D267,SDHE!$C$6:$G$15,5,FALSE)</f>
        <v>#N/A</v>
      </c>
      <c r="I267" s="676"/>
    </row>
    <row r="268" spans="1:18" ht="27.6" customHeight="1">
      <c r="A268" s="163"/>
      <c r="B268" s="441" t="s">
        <v>353</v>
      </c>
      <c r="C268" s="742" t="str">
        <f>SDHE!B36</f>
        <v>Which best describes validation performed in the billing software for multipliers (conversions between unit of meter reading and unit of billing)?</v>
      </c>
      <c r="D268" s="261"/>
      <c r="E268" s="627" t="str">
        <f>IF(OR($D$271=10,$D$271=3),"",IFERROR(IF(H268=MIN($H$267:$H$270),"Limiting",""),""))</f>
        <v/>
      </c>
      <c r="F268" s="258"/>
      <c r="H268" s="676" t="e">
        <f>VLOOKUP('Interactive Data Grading'!D268,SDHE!$D$6:$G$15,4,FALSE)</f>
        <v>#N/A</v>
      </c>
      <c r="I268" s="677"/>
    </row>
    <row r="269" spans="1:18" ht="35.25" customHeight="1">
      <c r="A269" s="163"/>
      <c r="B269" s="441" t="s">
        <v>354</v>
      </c>
      <c r="C269" s="742" t="str">
        <f>SDHE!B37</f>
        <v>Which best describes the policy for new service accounts to ensure there is no lapse between start of customer water usage and start of measurement/billing?</v>
      </c>
      <c r="D269" s="261"/>
      <c r="E269" s="627" t="str">
        <f>IF(OR($D$271=10,$D$271=3),"",IFERROR(IF(H269=MIN($H$267:$H$270),"Limiting",""),""))</f>
        <v/>
      </c>
      <c r="F269" s="258"/>
      <c r="H269" s="676" t="e">
        <f>VLOOKUP('Interactive Data Grading'!D269,SDHE!$E$6:$G$15,3,FALSE)</f>
        <v>#N/A</v>
      </c>
      <c r="I269" s="677"/>
    </row>
    <row r="270" spans="1:18" ht="27.6" customHeight="1">
      <c r="A270" s="163"/>
      <c r="B270" s="441" t="s">
        <v>355</v>
      </c>
      <c r="C270" s="742" t="str">
        <f>SDHE!B38</f>
        <v>Which best describes auditing that takes place on the billing process?</v>
      </c>
      <c r="D270" s="261"/>
      <c r="E270" s="627" t="str">
        <f>IF(OR($D$271=10,$D$271=3),"",IFERROR(IF(H270=MIN($H$267:$H$270),"Limiting",""),""))</f>
        <v/>
      </c>
      <c r="F270" s="258"/>
      <c r="H270" s="676" t="e">
        <f>VLOOKUP('Interactive Data Grading'!D270,SDHE!$F$6:$G$15,2,FALSE)</f>
        <v>#N/A</v>
      </c>
      <c r="I270" s="677"/>
      <c r="N270" s="1042"/>
      <c r="O270" s="1042"/>
    </row>
    <row r="271" spans="1:18" ht="27.6" customHeight="1">
      <c r="A271" s="163"/>
      <c r="B271" s="163"/>
      <c r="C271" s="259" t="s">
        <v>806</v>
      </c>
      <c r="D271" s="752">
        <f>IFERROR((IF(D266=SDHE!A3,3,H271)),"")</f>
        <v>3</v>
      </c>
      <c r="E271" s="627"/>
      <c r="F271" s="258"/>
      <c r="H271" s="679" t="e">
        <f>MIN(H267:H270)</f>
        <v>#N/A</v>
      </c>
      <c r="I271" s="676"/>
    </row>
    <row r="272" spans="1:18"/>
    <row r="273" spans="1:18"/>
    <row r="274" spans="1:18"/>
    <row r="275" spans="1:18"/>
    <row r="276" spans="1:18"/>
    <row r="277" spans="1:18"/>
    <row r="278" spans="1:18"/>
    <row r="279" spans="1:18" s="369" customFormat="1" ht="16.350000000000001" customHeight="1">
      <c r="C279" s="454"/>
      <c r="D279" s="454"/>
      <c r="E279" s="706"/>
      <c r="G279" s="680"/>
      <c r="H279" s="680"/>
      <c r="I279" s="681"/>
      <c r="J279" s="680"/>
      <c r="K279" s="680"/>
      <c r="L279" s="680"/>
      <c r="M279" s="680"/>
      <c r="N279" s="680"/>
      <c r="O279" s="680"/>
      <c r="P279" s="680"/>
      <c r="Q279" s="680"/>
      <c r="R279" s="680"/>
    </row>
    <row r="280" spans="1:18" s="369" customFormat="1" ht="16.350000000000001" customHeight="1">
      <c r="C280" s="454"/>
      <c r="D280" s="454"/>
      <c r="E280" s="706"/>
      <c r="G280" s="680"/>
      <c r="H280" s="680"/>
      <c r="I280" s="681"/>
      <c r="J280" s="680"/>
      <c r="K280" s="680"/>
      <c r="L280" s="680"/>
      <c r="M280" s="680"/>
      <c r="N280" s="680"/>
      <c r="O280" s="680"/>
      <c r="P280" s="680"/>
      <c r="Q280" s="680"/>
      <c r="R280" s="680"/>
    </row>
    <row r="281" spans="1:18" s="369" customFormat="1" ht="52.9" customHeight="1">
      <c r="C281" s="454"/>
      <c r="D281" s="454"/>
      <c r="E281" s="706"/>
      <c r="G281" s="680"/>
      <c r="H281" s="680"/>
      <c r="I281" s="681"/>
      <c r="J281" s="680"/>
      <c r="K281" s="680"/>
      <c r="L281" s="680"/>
      <c r="M281" s="680"/>
      <c r="N281" s="680"/>
      <c r="O281" s="680"/>
      <c r="P281" s="680"/>
      <c r="Q281" s="680"/>
      <c r="R281" s="680"/>
    </row>
    <row r="282" spans="1:18" s="369" customFormat="1" ht="52.9" customHeight="1">
      <c r="C282" s="454"/>
      <c r="D282" s="454"/>
      <c r="E282" s="706"/>
      <c r="G282" s="680"/>
      <c r="H282" s="680"/>
      <c r="I282" s="681"/>
      <c r="J282" s="680"/>
      <c r="K282" s="680"/>
      <c r="L282" s="680"/>
      <c r="M282" s="680"/>
      <c r="N282" s="680"/>
      <c r="O282" s="680"/>
      <c r="P282" s="680"/>
      <c r="Q282" s="680"/>
      <c r="R282" s="680"/>
    </row>
    <row r="283" spans="1:18" s="369" customFormat="1" ht="52.9" customHeight="1">
      <c r="C283" s="454"/>
      <c r="D283" s="454"/>
      <c r="E283" s="706"/>
      <c r="G283" s="680"/>
      <c r="H283" s="680"/>
      <c r="I283" s="681"/>
      <c r="J283" s="680"/>
      <c r="K283" s="680"/>
      <c r="L283" s="680"/>
      <c r="M283" s="680"/>
      <c r="N283" s="680"/>
      <c r="O283" s="680"/>
      <c r="P283" s="680"/>
      <c r="Q283" s="680"/>
      <c r="R283" s="680"/>
    </row>
    <row r="284" spans="1:18" s="369" customFormat="1" ht="33" customHeight="1">
      <c r="C284" s="454"/>
      <c r="D284" s="454"/>
      <c r="E284" s="706"/>
      <c r="G284" s="680"/>
      <c r="H284" s="680"/>
      <c r="I284" s="681"/>
      <c r="J284" s="680"/>
      <c r="K284" s="680"/>
      <c r="L284" s="680"/>
      <c r="M284" s="680"/>
      <c r="N284" s="680"/>
      <c r="O284" s="680"/>
      <c r="P284" s="680"/>
      <c r="Q284" s="680"/>
      <c r="R284" s="680"/>
    </row>
    <row r="285" spans="1:18" s="369" customFormat="1" ht="25.5" customHeight="1">
      <c r="C285" s="454"/>
      <c r="D285" s="454"/>
      <c r="E285" s="706"/>
      <c r="G285" s="680"/>
      <c r="H285" s="680"/>
      <c r="I285" s="681"/>
      <c r="J285" s="680"/>
      <c r="K285" s="680"/>
      <c r="L285" s="680"/>
      <c r="M285" s="680"/>
      <c r="N285" s="680"/>
      <c r="O285" s="680"/>
      <c r="P285" s="680"/>
      <c r="Q285" s="680"/>
      <c r="R285" s="680"/>
    </row>
    <row r="286" spans="1:18" s="369" customFormat="1" ht="26.25" customHeight="1">
      <c r="C286" s="454"/>
      <c r="D286" s="454"/>
      <c r="E286" s="706"/>
      <c r="G286" s="680"/>
      <c r="H286" s="680"/>
      <c r="I286" s="681"/>
      <c r="J286" s="680"/>
      <c r="K286" s="680"/>
      <c r="L286" s="680"/>
      <c r="M286" s="680"/>
      <c r="N286" s="680"/>
      <c r="O286" s="680"/>
      <c r="P286" s="680"/>
      <c r="Q286" s="680"/>
      <c r="R286" s="680"/>
    </row>
    <row r="287" spans="1:18" s="369" customFormat="1" ht="16.350000000000001" customHeight="1">
      <c r="A287" s="1034" t="s">
        <v>790</v>
      </c>
      <c r="B287" s="1035"/>
      <c r="C287" s="1036" t="s">
        <v>848</v>
      </c>
      <c r="D287" s="1036"/>
      <c r="E287" s="749" t="s">
        <v>792</v>
      </c>
      <c r="G287" s="680"/>
      <c r="H287" s="680"/>
      <c r="I287" s="681"/>
      <c r="J287" s="680"/>
      <c r="K287" s="680"/>
      <c r="L287" s="680"/>
      <c r="M287" s="680"/>
      <c r="N287" s="680"/>
      <c r="O287" s="680"/>
      <c r="P287" s="680"/>
      <c r="Q287" s="680"/>
      <c r="R287" s="680"/>
    </row>
    <row r="288" spans="1:18" ht="12" customHeight="1">
      <c r="A288" s="163"/>
      <c r="B288" s="163"/>
      <c r="C288" s="1037" t="str">
        <f>IF(OR(AND(D290="Yes",Worksheet!Y25&gt;0),AND(D290="No",Worksheet!Y25&lt;=0),LEN(D290)=0),"","Inconsistency between Worksheet CMI input and cmi.0 response")</f>
        <v/>
      </c>
      <c r="D288" s="1037"/>
      <c r="E288" s="628"/>
      <c r="F288" s="258"/>
      <c r="H288" s="672"/>
      <c r="I288" s="672"/>
    </row>
    <row r="289" spans="1:18" s="462" customFormat="1" ht="12">
      <c r="A289" s="458"/>
      <c r="B289" s="459" t="s">
        <v>849</v>
      </c>
      <c r="C289" s="460" t="s">
        <v>796</v>
      </c>
      <c r="D289" s="460" t="s">
        <v>797</v>
      </c>
      <c r="E289" s="627"/>
      <c r="F289" s="461"/>
      <c r="G289" s="673"/>
      <c r="H289" s="674" t="s">
        <v>798</v>
      </c>
      <c r="I289" s="674"/>
      <c r="J289" s="673" t="s">
        <v>800</v>
      </c>
      <c r="K289" s="673"/>
      <c r="L289" s="673"/>
      <c r="M289" s="673"/>
      <c r="N289" s="673"/>
      <c r="O289" s="673"/>
      <c r="P289" s="673"/>
      <c r="Q289" s="673"/>
      <c r="R289" s="673"/>
    </row>
    <row r="290" spans="1:18" ht="29.45" customHeight="1">
      <c r="A290" s="163"/>
      <c r="B290" s="441" t="s">
        <v>348</v>
      </c>
      <c r="C290" s="742" t="str">
        <f>CMI!B34</f>
        <v>Was there any metered customer usage during the audit period?</v>
      </c>
      <c r="D290" s="264" t="s">
        <v>62</v>
      </c>
      <c r="E290" s="627"/>
      <c r="F290" s="258"/>
      <c r="G290" s="668">
        <f t="shared" ref="G290:G299" si="16">IF(LEN(D290)&gt;0,1,0)</f>
        <v>1</v>
      </c>
      <c r="I290" s="675"/>
      <c r="J290" s="668" t="s">
        <v>850</v>
      </c>
    </row>
    <row r="291" spans="1:18" ht="29.45" customHeight="1">
      <c r="A291" s="163"/>
      <c r="B291" s="441" t="s">
        <v>294</v>
      </c>
      <c r="C291" s="742" t="str">
        <f>CMI!B35</f>
        <v>Do you test meters reactively (when triggered by customer complaint or billing/consumption flag)?</v>
      </c>
      <c r="D291" s="264" t="s">
        <v>343</v>
      </c>
      <c r="E291" s="627" t="str">
        <f t="shared" ref="E291:E298" si="17">IFERROR(IF(OR($D$300=10,NOT(ISNUMBER($D$300))),"",IF(H291=$H$300,"Limiting","")),"")</f>
        <v/>
      </c>
      <c r="F291" s="258"/>
      <c r="G291" s="668">
        <f>IF(LEN(D291)&gt;0,1,0)</f>
        <v>1</v>
      </c>
      <c r="H291" s="676">
        <f>VLOOKUP('Interactive Data Grading'!D291,CMI!$C$6:$J$16,8,FALSE)</f>
        <v>10</v>
      </c>
      <c r="I291" s="676">
        <f>H291</f>
        <v>10</v>
      </c>
    </row>
    <row r="292" spans="1:18" ht="39.75" customHeight="1">
      <c r="A292" s="163"/>
      <c r="B292" s="441" t="s">
        <v>295</v>
      </c>
      <c r="C292" s="742" t="str">
        <f>CMI!B36</f>
        <v>For small size customer meters, which best describes the frequency of proactive testing (effort beyond when triggered by customer complaint or billing/consumption flags)?</v>
      </c>
      <c r="D292" s="264" t="s">
        <v>344</v>
      </c>
      <c r="E292" s="627" t="str">
        <f t="shared" si="17"/>
        <v/>
      </c>
      <c r="F292" s="258"/>
      <c r="G292" s="668">
        <f t="shared" si="16"/>
        <v>1</v>
      </c>
      <c r="H292" s="676">
        <f>VLOOKUP('Interactive Data Grading'!D292,CMI!$D$6:$J$16,7,FALSE)</f>
        <v>10</v>
      </c>
      <c r="I292" s="676">
        <f>H292</f>
        <v>10</v>
      </c>
      <c r="N292" s="1042"/>
      <c r="O292" s="1042"/>
    </row>
    <row r="293" spans="1:18" ht="29.45" customHeight="1">
      <c r="A293" s="163"/>
      <c r="B293" s="441" t="s">
        <v>349</v>
      </c>
      <c r="C293" s="742" t="str">
        <f>CMI!B37</f>
        <v xml:space="preserve">Which best describes what meters are included in the proactive small size customer meter testing activities? </v>
      </c>
      <c r="D293" s="264" t="s">
        <v>335</v>
      </c>
      <c r="E293" s="627" t="str">
        <f t="shared" si="17"/>
        <v>Limiting</v>
      </c>
      <c r="F293" s="258"/>
      <c r="G293" s="668">
        <f>IF(OR($D$292=CMI!$D$23,$D$292=CMI!$D$24,$D$292=CMI!$D$27),1,IF(LEN(D293)&gt;0,1,0))</f>
        <v>1</v>
      </c>
      <c r="H293" s="676">
        <f>VLOOKUP('Interactive Data Grading'!D293,CMI!$E$6:$J$16,6,FALSE)</f>
        <v>7</v>
      </c>
      <c r="I293" s="676">
        <f>IF(OR(D292=CMI!D23,D292=CMI!D24),X,H293)</f>
        <v>7</v>
      </c>
      <c r="J293" s="668" t="s">
        <v>295</v>
      </c>
    </row>
    <row r="294" spans="1:18" ht="29.45" customHeight="1">
      <c r="A294" s="163"/>
      <c r="B294" s="441" t="s">
        <v>297</v>
      </c>
      <c r="C294" s="742" t="str">
        <f>CMI!B38</f>
        <v>For mid and large size customer meters, which best describes the frequency of the proactive testing program?</v>
      </c>
      <c r="D294" s="264" t="s">
        <v>344</v>
      </c>
      <c r="E294" s="627" t="str">
        <f t="shared" si="17"/>
        <v/>
      </c>
      <c r="F294" s="258"/>
      <c r="G294" s="668">
        <f t="shared" si="16"/>
        <v>1</v>
      </c>
      <c r="H294" s="676">
        <f>VLOOKUP('Interactive Data Grading'!D294,CMI!$F$6:$J$16,5,FALSE)</f>
        <v>10</v>
      </c>
      <c r="I294" s="676">
        <f>H294</f>
        <v>10</v>
      </c>
    </row>
    <row r="295" spans="1:18" ht="29.45" customHeight="1">
      <c r="A295" s="163"/>
      <c r="B295" s="441" t="s">
        <v>350</v>
      </c>
      <c r="C295" s="742" t="str">
        <f>CMI!B39</f>
        <v xml:space="preserve">Which best describes what meters are included in the proactive mid- and large customer meter testing activities? </v>
      </c>
      <c r="D295" s="264" t="s">
        <v>346</v>
      </c>
      <c r="E295" s="627" t="str">
        <f t="shared" si="17"/>
        <v/>
      </c>
      <c r="F295" s="258"/>
      <c r="G295" s="756">
        <f>IF(OR($D$294=CMI!$F$23,$D$294=CMI!F$24),1,IF(LEN(D295)&gt;0,1,0))</f>
        <v>1</v>
      </c>
      <c r="H295" s="676">
        <f>VLOOKUP('Interactive Data Grading'!D295,CMI!$G$6:$J$16,4,FALSE)</f>
        <v>10</v>
      </c>
      <c r="I295" s="676">
        <f>IF(OR(D294=CMI!F23,D294=CMI!F24),X,H295)</f>
        <v>10</v>
      </c>
      <c r="J295" s="668" t="s">
        <v>297</v>
      </c>
    </row>
    <row r="296" spans="1:18" ht="29.45" customHeight="1">
      <c r="A296" s="163"/>
      <c r="B296" s="441" t="s">
        <v>299</v>
      </c>
      <c r="C296" s="742" t="str">
        <f>CMI!B40</f>
        <v>Which best describes how the input was derived?</v>
      </c>
      <c r="D296" s="264" t="s">
        <v>347</v>
      </c>
      <c r="E296" s="627" t="str">
        <f t="shared" si="17"/>
        <v/>
      </c>
      <c r="F296" s="258"/>
      <c r="G296" s="668">
        <f t="shared" si="16"/>
        <v>1</v>
      </c>
      <c r="H296" s="676">
        <f>VLOOKUP('Interactive Data Grading'!D296,CMI!$H$6:$J$16,3,FALSE)</f>
        <v>10</v>
      </c>
      <c r="I296" s="676">
        <f>H296</f>
        <v>10</v>
      </c>
    </row>
    <row r="297" spans="1:18" ht="29.45" customHeight="1">
      <c r="A297" s="163"/>
      <c r="B297" s="441" t="s">
        <v>300</v>
      </c>
      <c r="C297" s="742" t="str">
        <f>CMI!B41</f>
        <v>Has the input derivation been reviewed by someone with expert knowledge in the M36 methodology?</v>
      </c>
      <c r="D297" s="264" t="s">
        <v>62</v>
      </c>
      <c r="E297" s="627" t="str">
        <f t="shared" si="17"/>
        <v/>
      </c>
      <c r="F297" s="258"/>
      <c r="G297" s="668">
        <f t="shared" si="16"/>
        <v>1</v>
      </c>
      <c r="H297" s="676">
        <f>VLOOKUP('Interactive Data Grading'!D297,CMI!$I$6:$J$16,2,FALSE)</f>
        <v>10</v>
      </c>
      <c r="I297" s="676">
        <f>H297</f>
        <v>10</v>
      </c>
    </row>
    <row r="298" spans="1:18" ht="29.45" customHeight="1">
      <c r="A298" s="163"/>
      <c r="B298" s="441" t="s">
        <v>301</v>
      </c>
      <c r="C298" s="742" t="str">
        <f>CMI!B42</f>
        <v>To what extent does meter replacement occur and for which meters?</v>
      </c>
      <c r="D298" s="264" t="s">
        <v>328</v>
      </c>
      <c r="E298" s="627" t="str">
        <f t="shared" si="17"/>
        <v/>
      </c>
      <c r="F298" s="258"/>
      <c r="G298" s="668">
        <f t="shared" si="16"/>
        <v>1</v>
      </c>
      <c r="H298" s="676"/>
      <c r="I298" s="676"/>
      <c r="J298" s="668" t="s">
        <v>851</v>
      </c>
    </row>
    <row r="299" spans="1:18" ht="29.45" customHeight="1">
      <c r="A299" s="163"/>
      <c r="B299" s="441" t="s">
        <v>302</v>
      </c>
      <c r="C299" s="742" t="str">
        <f>CMI!B43</f>
        <v>Which best describes the reliability of meter installation records?</v>
      </c>
      <c r="D299" s="264" t="s">
        <v>329</v>
      </c>
      <c r="E299" s="627"/>
      <c r="F299" s="258"/>
      <c r="G299" s="668">
        <f t="shared" si="16"/>
        <v>1</v>
      </c>
      <c r="H299" s="676"/>
      <c r="I299" s="676"/>
      <c r="J299" s="668" t="s">
        <v>851</v>
      </c>
    </row>
    <row r="300" spans="1:18" ht="29.45" customHeight="1">
      <c r="A300" s="163"/>
      <c r="B300" s="163"/>
      <c r="C300" s="259" t="s">
        <v>806</v>
      </c>
      <c r="D300" s="863">
        <f>IF(D290="No","n/a",IF(G300=0,"",I300))</f>
        <v>7</v>
      </c>
      <c r="E300" s="627"/>
      <c r="F300" s="258"/>
      <c r="G300" s="668">
        <f>MIN(G290:G299)</f>
        <v>1</v>
      </c>
      <c r="H300" s="679">
        <f t="array" ref="H300">MIN(IF(ISNUMBER(H291:H297),H291:H297))</f>
        <v>7</v>
      </c>
      <c r="I300" s="679">
        <f t="array" ref="I300">MIN(IF(ISNUMBER(I290:I299),I290:I299))</f>
        <v>7</v>
      </c>
    </row>
    <row r="301" spans="1:18" s="369" customFormat="1" ht="16.350000000000001" customHeight="1">
      <c r="C301" s="454"/>
      <c r="D301" s="454"/>
      <c r="E301" s="706"/>
      <c r="G301" s="680"/>
      <c r="H301" s="680"/>
      <c r="I301" s="681"/>
      <c r="J301" s="680"/>
      <c r="K301" s="680"/>
      <c r="L301" s="680"/>
      <c r="M301" s="680"/>
      <c r="N301" s="680"/>
      <c r="O301" s="680"/>
      <c r="P301" s="680"/>
      <c r="Q301" s="680"/>
      <c r="R301" s="680"/>
    </row>
    <row r="302" spans="1:18" s="369" customFormat="1" ht="16.350000000000001" customHeight="1">
      <c r="C302" s="454"/>
      <c r="D302" s="454"/>
      <c r="E302" s="706"/>
      <c r="G302" s="680"/>
      <c r="H302" s="680"/>
      <c r="I302" s="681"/>
      <c r="J302" s="680"/>
      <c r="K302" s="680"/>
      <c r="L302" s="680"/>
      <c r="M302" s="680"/>
      <c r="N302" s="680"/>
      <c r="O302" s="680"/>
      <c r="P302" s="680"/>
      <c r="Q302" s="680"/>
      <c r="R302" s="680"/>
    </row>
    <row r="303" spans="1:18" s="369" customFormat="1" ht="16.350000000000001" customHeight="1">
      <c r="C303" s="454"/>
      <c r="D303" s="454"/>
      <c r="E303" s="706"/>
      <c r="G303" s="680"/>
      <c r="H303" s="680"/>
      <c r="I303" s="681"/>
      <c r="J303" s="680"/>
      <c r="K303" s="680"/>
      <c r="L303" s="680"/>
      <c r="M303" s="680"/>
      <c r="N303" s="680"/>
      <c r="O303" s="680"/>
      <c r="P303" s="680"/>
      <c r="Q303" s="680"/>
      <c r="R303" s="680"/>
    </row>
    <row r="304" spans="1:18" s="369" customFormat="1" ht="16.350000000000001" customHeight="1">
      <c r="C304" s="454"/>
      <c r="D304" s="454"/>
      <c r="E304" s="706"/>
      <c r="G304" s="680"/>
      <c r="H304" s="680"/>
      <c r="I304" s="681"/>
      <c r="J304" s="680"/>
      <c r="K304" s="680"/>
      <c r="L304" s="680"/>
      <c r="M304" s="680"/>
      <c r="N304" s="680"/>
      <c r="O304" s="680"/>
      <c r="P304" s="680"/>
      <c r="Q304" s="680"/>
      <c r="R304" s="680"/>
    </row>
    <row r="305" spans="1:18" s="369" customFormat="1" ht="16.350000000000001" customHeight="1">
      <c r="C305" s="454"/>
      <c r="D305" s="454"/>
      <c r="E305" s="706"/>
      <c r="G305" s="680"/>
      <c r="H305" s="680"/>
      <c r="I305" s="681"/>
      <c r="J305" s="680"/>
      <c r="K305" s="680"/>
      <c r="L305" s="680"/>
      <c r="M305" s="680"/>
      <c r="N305" s="680"/>
      <c r="O305" s="680"/>
      <c r="P305" s="680"/>
      <c r="Q305" s="680"/>
      <c r="R305" s="680"/>
    </row>
    <row r="306" spans="1:18" s="369" customFormat="1" ht="16.350000000000001" customHeight="1">
      <c r="C306" s="454"/>
      <c r="D306" s="454"/>
      <c r="E306" s="706"/>
      <c r="G306" s="680"/>
      <c r="H306" s="680"/>
      <c r="I306" s="681"/>
      <c r="J306" s="680"/>
      <c r="K306" s="680"/>
      <c r="L306" s="680"/>
      <c r="M306" s="680"/>
      <c r="N306" s="680"/>
      <c r="O306" s="680"/>
      <c r="P306" s="680"/>
      <c r="Q306" s="680"/>
      <c r="R306" s="680"/>
    </row>
    <row r="307" spans="1:18" s="369" customFormat="1" ht="16.350000000000001" customHeight="1">
      <c r="C307" s="454"/>
      <c r="D307" s="454"/>
      <c r="E307" s="706"/>
      <c r="G307" s="680"/>
      <c r="H307" s="680"/>
      <c r="I307" s="681"/>
      <c r="J307" s="680"/>
      <c r="K307" s="680"/>
      <c r="L307" s="680"/>
      <c r="M307" s="680"/>
      <c r="N307" s="680"/>
      <c r="O307" s="680"/>
      <c r="P307" s="680"/>
      <c r="Q307" s="680"/>
      <c r="R307" s="680"/>
    </row>
    <row r="308" spans="1:18" s="369" customFormat="1" ht="16.350000000000001" customHeight="1">
      <c r="C308" s="454"/>
      <c r="D308" s="454"/>
      <c r="E308" s="706"/>
      <c r="G308" s="680"/>
      <c r="H308" s="680"/>
      <c r="I308" s="681"/>
      <c r="J308" s="680"/>
      <c r="K308" s="680"/>
      <c r="L308" s="680"/>
      <c r="M308" s="680"/>
      <c r="N308" s="680"/>
      <c r="O308" s="680"/>
      <c r="P308" s="680"/>
      <c r="Q308" s="680"/>
      <c r="R308" s="680"/>
    </row>
    <row r="309" spans="1:18" s="369" customFormat="1" ht="16.350000000000001" customHeight="1">
      <c r="C309" s="454"/>
      <c r="D309" s="454"/>
      <c r="E309" s="706"/>
      <c r="G309" s="680"/>
      <c r="H309" s="680"/>
      <c r="I309" s="681"/>
      <c r="J309" s="680"/>
      <c r="K309" s="680"/>
      <c r="L309" s="680"/>
      <c r="M309" s="680"/>
      <c r="N309" s="680"/>
      <c r="O309" s="680"/>
      <c r="P309" s="680"/>
      <c r="Q309" s="680"/>
      <c r="R309" s="680"/>
    </row>
    <row r="310" spans="1:18" s="369" customFormat="1" ht="9" customHeight="1">
      <c r="C310" s="454"/>
      <c r="D310" s="454"/>
      <c r="E310" s="706"/>
      <c r="G310" s="680"/>
      <c r="H310" s="680"/>
      <c r="I310" s="681"/>
      <c r="J310" s="680"/>
      <c r="K310" s="680"/>
      <c r="L310" s="680"/>
      <c r="M310" s="680"/>
      <c r="N310" s="680"/>
      <c r="O310" s="680"/>
      <c r="P310" s="680"/>
      <c r="Q310" s="680"/>
      <c r="R310" s="680"/>
    </row>
    <row r="311" spans="1:18" s="369" customFormat="1" ht="9" customHeight="1">
      <c r="C311" s="454"/>
      <c r="D311" s="454"/>
      <c r="E311" s="706"/>
      <c r="G311" s="680"/>
      <c r="H311" s="680"/>
      <c r="I311" s="681"/>
      <c r="J311" s="680"/>
      <c r="K311" s="680"/>
      <c r="L311" s="680"/>
      <c r="M311" s="680"/>
      <c r="N311" s="680"/>
      <c r="O311" s="680"/>
      <c r="P311" s="680"/>
      <c r="Q311" s="680"/>
      <c r="R311" s="680"/>
    </row>
    <row r="312" spans="1:18" s="369" customFormat="1" ht="9" customHeight="1">
      <c r="C312" s="454"/>
      <c r="D312" s="454"/>
      <c r="E312" s="706"/>
      <c r="G312" s="680"/>
      <c r="H312" s="680"/>
      <c r="I312" s="681"/>
      <c r="J312" s="680"/>
      <c r="K312" s="680"/>
      <c r="L312" s="680"/>
      <c r="M312" s="680"/>
      <c r="N312" s="680"/>
      <c r="O312" s="680"/>
      <c r="P312" s="680"/>
      <c r="Q312" s="680"/>
      <c r="R312" s="680"/>
    </row>
    <row r="313" spans="1:18" s="369" customFormat="1" ht="9" customHeight="1">
      <c r="C313" s="454"/>
      <c r="D313" s="454"/>
      <c r="E313" s="706"/>
      <c r="G313" s="680"/>
      <c r="H313" s="680"/>
      <c r="I313" s="681"/>
      <c r="J313" s="680"/>
      <c r="K313" s="680"/>
      <c r="L313" s="680"/>
      <c r="M313" s="680"/>
      <c r="N313" s="680"/>
      <c r="O313" s="680"/>
      <c r="P313" s="680"/>
      <c r="Q313" s="680"/>
      <c r="R313" s="680"/>
    </row>
    <row r="314" spans="1:18" s="369" customFormat="1" ht="16.350000000000001" customHeight="1">
      <c r="C314" s="454"/>
      <c r="D314" s="454"/>
      <c r="E314" s="706"/>
      <c r="G314" s="680"/>
      <c r="H314" s="680"/>
      <c r="I314" s="681"/>
      <c r="J314" s="680"/>
      <c r="K314" s="680"/>
      <c r="L314" s="680"/>
      <c r="M314" s="680"/>
      <c r="N314" s="680"/>
      <c r="O314" s="680"/>
      <c r="P314" s="680"/>
      <c r="Q314" s="680"/>
      <c r="R314" s="680"/>
    </row>
    <row r="315" spans="1:18" s="369" customFormat="1" ht="12" customHeight="1">
      <c r="C315" s="454"/>
      <c r="D315" s="454"/>
      <c r="E315" s="706"/>
      <c r="G315" s="680"/>
      <c r="H315" s="680"/>
      <c r="I315" s="681"/>
      <c r="J315" s="680"/>
      <c r="K315" s="680"/>
      <c r="L315" s="680"/>
      <c r="M315" s="680"/>
      <c r="N315" s="680"/>
      <c r="O315" s="680"/>
      <c r="P315" s="680"/>
      <c r="Q315" s="680"/>
      <c r="R315" s="680"/>
    </row>
    <row r="316" spans="1:18" s="369" customFormat="1" ht="16.350000000000001" customHeight="1">
      <c r="A316" s="1034" t="s">
        <v>790</v>
      </c>
      <c r="B316" s="1035"/>
      <c r="C316" s="1036" t="s">
        <v>852</v>
      </c>
      <c r="D316" s="1036"/>
      <c r="E316" s="749" t="s">
        <v>792</v>
      </c>
      <c r="G316" s="680"/>
      <c r="H316" s="680"/>
      <c r="I316" s="681"/>
      <c r="J316" s="680"/>
      <c r="K316" s="680"/>
      <c r="L316" s="680"/>
      <c r="M316" s="680"/>
      <c r="N316" s="680"/>
      <c r="O316" s="680"/>
      <c r="P316" s="680"/>
      <c r="Q316" s="680"/>
      <c r="R316" s="680"/>
    </row>
    <row r="317" spans="1:18" ht="9.75" customHeight="1">
      <c r="A317" s="163"/>
      <c r="B317" s="163"/>
      <c r="C317" s="1043" t="str">
        <f>IF(Worksheet!W43=1,"This Data Grading Criteria is hidden when the 'default' input is used on the Worksheet","")</f>
        <v>This Data Grading Criteria is hidden when the 'default' input is used on the Worksheet</v>
      </c>
      <c r="D317" s="1043"/>
      <c r="E317" s="628"/>
      <c r="F317" s="258"/>
      <c r="H317" s="672"/>
      <c r="I317" s="672"/>
    </row>
    <row r="318" spans="1:18" s="462" customFormat="1" ht="12">
      <c r="A318" s="458"/>
      <c r="B318" s="459" t="s">
        <v>853</v>
      </c>
      <c r="C318" s="460" t="s">
        <v>796</v>
      </c>
      <c r="D318" s="460" t="s">
        <v>797</v>
      </c>
      <c r="E318" s="627"/>
      <c r="F318" s="461"/>
      <c r="G318" s="673"/>
      <c r="H318" s="674" t="s">
        <v>798</v>
      </c>
      <c r="I318" s="674"/>
      <c r="J318" s="673" t="s">
        <v>800</v>
      </c>
      <c r="K318" s="673"/>
      <c r="L318" s="673"/>
      <c r="M318" s="673"/>
      <c r="N318" s="673"/>
      <c r="O318" s="673"/>
      <c r="P318" s="673"/>
      <c r="Q318" s="673"/>
      <c r="R318" s="673"/>
    </row>
    <row r="319" spans="1:18" ht="27.6" customHeight="1">
      <c r="A319" s="163"/>
      <c r="B319" s="441" t="s">
        <v>854</v>
      </c>
      <c r="C319" s="742" t="str">
        <f>UC!B34</f>
        <v xml:space="preserve">On the Worksheet, the status of the default option is: </v>
      </c>
      <c r="D319" s="263" t="str">
        <f>IF(AND(Worksheet!W43=2,Worksheet!Q43&gt;0),UC!A2,UC!A3)</f>
        <v>Default is used because Custom Value is selected but no value has been entered</v>
      </c>
      <c r="E319" s="627"/>
      <c r="F319" s="258"/>
      <c r="I319" s="675"/>
      <c r="J319" s="668" t="s">
        <v>843</v>
      </c>
    </row>
    <row r="320" spans="1:18" ht="27.6" customHeight="1">
      <c r="A320" s="163"/>
      <c r="B320" s="441" t="s">
        <v>275</v>
      </c>
      <c r="C320" s="742" t="str">
        <f>UC!B35</f>
        <v>Which best describes how the input was derived?</v>
      </c>
      <c r="D320" s="261"/>
      <c r="E320" s="627" t="str">
        <f>IF(OR($D$322=10,$D$322=3),"",IFERROR(IF(H320=MIN($H$320:$H$321),"Limiting",""),""))</f>
        <v/>
      </c>
      <c r="F320" s="258"/>
      <c r="H320" s="676" t="e">
        <f>VLOOKUP('Interactive Data Grading'!D320,UC!$C$6:$E$15,3,FALSE)</f>
        <v>#N/A</v>
      </c>
      <c r="I320" s="676"/>
    </row>
    <row r="321" spans="1:18" ht="27.6" customHeight="1">
      <c r="A321" s="163"/>
      <c r="B321" s="441" t="s">
        <v>276</v>
      </c>
      <c r="C321" s="742" t="str">
        <f>UC!B36</f>
        <v>Which best describes the extent of unauthorized consumption tracking and oversight?</v>
      </c>
      <c r="D321" s="261"/>
      <c r="E321" s="627" t="str">
        <f>IF(OR($D$322=10,$D$322=3),"",IFERROR(IF(H321=MIN($H$320:$H$321),"Limiting",""),""))</f>
        <v/>
      </c>
      <c r="F321" s="258"/>
      <c r="H321" s="676" t="e">
        <f>VLOOKUP('Interactive Data Grading'!D321,UC!$D$6:$E$15,2,FALSE)</f>
        <v>#N/A</v>
      </c>
      <c r="I321" s="677"/>
    </row>
    <row r="322" spans="1:18" ht="27.6" customHeight="1">
      <c r="A322" s="163"/>
      <c r="B322" s="163"/>
      <c r="C322" s="259" t="s">
        <v>806</v>
      </c>
      <c r="D322" s="752">
        <f>IFERROR((IF(D319=UC!A3,3,H322)),"")</f>
        <v>3</v>
      </c>
      <c r="E322" s="627"/>
      <c r="F322" s="258"/>
      <c r="H322" s="679" t="e">
        <f>MIN(H320:H321)</f>
        <v>#N/A</v>
      </c>
      <c r="I322" s="676"/>
    </row>
    <row r="323" spans="1:18"/>
    <row r="324" spans="1:18"/>
    <row r="325" spans="1:18" s="369" customFormat="1" ht="16.350000000000001" customHeight="1">
      <c r="C325" s="454"/>
      <c r="D325" s="454"/>
      <c r="E325" s="706"/>
      <c r="G325" s="680"/>
      <c r="H325" s="680"/>
      <c r="I325" s="681"/>
      <c r="J325" s="680"/>
      <c r="K325" s="680"/>
      <c r="L325" s="680"/>
      <c r="M325" s="680"/>
      <c r="N325" s="680"/>
      <c r="O325" s="680"/>
      <c r="P325" s="680"/>
      <c r="Q325" s="680"/>
      <c r="R325" s="680"/>
    </row>
    <row r="326" spans="1:18" s="369" customFormat="1" ht="16.350000000000001" customHeight="1">
      <c r="C326" s="454"/>
      <c r="D326" s="454"/>
      <c r="E326" s="706"/>
      <c r="G326" s="680"/>
      <c r="H326" s="680"/>
      <c r="I326" s="681"/>
      <c r="J326" s="680"/>
      <c r="K326" s="680"/>
      <c r="L326" s="680"/>
      <c r="M326" s="680"/>
      <c r="N326" s="680"/>
      <c r="O326" s="680"/>
      <c r="P326" s="680"/>
      <c r="Q326" s="680"/>
      <c r="R326" s="680"/>
    </row>
    <row r="327" spans="1:18" s="369" customFormat="1" ht="16.350000000000001" customHeight="1">
      <c r="C327" s="454"/>
      <c r="D327" s="454"/>
      <c r="E327" s="706"/>
      <c r="G327" s="680"/>
      <c r="H327" s="680"/>
      <c r="I327" s="681"/>
      <c r="J327" s="680"/>
      <c r="K327" s="680"/>
      <c r="L327" s="680"/>
      <c r="M327" s="680"/>
      <c r="N327" s="680"/>
      <c r="O327" s="680"/>
      <c r="P327" s="680"/>
      <c r="Q327" s="680"/>
      <c r="R327" s="680"/>
    </row>
    <row r="328" spans="1:18" s="369" customFormat="1" ht="16.350000000000001" customHeight="1">
      <c r="C328" s="454"/>
      <c r="D328" s="454"/>
      <c r="E328" s="706"/>
      <c r="G328" s="680"/>
      <c r="H328" s="680"/>
      <c r="I328" s="681"/>
      <c r="J328" s="680"/>
      <c r="K328" s="680"/>
      <c r="L328" s="680"/>
      <c r="M328" s="680"/>
      <c r="N328" s="680"/>
      <c r="O328" s="680"/>
      <c r="P328" s="680"/>
      <c r="Q328" s="680"/>
      <c r="R328" s="680"/>
    </row>
    <row r="329" spans="1:18" s="369" customFormat="1" ht="16.350000000000001" customHeight="1">
      <c r="C329" s="454"/>
      <c r="D329" s="454"/>
      <c r="E329" s="706"/>
      <c r="G329" s="680"/>
      <c r="H329" s="680"/>
      <c r="I329" s="681"/>
      <c r="J329" s="680"/>
      <c r="K329" s="680"/>
      <c r="L329" s="680"/>
      <c r="M329" s="680"/>
      <c r="N329" s="680"/>
      <c r="O329" s="680"/>
      <c r="P329" s="680"/>
      <c r="Q329" s="680"/>
      <c r="R329" s="680"/>
    </row>
    <row r="330" spans="1:18" s="369" customFormat="1" ht="16.350000000000001" customHeight="1">
      <c r="C330" s="454"/>
      <c r="D330" s="454"/>
      <c r="E330" s="706"/>
      <c r="G330" s="680"/>
      <c r="H330" s="680"/>
      <c r="I330" s="681"/>
      <c r="J330" s="680"/>
      <c r="K330" s="680"/>
      <c r="L330" s="680"/>
      <c r="M330" s="680"/>
      <c r="N330" s="680"/>
      <c r="O330" s="680"/>
      <c r="P330" s="680"/>
      <c r="Q330" s="680"/>
      <c r="R330" s="680"/>
    </row>
    <row r="331" spans="1:18" s="369" customFormat="1" ht="16.350000000000001" customHeight="1">
      <c r="C331" s="454"/>
      <c r="D331" s="454"/>
      <c r="E331" s="706"/>
      <c r="G331" s="680"/>
      <c r="H331" s="680"/>
      <c r="I331" s="681"/>
      <c r="J331" s="680"/>
      <c r="K331" s="680"/>
      <c r="L331" s="680"/>
      <c r="M331" s="680"/>
      <c r="N331" s="680"/>
      <c r="O331" s="680"/>
      <c r="P331" s="680"/>
      <c r="Q331" s="680"/>
      <c r="R331" s="680"/>
    </row>
    <row r="332" spans="1:18" s="369" customFormat="1" ht="16.350000000000001" customHeight="1">
      <c r="C332" s="454"/>
      <c r="D332" s="454"/>
      <c r="E332" s="706"/>
      <c r="G332" s="680"/>
      <c r="H332" s="680"/>
      <c r="I332" s="681"/>
      <c r="J332" s="680"/>
      <c r="K332" s="680"/>
      <c r="L332" s="680"/>
      <c r="M332" s="680"/>
      <c r="N332" s="680"/>
      <c r="O332" s="680"/>
      <c r="P332" s="680"/>
      <c r="Q332" s="680"/>
      <c r="R332" s="680"/>
    </row>
    <row r="333" spans="1:18" s="369" customFormat="1" ht="16.350000000000001" customHeight="1">
      <c r="C333" s="454"/>
      <c r="D333" s="454"/>
      <c r="E333" s="706"/>
      <c r="G333" s="680"/>
      <c r="H333" s="680"/>
      <c r="I333" s="681"/>
      <c r="J333" s="680"/>
      <c r="K333" s="680"/>
      <c r="L333" s="680"/>
      <c r="M333" s="680"/>
      <c r="N333" s="680"/>
      <c r="O333" s="680"/>
      <c r="P333" s="680"/>
      <c r="Q333" s="680"/>
      <c r="R333" s="680"/>
    </row>
    <row r="334" spans="1:18" s="369" customFormat="1" ht="16.350000000000001" customHeight="1">
      <c r="C334" s="454"/>
      <c r="D334" s="454"/>
      <c r="E334" s="706"/>
      <c r="G334" s="680"/>
      <c r="H334" s="680"/>
      <c r="I334" s="681"/>
      <c r="J334" s="680"/>
      <c r="K334" s="680"/>
      <c r="L334" s="680"/>
      <c r="M334" s="680"/>
      <c r="N334" s="680"/>
      <c r="O334" s="680"/>
      <c r="P334" s="680"/>
      <c r="Q334" s="680"/>
      <c r="R334" s="680"/>
    </row>
    <row r="335" spans="1:18" s="369" customFormat="1" ht="16.350000000000001" customHeight="1">
      <c r="C335" s="454"/>
      <c r="D335" s="454"/>
      <c r="E335" s="706"/>
      <c r="G335" s="680"/>
      <c r="H335" s="680"/>
      <c r="I335" s="681"/>
      <c r="J335" s="680"/>
      <c r="K335" s="680"/>
      <c r="L335" s="680"/>
      <c r="M335" s="680"/>
      <c r="N335" s="680"/>
      <c r="O335" s="680"/>
      <c r="P335" s="680"/>
      <c r="Q335" s="680"/>
      <c r="R335" s="680"/>
    </row>
    <row r="336" spans="1:18" s="369" customFormat="1" ht="16.350000000000001" customHeight="1">
      <c r="C336" s="454"/>
      <c r="D336" s="454"/>
      <c r="E336" s="706"/>
      <c r="G336" s="680"/>
      <c r="H336" s="680"/>
      <c r="I336" s="681"/>
      <c r="J336" s="680"/>
      <c r="K336" s="680"/>
      <c r="L336" s="680"/>
      <c r="M336" s="680"/>
      <c r="N336" s="680"/>
      <c r="O336" s="680"/>
      <c r="P336" s="680"/>
      <c r="Q336" s="680"/>
      <c r="R336" s="680"/>
    </row>
    <row r="337" spans="1:18" s="369" customFormat="1" ht="16.350000000000001" customHeight="1">
      <c r="C337" s="454"/>
      <c r="D337" s="454"/>
      <c r="E337" s="706"/>
      <c r="G337" s="680"/>
      <c r="H337" s="680"/>
      <c r="I337" s="681"/>
      <c r="J337" s="680"/>
      <c r="K337" s="680"/>
      <c r="L337" s="680"/>
      <c r="M337" s="680"/>
      <c r="N337" s="680"/>
      <c r="O337" s="680"/>
      <c r="P337" s="680"/>
      <c r="Q337" s="680"/>
      <c r="R337" s="680"/>
    </row>
    <row r="338" spans="1:18" s="369" customFormat="1" ht="41.45" customHeight="1">
      <c r="C338" s="454"/>
      <c r="D338" s="454"/>
      <c r="E338" s="706"/>
      <c r="G338" s="680"/>
      <c r="H338" s="680"/>
      <c r="I338" s="681"/>
      <c r="J338" s="680"/>
      <c r="K338" s="680"/>
      <c r="L338" s="680"/>
      <c r="M338" s="680"/>
      <c r="N338" s="680"/>
      <c r="O338" s="680"/>
      <c r="P338" s="680"/>
      <c r="Q338" s="680"/>
      <c r="R338" s="680"/>
    </row>
    <row r="339" spans="1:18" s="369" customFormat="1" ht="41.45" customHeight="1">
      <c r="C339" s="454"/>
      <c r="D339" s="454"/>
      <c r="E339" s="706"/>
      <c r="G339" s="680"/>
      <c r="H339" s="680"/>
      <c r="I339" s="681"/>
      <c r="J339" s="680"/>
      <c r="K339" s="680"/>
      <c r="L339" s="680"/>
      <c r="M339" s="680"/>
      <c r="N339" s="680"/>
      <c r="O339" s="680"/>
      <c r="P339" s="680"/>
      <c r="Q339" s="680"/>
      <c r="R339" s="680"/>
    </row>
    <row r="340" spans="1:18" s="369" customFormat="1" ht="41.45" customHeight="1">
      <c r="C340" s="454"/>
      <c r="D340" s="454"/>
      <c r="E340" s="706"/>
      <c r="G340" s="680"/>
      <c r="H340" s="680"/>
      <c r="I340" s="681"/>
      <c r="J340" s="680"/>
      <c r="K340" s="680"/>
      <c r="L340" s="680"/>
      <c r="M340" s="680"/>
      <c r="N340" s="680"/>
      <c r="O340" s="680"/>
      <c r="P340" s="680"/>
      <c r="Q340" s="680"/>
      <c r="R340" s="680"/>
    </row>
    <row r="341" spans="1:18" s="369" customFormat="1" ht="37.5" customHeight="1">
      <c r="C341" s="454"/>
      <c r="D341" s="454"/>
      <c r="E341" s="706"/>
      <c r="G341" s="680"/>
      <c r="H341" s="680"/>
      <c r="I341" s="681"/>
      <c r="J341" s="680"/>
      <c r="K341" s="680"/>
      <c r="L341" s="680"/>
      <c r="M341" s="680"/>
      <c r="N341" s="680"/>
      <c r="O341" s="680"/>
      <c r="P341" s="680"/>
      <c r="Q341" s="680"/>
      <c r="R341" s="680"/>
    </row>
    <row r="342" spans="1:18" s="369" customFormat="1" ht="26.25" customHeight="1">
      <c r="C342" s="454"/>
      <c r="D342" s="454"/>
      <c r="E342" s="706"/>
      <c r="G342" s="680"/>
      <c r="H342" s="680"/>
      <c r="I342" s="681"/>
      <c r="J342" s="680"/>
      <c r="K342" s="680"/>
      <c r="L342" s="680"/>
      <c r="M342" s="680"/>
      <c r="N342" s="680"/>
      <c r="O342" s="680"/>
      <c r="P342" s="680"/>
      <c r="Q342" s="680"/>
      <c r="R342" s="680"/>
    </row>
    <row r="343" spans="1:18" s="369" customFormat="1" ht="16.350000000000001" customHeight="1">
      <c r="A343" s="1034" t="s">
        <v>790</v>
      </c>
      <c r="B343" s="1035"/>
      <c r="C343" s="1036" t="s">
        <v>855</v>
      </c>
      <c r="D343" s="1036"/>
      <c r="E343" s="749" t="s">
        <v>792</v>
      </c>
      <c r="G343" s="680"/>
      <c r="H343" s="680"/>
      <c r="I343" s="681"/>
      <c r="J343" s="680"/>
      <c r="K343" s="680"/>
      <c r="L343" s="680"/>
      <c r="M343" s="680"/>
      <c r="N343" s="680"/>
      <c r="O343" s="680"/>
      <c r="P343" s="680"/>
      <c r="Q343" s="680"/>
      <c r="R343" s="680"/>
    </row>
    <row r="344" spans="1:18" ht="9.75" customHeight="1">
      <c r="A344" s="163"/>
      <c r="B344" s="163"/>
      <c r="C344" s="163"/>
      <c r="D344" s="163"/>
      <c r="E344" s="628"/>
      <c r="F344" s="258"/>
      <c r="H344" s="672"/>
      <c r="I344" s="672"/>
    </row>
    <row r="345" spans="1:18" s="462" customFormat="1" ht="12">
      <c r="A345" s="458"/>
      <c r="B345" s="459" t="s">
        <v>563</v>
      </c>
      <c r="C345" s="460" t="s">
        <v>796</v>
      </c>
      <c r="D345" s="460" t="s">
        <v>797</v>
      </c>
      <c r="E345" s="627"/>
      <c r="F345" s="461"/>
      <c r="G345" s="673"/>
      <c r="H345" s="674" t="s">
        <v>798</v>
      </c>
      <c r="I345" s="674"/>
      <c r="J345" s="673" t="s">
        <v>800</v>
      </c>
      <c r="K345" s="673"/>
      <c r="L345" s="673"/>
      <c r="M345" s="673"/>
      <c r="N345" s="673"/>
      <c r="O345" s="673"/>
      <c r="P345" s="673"/>
      <c r="Q345" s="673"/>
      <c r="R345" s="673"/>
    </row>
    <row r="346" spans="1:18" ht="27.6" customHeight="1">
      <c r="A346" s="163"/>
      <c r="B346" s="441" t="s">
        <v>374</v>
      </c>
      <c r="C346" s="742" t="str">
        <f>Lm!B35</f>
        <v>How was the input derived?</v>
      </c>
      <c r="D346" s="264" t="s">
        <v>388</v>
      </c>
      <c r="E346" s="627" t="str">
        <f>IFERROR(IF(OR($H346=10,NOT(ISNUMBER($H346))),"",IF(H346=$H$350,"Limiting","")),"")</f>
        <v/>
      </c>
      <c r="F346" s="258"/>
      <c r="G346" s="682">
        <f t="shared" ref="G346:G348" si="18">IF(LEN(D346)&gt;0,1,0)</f>
        <v>1</v>
      </c>
      <c r="H346" s="676">
        <f>VLOOKUP('Interactive Data Grading'!D346,Lm!$C$6:$G$15,5,FALSE)</f>
        <v>10</v>
      </c>
      <c r="I346" s="676">
        <f>H346</f>
        <v>10</v>
      </c>
    </row>
    <row r="347" spans="1:18" ht="27.6" customHeight="1">
      <c r="A347" s="163"/>
      <c r="B347" s="441" t="s">
        <v>375</v>
      </c>
      <c r="C347" s="742" t="str">
        <f>Lm!B36</f>
        <v>Are hydrant laterals included in the input derivation?</v>
      </c>
      <c r="D347" s="264" t="s">
        <v>62</v>
      </c>
      <c r="E347" s="627" t="str">
        <f t="shared" ref="E347:E349" si="19">IFERROR(IF(OR($H347=10,NOT(ISNUMBER($H347))),"",IF(H347=$H$350,"Limiting","")),"")</f>
        <v/>
      </c>
      <c r="F347" s="258"/>
      <c r="G347" s="682">
        <f>IF(OR(LEN(D347)&gt;0,D346=Lm!$C$6),1,0)</f>
        <v>1</v>
      </c>
      <c r="H347" s="676">
        <f>VLOOKUP('Interactive Data Grading'!D347,Lm!$D$6:$G$15,4,FALSE)</f>
        <v>10</v>
      </c>
      <c r="I347" s="676">
        <f>H347</f>
        <v>10</v>
      </c>
      <c r="J347" s="668" t="s">
        <v>374</v>
      </c>
    </row>
    <row r="348" spans="1:18" ht="27.6" customHeight="1">
      <c r="A348" s="163"/>
      <c r="B348" s="441" t="s">
        <v>376</v>
      </c>
      <c r="C348" s="742" t="str">
        <f>Lm!B37</f>
        <v>Which best describes how the Mains inventory (GIS, ledger, etc) is kept up to date?</v>
      </c>
      <c r="D348" s="264" t="s">
        <v>389</v>
      </c>
      <c r="E348" s="627" t="str">
        <f t="shared" si="19"/>
        <v/>
      </c>
      <c r="F348" s="258"/>
      <c r="G348" s="682">
        <f t="shared" si="18"/>
        <v>1</v>
      </c>
      <c r="H348" s="676">
        <f>VLOOKUP('Interactive Data Grading'!D348,Lm!$E$6:$G$15,3,FALSE)</f>
        <v>10</v>
      </c>
      <c r="I348" s="676">
        <f>H348</f>
        <v>10</v>
      </c>
    </row>
    <row r="349" spans="1:18" ht="27.6" customHeight="1">
      <c r="A349" s="163"/>
      <c r="B349" s="441" t="s">
        <v>377</v>
      </c>
      <c r="C349" s="742" t="str">
        <f>Lm!B38</f>
        <v>Which best describes how the Mains inventory (GIS, ledger, etc) is field validated to confirm field conditions match the inventory?</v>
      </c>
      <c r="D349" s="264" t="s">
        <v>390</v>
      </c>
      <c r="E349" s="627" t="str">
        <f t="shared" si="19"/>
        <v/>
      </c>
      <c r="F349" s="258"/>
      <c r="G349" s="682">
        <f>IF(OR(LEN(D349)&gt;0,$D$348=Lm!$E$8),1,0)</f>
        <v>1</v>
      </c>
      <c r="H349" s="676">
        <f>VLOOKUP('Interactive Data Grading'!D349,Lm!$F$6:$G$15,2,FALSE)</f>
        <v>10</v>
      </c>
      <c r="I349" s="676">
        <f>H349</f>
        <v>10</v>
      </c>
      <c r="J349" s="668" t="s">
        <v>376</v>
      </c>
    </row>
    <row r="350" spans="1:18" ht="27.6" customHeight="1">
      <c r="A350" s="163"/>
      <c r="B350" s="163"/>
      <c r="C350" s="259" t="s">
        <v>806</v>
      </c>
      <c r="D350" s="630">
        <f>IF(G350&lt;1,"",I350)</f>
        <v>10</v>
      </c>
      <c r="E350" s="627"/>
      <c r="F350" s="258"/>
      <c r="G350" s="682">
        <f>MIN(G346:G349)</f>
        <v>1</v>
      </c>
      <c r="H350" s="679">
        <f>MIN(H346:H349)</f>
        <v>10</v>
      </c>
      <c r="I350" s="679">
        <f t="array" ref="I350">MIN(IF(ISNUMBER(I346:I349),I346:I349))</f>
        <v>10</v>
      </c>
    </row>
    <row r="351" spans="1:18" s="369" customFormat="1" ht="16.350000000000001" customHeight="1">
      <c r="C351" s="454"/>
      <c r="D351" s="454"/>
      <c r="E351" s="706"/>
      <c r="G351" s="680"/>
      <c r="H351" s="680"/>
      <c r="I351" s="681"/>
      <c r="J351" s="680"/>
      <c r="K351" s="680"/>
      <c r="L351" s="680"/>
      <c r="M351" s="680"/>
      <c r="N351" s="680"/>
      <c r="O351" s="680"/>
      <c r="P351" s="680"/>
      <c r="Q351" s="680"/>
      <c r="R351" s="680"/>
    </row>
    <row r="352" spans="1:18" s="369" customFormat="1" ht="16.350000000000001" customHeight="1">
      <c r="C352" s="454"/>
      <c r="D352" s="454"/>
      <c r="E352" s="706"/>
      <c r="G352" s="680"/>
      <c r="H352" s="680"/>
      <c r="I352" s="681"/>
      <c r="J352" s="680"/>
      <c r="K352" s="680"/>
      <c r="L352" s="680"/>
      <c r="M352" s="680"/>
      <c r="N352" s="680"/>
      <c r="O352" s="680"/>
      <c r="P352" s="680"/>
      <c r="Q352" s="680"/>
      <c r="R352" s="680"/>
    </row>
    <row r="353" spans="1:18" s="369" customFormat="1" ht="16.350000000000001" customHeight="1">
      <c r="C353" s="454"/>
      <c r="D353" s="454"/>
      <c r="E353" s="706"/>
      <c r="G353" s="680"/>
      <c r="H353" s="680"/>
      <c r="I353" s="681"/>
      <c r="J353" s="680"/>
      <c r="K353" s="680"/>
      <c r="L353" s="680"/>
      <c r="M353" s="680"/>
      <c r="N353" s="680"/>
      <c r="O353" s="680"/>
      <c r="P353" s="680"/>
      <c r="Q353" s="680"/>
      <c r="R353" s="680"/>
    </row>
    <row r="354" spans="1:18" s="369" customFormat="1" ht="16.350000000000001" customHeight="1">
      <c r="C354" s="454"/>
      <c r="D354" s="454"/>
      <c r="E354" s="706"/>
      <c r="G354" s="680"/>
      <c r="H354" s="680"/>
      <c r="I354" s="681"/>
      <c r="J354" s="680"/>
      <c r="K354" s="680"/>
      <c r="L354" s="680"/>
      <c r="M354" s="680"/>
      <c r="N354" s="680"/>
      <c r="O354" s="680"/>
      <c r="P354" s="680"/>
      <c r="Q354" s="680"/>
      <c r="R354" s="680"/>
    </row>
    <row r="355" spans="1:18" s="369" customFormat="1" ht="16.350000000000001" customHeight="1">
      <c r="C355" s="454"/>
      <c r="D355" s="454"/>
      <c r="E355" s="706"/>
      <c r="G355" s="680"/>
      <c r="H355" s="680"/>
      <c r="I355" s="681"/>
      <c r="J355" s="680"/>
      <c r="K355" s="680"/>
      <c r="L355" s="680"/>
      <c r="M355" s="680"/>
      <c r="N355" s="680"/>
      <c r="O355" s="680"/>
      <c r="P355" s="680"/>
      <c r="Q355" s="680"/>
      <c r="R355" s="680"/>
    </row>
    <row r="356" spans="1:18" s="369" customFormat="1" ht="16.350000000000001" customHeight="1">
      <c r="C356" s="454"/>
      <c r="D356" s="454"/>
      <c r="E356" s="706"/>
      <c r="G356" s="680"/>
      <c r="H356" s="680"/>
      <c r="I356" s="681"/>
      <c r="J356" s="680"/>
      <c r="K356" s="680"/>
      <c r="L356" s="680"/>
      <c r="M356" s="680"/>
      <c r="N356" s="680"/>
      <c r="O356" s="680"/>
      <c r="P356" s="680"/>
      <c r="Q356" s="680"/>
      <c r="R356" s="680"/>
    </row>
    <row r="357" spans="1:18" s="369" customFormat="1" ht="16.350000000000001" customHeight="1">
      <c r="C357" s="454"/>
      <c r="D357" s="454"/>
      <c r="E357" s="706"/>
      <c r="G357" s="680"/>
      <c r="H357" s="680"/>
      <c r="I357" s="681"/>
      <c r="J357" s="680"/>
      <c r="K357" s="680"/>
      <c r="L357" s="680"/>
      <c r="M357" s="680"/>
      <c r="N357" s="680"/>
      <c r="O357" s="680"/>
      <c r="P357" s="680"/>
      <c r="Q357" s="680"/>
      <c r="R357" s="680"/>
    </row>
    <row r="358" spans="1:18" s="369" customFormat="1" ht="16.350000000000001" customHeight="1">
      <c r="C358" s="454"/>
      <c r="D358" s="454"/>
      <c r="E358" s="706"/>
      <c r="G358" s="680"/>
      <c r="H358" s="680"/>
      <c r="I358" s="681"/>
      <c r="J358" s="680"/>
      <c r="K358" s="680"/>
      <c r="L358" s="680"/>
      <c r="M358" s="680"/>
      <c r="N358" s="680"/>
      <c r="O358" s="680"/>
      <c r="P358" s="680"/>
      <c r="Q358" s="680"/>
      <c r="R358" s="680"/>
    </row>
    <row r="359" spans="1:18" s="369" customFormat="1" ht="16.350000000000001" customHeight="1">
      <c r="C359" s="454"/>
      <c r="D359" s="454"/>
      <c r="E359" s="706"/>
      <c r="G359" s="680"/>
      <c r="H359" s="680"/>
      <c r="I359" s="681"/>
      <c r="J359" s="680"/>
      <c r="K359" s="680"/>
      <c r="L359" s="680"/>
      <c r="M359" s="680"/>
      <c r="N359" s="680"/>
      <c r="O359" s="680"/>
      <c r="P359" s="680"/>
      <c r="Q359" s="680"/>
      <c r="R359" s="680"/>
    </row>
    <row r="360" spans="1:18" s="369" customFormat="1" ht="50.45" customHeight="1">
      <c r="C360" s="454"/>
      <c r="D360" s="454"/>
      <c r="E360" s="706"/>
      <c r="G360" s="680"/>
      <c r="H360" s="680"/>
      <c r="I360" s="681"/>
      <c r="J360" s="680"/>
      <c r="K360" s="680"/>
      <c r="L360" s="680"/>
      <c r="M360" s="680"/>
      <c r="N360" s="680"/>
      <c r="O360" s="680"/>
      <c r="P360" s="680"/>
      <c r="Q360" s="680"/>
      <c r="R360" s="680"/>
    </row>
    <row r="361" spans="1:18" s="369" customFormat="1" ht="50.45" customHeight="1">
      <c r="C361" s="454"/>
      <c r="D361" s="454"/>
      <c r="E361" s="706"/>
      <c r="G361" s="680"/>
      <c r="H361" s="680"/>
      <c r="I361" s="681"/>
      <c r="J361" s="680"/>
      <c r="K361" s="680"/>
      <c r="L361" s="680"/>
      <c r="M361" s="680"/>
      <c r="N361" s="680"/>
      <c r="O361" s="680"/>
      <c r="P361" s="680"/>
      <c r="Q361" s="680"/>
      <c r="R361" s="680"/>
    </row>
    <row r="362" spans="1:18" s="369" customFormat="1" ht="50.45" customHeight="1">
      <c r="C362" s="454"/>
      <c r="D362" s="454"/>
      <c r="E362" s="706"/>
      <c r="G362" s="680"/>
      <c r="H362" s="680"/>
      <c r="I362" s="681"/>
      <c r="J362" s="680"/>
      <c r="K362" s="680"/>
      <c r="L362" s="680"/>
      <c r="M362" s="680"/>
      <c r="N362" s="680"/>
      <c r="O362" s="680"/>
      <c r="P362" s="680"/>
      <c r="Q362" s="680"/>
      <c r="R362" s="680"/>
    </row>
    <row r="363" spans="1:18" s="369" customFormat="1" ht="34.5" customHeight="1">
      <c r="C363" s="454"/>
      <c r="D363" s="454"/>
      <c r="E363" s="706"/>
      <c r="G363" s="680"/>
      <c r="H363" s="680"/>
      <c r="I363" s="681"/>
      <c r="J363" s="680"/>
      <c r="K363" s="680"/>
      <c r="L363" s="680"/>
      <c r="M363" s="680"/>
      <c r="N363" s="680"/>
      <c r="O363" s="680"/>
      <c r="P363" s="680"/>
      <c r="Q363" s="680"/>
      <c r="R363" s="680"/>
    </row>
    <row r="364" spans="1:18" s="369" customFormat="1" ht="29.25" customHeight="1">
      <c r="C364" s="454"/>
      <c r="D364" s="454"/>
      <c r="E364" s="706"/>
      <c r="G364" s="680"/>
      <c r="H364" s="680"/>
      <c r="I364" s="681"/>
      <c r="J364" s="680"/>
      <c r="K364" s="680"/>
      <c r="L364" s="680"/>
      <c r="M364" s="680"/>
      <c r="N364" s="680"/>
      <c r="O364" s="680"/>
      <c r="P364" s="680"/>
      <c r="Q364" s="680"/>
      <c r="R364" s="680"/>
    </row>
    <row r="365" spans="1:18" s="369" customFormat="1" ht="29.25" customHeight="1">
      <c r="C365" s="454"/>
      <c r="D365" s="454"/>
      <c r="E365" s="706"/>
      <c r="G365" s="680"/>
      <c r="H365" s="680"/>
      <c r="I365" s="681"/>
      <c r="J365" s="680"/>
      <c r="K365" s="680"/>
      <c r="L365" s="680"/>
      <c r="M365" s="680"/>
      <c r="N365" s="680"/>
      <c r="O365" s="680"/>
      <c r="P365" s="680"/>
      <c r="Q365" s="680"/>
      <c r="R365" s="680"/>
    </row>
    <row r="366" spans="1:18" s="369" customFormat="1" ht="16.350000000000001" customHeight="1">
      <c r="A366" s="1034" t="s">
        <v>790</v>
      </c>
      <c r="B366" s="1035"/>
      <c r="C366" s="1036" t="s">
        <v>856</v>
      </c>
      <c r="D366" s="1036"/>
      <c r="E366" s="749" t="s">
        <v>792</v>
      </c>
      <c r="G366" s="680"/>
      <c r="H366" s="680"/>
      <c r="I366" s="681"/>
      <c r="J366" s="680"/>
      <c r="K366" s="680"/>
      <c r="L366" s="680"/>
      <c r="M366" s="680"/>
      <c r="N366" s="680"/>
      <c r="O366" s="680"/>
      <c r="P366" s="680"/>
      <c r="Q366" s="680"/>
      <c r="R366" s="680"/>
    </row>
    <row r="367" spans="1:18" ht="9.75" customHeight="1">
      <c r="A367" s="163"/>
      <c r="B367" s="163"/>
      <c r="C367" s="163"/>
      <c r="D367" s="163"/>
      <c r="E367" s="628"/>
      <c r="F367" s="258"/>
      <c r="H367" s="672"/>
      <c r="I367" s="672"/>
    </row>
    <row r="368" spans="1:18" s="462" customFormat="1" ht="12">
      <c r="A368" s="458"/>
      <c r="B368" s="459" t="s">
        <v>567</v>
      </c>
      <c r="C368" s="460" t="s">
        <v>796</v>
      </c>
      <c r="D368" s="460" t="s">
        <v>797</v>
      </c>
      <c r="E368" s="627"/>
      <c r="F368" s="461"/>
      <c r="G368" s="673"/>
      <c r="H368" s="674" t="s">
        <v>798</v>
      </c>
      <c r="I368" s="674"/>
      <c r="J368" s="673" t="s">
        <v>800</v>
      </c>
      <c r="K368" s="673" t="s">
        <v>857</v>
      </c>
      <c r="L368" s="673"/>
      <c r="M368" s="673"/>
      <c r="N368" s="673"/>
      <c r="O368" s="673"/>
      <c r="P368" s="673"/>
      <c r="Q368" s="673"/>
      <c r="R368" s="673"/>
    </row>
    <row r="369" spans="1:18" ht="27.6" customHeight="1">
      <c r="A369" s="163"/>
      <c r="B369" s="441" t="s">
        <v>392</v>
      </c>
      <c r="C369" s="742" t="str">
        <f>Nc!B35</f>
        <v>How was the input derived?</v>
      </c>
      <c r="D369" s="264" t="s">
        <v>407</v>
      </c>
      <c r="E369" s="627" t="str">
        <f>IFERROR(IF(OR($D$374=10,NOT(ISNUMBER($D$374))),"",IF(I369=$I$374,"Limiting","")),"")</f>
        <v/>
      </c>
      <c r="F369" s="258"/>
      <c r="H369" s="676">
        <f>VLOOKUP('Interactive Data Grading'!D369,Nc!$C$6:$H$15,6,FALSE)</f>
        <v>10</v>
      </c>
      <c r="I369" s="676">
        <f>H369</f>
        <v>10</v>
      </c>
      <c r="K369" s="668" t="str">
        <f>IFERROR(IF(OR($D$374=10,NOT(ISNUMBER($D$374))),"",IF(I369=$I$374,"Limiting","")),"")</f>
        <v/>
      </c>
    </row>
    <row r="370" spans="1:18" ht="27.6" customHeight="1">
      <c r="A370" s="163"/>
      <c r="B370" s="441" t="s">
        <v>393</v>
      </c>
      <c r="C370" s="742" t="str">
        <f>Nc!B36</f>
        <v>What is the count of services based on?</v>
      </c>
      <c r="D370" s="264" t="s">
        <v>408</v>
      </c>
      <c r="E370" s="627" t="str">
        <f t="shared" ref="E370:E373" si="20">IFERROR(IF(OR($D$374=10,NOT(ISNUMBER($D$374))),"",IF(I370=$I$374,"Limiting","")),"")</f>
        <v/>
      </c>
      <c r="F370" s="258"/>
      <c r="G370" s="682">
        <f>IF(OR(LEN(D370)&gt;0,$D$369=Nc!$C$23),1,0)</f>
        <v>1</v>
      </c>
      <c r="H370" s="676">
        <f>VLOOKUP('Interactive Data Grading'!D370,Nc!$D$6:$H$15,5,FALSE)</f>
        <v>10</v>
      </c>
      <c r="I370" s="676">
        <f>H370</f>
        <v>10</v>
      </c>
      <c r="J370" s="668" t="s">
        <v>392</v>
      </c>
      <c r="K370" s="668" t="str">
        <f t="shared" ref="K370:K373" si="21">IFERROR(IF(OR($D$374=10,NOT(ISNUMBER($D$374))),"",IF(I370=$I$374,"Limiting","")),"")</f>
        <v/>
      </c>
    </row>
    <row r="371" spans="1:18" ht="27.6" customHeight="1">
      <c r="A371" s="163"/>
      <c r="B371" s="441" t="s">
        <v>394</v>
      </c>
      <c r="C371" s="742" t="str">
        <f>Nc!B37</f>
        <v xml:space="preserve">Are inactive (but still pressurized) service lines included in the input? These may be metered or unmetered.  </v>
      </c>
      <c r="D371" s="264" t="s">
        <v>62</v>
      </c>
      <c r="E371" s="627" t="str">
        <f t="shared" si="20"/>
        <v/>
      </c>
      <c r="F371" s="258"/>
      <c r="G371" s="682">
        <f>IF(OR(LEN(D371)&gt;0,D369=Nc!$C$23),1,0)</f>
        <v>1</v>
      </c>
      <c r="H371" s="676">
        <f>VLOOKUP('Interactive Data Grading'!D371,Nc!$E$6:$H$15,4,FALSE)</f>
        <v>10</v>
      </c>
      <c r="I371" s="676">
        <f t="shared" ref="I371:I373" si="22">H371</f>
        <v>10</v>
      </c>
      <c r="J371" s="668" t="s">
        <v>392</v>
      </c>
      <c r="K371" s="668" t="str">
        <f t="shared" si="21"/>
        <v/>
      </c>
    </row>
    <row r="372" spans="1:18" ht="27.6" customHeight="1">
      <c r="A372" s="163"/>
      <c r="B372" s="441" t="s">
        <v>395</v>
      </c>
      <c r="C372" s="742" t="str">
        <f>Nc!B38</f>
        <v>Which best describes how the inventory of service connections (GIS, billing system, etc) is kept up to date?</v>
      </c>
      <c r="D372" s="264" t="s">
        <v>409</v>
      </c>
      <c r="E372" s="627" t="str">
        <f t="shared" si="20"/>
        <v/>
      </c>
      <c r="F372" s="258"/>
      <c r="G372" s="682">
        <f t="shared" ref="G372" si="23">IF(LEN(D372)&gt;0,1,0)</f>
        <v>1</v>
      </c>
      <c r="H372" s="676">
        <f>VLOOKUP('Interactive Data Grading'!D372,Nc!$F$6:$H$15,3,FALSE)</f>
        <v>10</v>
      </c>
      <c r="I372" s="676">
        <f t="shared" si="22"/>
        <v>10</v>
      </c>
      <c r="K372" s="668" t="str">
        <f t="shared" si="21"/>
        <v/>
      </c>
    </row>
    <row r="373" spans="1:18" ht="45.6" customHeight="1">
      <c r="A373" s="163"/>
      <c r="B373" s="441" t="s">
        <v>396</v>
      </c>
      <c r="C373" s="742" t="str">
        <f>Nc!B39</f>
        <v>Which best describes how the inventory of service connections (GIS, billing system, etc) is field validated to confirm field conditions match the inventory?</v>
      </c>
      <c r="D373" s="264" t="s">
        <v>410</v>
      </c>
      <c r="E373" s="627" t="str">
        <f t="shared" si="20"/>
        <v/>
      </c>
      <c r="F373" s="258"/>
      <c r="G373" s="684">
        <f>IF(OR(LEN(D373)&gt;0,D372=Nc!F23),1,0)</f>
        <v>1</v>
      </c>
      <c r="H373" s="676">
        <f>VLOOKUP('Interactive Data Grading'!D373,Nc!$G$6:$H$15,2,FALSE)</f>
        <v>10</v>
      </c>
      <c r="I373" s="676">
        <f t="shared" si="22"/>
        <v>10</v>
      </c>
      <c r="J373" s="668" t="s">
        <v>395</v>
      </c>
      <c r="K373" s="668" t="str">
        <f t="shared" si="21"/>
        <v/>
      </c>
    </row>
    <row r="374" spans="1:18" ht="27.6" customHeight="1">
      <c r="A374" s="163"/>
      <c r="B374" s="163"/>
      <c r="C374" s="259" t="s">
        <v>806</v>
      </c>
      <c r="D374" s="630">
        <f>IF(G374&lt;1,"",I374)</f>
        <v>10</v>
      </c>
      <c r="E374" s="627"/>
      <c r="F374" s="258"/>
      <c r="G374" s="684">
        <f>MIN(G370:G373)</f>
        <v>1</v>
      </c>
      <c r="H374" s="679">
        <f>MIN(H369:H373)</f>
        <v>10</v>
      </c>
      <c r="I374" s="679">
        <f t="array" ref="I374">MIN(IF(ISNUMBER(I369:I373),I369:I373))</f>
        <v>10</v>
      </c>
    </row>
    <row r="375" spans="1:18" s="369" customFormat="1" ht="16.350000000000001" customHeight="1">
      <c r="C375" s="454"/>
      <c r="D375" s="454"/>
      <c r="E375" s="706"/>
      <c r="G375" s="680"/>
      <c r="H375" s="680"/>
      <c r="I375" s="681"/>
      <c r="J375" s="680"/>
      <c r="K375" s="680"/>
      <c r="L375" s="680"/>
      <c r="M375" s="680"/>
      <c r="N375" s="680"/>
      <c r="O375" s="680"/>
      <c r="P375" s="680"/>
      <c r="Q375" s="680"/>
      <c r="R375" s="680"/>
    </row>
    <row r="376" spans="1:18" s="369" customFormat="1" ht="16.350000000000001" customHeight="1">
      <c r="C376" s="454"/>
      <c r="D376" s="454"/>
      <c r="E376" s="706"/>
      <c r="G376" s="680"/>
      <c r="H376" s="680"/>
      <c r="I376" s="681"/>
      <c r="J376" s="680"/>
      <c r="K376" s="680"/>
      <c r="L376" s="680"/>
      <c r="M376" s="680"/>
      <c r="N376" s="680"/>
      <c r="O376" s="680"/>
      <c r="P376" s="680"/>
      <c r="Q376" s="680"/>
      <c r="R376" s="680"/>
    </row>
    <row r="377" spans="1:18" s="369" customFormat="1" ht="2.4500000000000002" customHeight="1">
      <c r="C377" s="454"/>
      <c r="D377" s="454"/>
      <c r="E377" s="706"/>
      <c r="G377" s="680"/>
      <c r="H377" s="680"/>
      <c r="I377" s="681"/>
      <c r="J377" s="680"/>
      <c r="K377" s="680"/>
      <c r="L377" s="680"/>
      <c r="M377" s="680"/>
      <c r="N377" s="680"/>
      <c r="O377" s="680"/>
      <c r="P377" s="680"/>
      <c r="Q377" s="680"/>
      <c r="R377" s="680"/>
    </row>
    <row r="378" spans="1:18" s="369" customFormat="1" ht="16.350000000000001" customHeight="1">
      <c r="C378" s="454"/>
      <c r="D378" s="454"/>
      <c r="E378" s="706"/>
      <c r="G378" s="680"/>
      <c r="H378" s="680"/>
      <c r="I378" s="681"/>
      <c r="J378" s="680"/>
      <c r="K378" s="680"/>
      <c r="L378" s="680"/>
      <c r="M378" s="680"/>
      <c r="N378" s="680"/>
      <c r="O378" s="680"/>
      <c r="P378" s="680"/>
      <c r="Q378" s="680"/>
      <c r="R378" s="680"/>
    </row>
    <row r="379" spans="1:18" s="369" customFormat="1" ht="16.350000000000001" customHeight="1">
      <c r="C379" s="454"/>
      <c r="D379" s="454"/>
      <c r="E379" s="706"/>
      <c r="G379" s="680"/>
      <c r="H379" s="680"/>
      <c r="I379" s="681"/>
      <c r="J379" s="680"/>
      <c r="K379" s="680"/>
      <c r="L379" s="680"/>
      <c r="M379" s="680"/>
      <c r="N379" s="680"/>
      <c r="O379" s="680"/>
      <c r="P379" s="680"/>
      <c r="Q379" s="680"/>
      <c r="R379" s="680"/>
    </row>
    <row r="380" spans="1:18" s="369" customFormat="1" ht="16.350000000000001" customHeight="1">
      <c r="C380" s="454"/>
      <c r="D380" s="454"/>
      <c r="E380" s="706"/>
      <c r="G380" s="680"/>
      <c r="H380" s="680"/>
      <c r="I380" s="681"/>
      <c r="J380" s="680"/>
      <c r="K380" s="680"/>
      <c r="L380" s="680"/>
      <c r="M380" s="680"/>
      <c r="N380" s="680"/>
      <c r="O380" s="680"/>
      <c r="P380" s="680"/>
      <c r="Q380" s="680"/>
      <c r="R380" s="680"/>
    </row>
    <row r="381" spans="1:18" s="369" customFormat="1" ht="16.350000000000001" customHeight="1">
      <c r="C381" s="454"/>
      <c r="D381" s="454"/>
      <c r="E381" s="706"/>
      <c r="G381" s="680"/>
      <c r="H381" s="680"/>
      <c r="I381" s="681"/>
      <c r="J381" s="680"/>
      <c r="K381" s="680"/>
      <c r="L381" s="680"/>
      <c r="M381" s="680"/>
      <c r="N381" s="680"/>
      <c r="O381" s="680"/>
      <c r="P381" s="680"/>
      <c r="Q381" s="680"/>
      <c r="R381" s="680"/>
    </row>
    <row r="382" spans="1:18" s="369" customFormat="1" ht="16.350000000000001" customHeight="1">
      <c r="C382" s="454"/>
      <c r="D382" s="454"/>
      <c r="E382" s="706"/>
      <c r="G382" s="680"/>
      <c r="H382" s="680"/>
      <c r="I382" s="681"/>
      <c r="J382" s="680"/>
      <c r="K382" s="680"/>
      <c r="L382" s="680"/>
      <c r="M382" s="680"/>
      <c r="N382" s="680"/>
      <c r="O382" s="680"/>
      <c r="P382" s="680"/>
      <c r="Q382" s="680"/>
      <c r="R382" s="680"/>
    </row>
    <row r="383" spans="1:18" s="369" customFormat="1" ht="16.350000000000001" customHeight="1">
      <c r="C383" s="454"/>
      <c r="D383" s="454"/>
      <c r="E383" s="706"/>
      <c r="G383" s="680"/>
      <c r="H383" s="680"/>
      <c r="I383" s="681"/>
      <c r="J383" s="680"/>
      <c r="K383" s="680"/>
      <c r="L383" s="680"/>
      <c r="M383" s="680"/>
      <c r="N383" s="680"/>
      <c r="O383" s="680"/>
      <c r="P383" s="680"/>
      <c r="Q383" s="680"/>
      <c r="R383" s="680"/>
    </row>
    <row r="384" spans="1:18" s="369" customFormat="1" ht="16.350000000000001" customHeight="1">
      <c r="C384" s="454"/>
      <c r="D384" s="454"/>
      <c r="E384" s="706"/>
      <c r="G384" s="680"/>
      <c r="H384" s="680"/>
      <c r="I384" s="681"/>
      <c r="J384" s="680"/>
      <c r="K384" s="680"/>
      <c r="L384" s="680"/>
      <c r="M384" s="680"/>
      <c r="N384" s="680"/>
      <c r="O384" s="680"/>
      <c r="P384" s="680"/>
      <c r="Q384" s="680"/>
      <c r="R384" s="680"/>
    </row>
    <row r="385" spans="1:18" s="369" customFormat="1" ht="16.350000000000001" customHeight="1">
      <c r="C385" s="454"/>
      <c r="D385" s="454"/>
      <c r="E385" s="706"/>
      <c r="G385" s="680"/>
      <c r="H385" s="680"/>
      <c r="I385" s="681"/>
      <c r="J385" s="680"/>
      <c r="K385" s="680"/>
      <c r="L385" s="680"/>
      <c r="M385" s="680"/>
      <c r="N385" s="680"/>
      <c r="O385" s="680"/>
      <c r="P385" s="680"/>
      <c r="Q385" s="680"/>
      <c r="R385" s="680"/>
    </row>
    <row r="386" spans="1:18" s="369" customFormat="1" ht="16.350000000000001" customHeight="1">
      <c r="C386" s="454"/>
      <c r="D386" s="454"/>
      <c r="E386" s="706"/>
      <c r="G386" s="680"/>
      <c r="H386" s="680"/>
      <c r="I386" s="681"/>
      <c r="J386" s="680"/>
      <c r="K386" s="680"/>
      <c r="L386" s="680"/>
      <c r="M386" s="680"/>
      <c r="N386" s="680"/>
      <c r="O386" s="680"/>
      <c r="P386" s="680"/>
      <c r="Q386" s="680"/>
      <c r="R386" s="680"/>
    </row>
    <row r="387" spans="1:18" s="369" customFormat="1" ht="16.350000000000001" customHeight="1">
      <c r="C387" s="454"/>
      <c r="D387" s="454"/>
      <c r="E387" s="706"/>
      <c r="G387" s="680"/>
      <c r="H387" s="680"/>
      <c r="I387" s="681"/>
      <c r="J387" s="680"/>
      <c r="K387" s="680"/>
      <c r="L387" s="680"/>
      <c r="M387" s="680"/>
      <c r="N387" s="680"/>
      <c r="O387" s="680"/>
      <c r="P387" s="680"/>
      <c r="Q387" s="680"/>
      <c r="R387" s="680"/>
    </row>
    <row r="388" spans="1:18" s="369" customFormat="1" ht="16.350000000000001" customHeight="1">
      <c r="C388" s="454"/>
      <c r="D388" s="454"/>
      <c r="E388" s="706"/>
      <c r="G388" s="680"/>
      <c r="H388" s="680"/>
      <c r="I388" s="681"/>
      <c r="J388" s="680"/>
      <c r="K388" s="680"/>
      <c r="L388" s="680"/>
      <c r="M388" s="680"/>
      <c r="N388" s="680"/>
      <c r="O388" s="680"/>
      <c r="P388" s="680"/>
      <c r="Q388" s="680"/>
      <c r="R388" s="680"/>
    </row>
    <row r="389" spans="1:18" s="369" customFormat="1" ht="21.75" customHeight="1">
      <c r="C389" s="454"/>
      <c r="D389" s="454"/>
      <c r="E389" s="706"/>
      <c r="G389" s="680"/>
      <c r="H389" s="680"/>
      <c r="I389" s="681"/>
      <c r="J389" s="680"/>
      <c r="K389" s="680"/>
      <c r="L389" s="680"/>
      <c r="M389" s="680"/>
      <c r="N389" s="680"/>
      <c r="O389" s="680"/>
      <c r="P389" s="680"/>
      <c r="Q389" s="680"/>
      <c r="R389" s="680"/>
    </row>
    <row r="390" spans="1:18" s="369" customFormat="1" ht="16.350000000000001" customHeight="1">
      <c r="A390" s="1034" t="s">
        <v>790</v>
      </c>
      <c r="B390" s="1035"/>
      <c r="C390" s="1036" t="s">
        <v>858</v>
      </c>
      <c r="D390" s="1036"/>
      <c r="E390" s="749" t="s">
        <v>792</v>
      </c>
      <c r="G390" s="680"/>
      <c r="H390" s="680"/>
      <c r="I390" s="681"/>
      <c r="J390" s="680"/>
      <c r="K390" s="680"/>
      <c r="L390" s="680"/>
      <c r="M390" s="680"/>
      <c r="N390" s="680"/>
      <c r="O390" s="680"/>
      <c r="P390" s="680"/>
      <c r="Q390" s="680"/>
      <c r="R390" s="680"/>
    </row>
    <row r="391" spans="1:18" ht="9.75" customHeight="1">
      <c r="A391" s="163"/>
      <c r="B391" s="163"/>
      <c r="C391" s="163"/>
      <c r="D391" s="163"/>
      <c r="E391" s="628"/>
      <c r="F391" s="258"/>
      <c r="H391" s="672"/>
      <c r="I391" s="672"/>
    </row>
    <row r="392" spans="1:18" s="462" customFormat="1" ht="12">
      <c r="A392" s="458"/>
      <c r="B392" s="459" t="s">
        <v>573</v>
      </c>
      <c r="C392" s="460" t="s">
        <v>796</v>
      </c>
      <c r="D392" s="460" t="s">
        <v>797</v>
      </c>
      <c r="E392" s="627"/>
      <c r="F392" s="461"/>
      <c r="G392" s="673"/>
      <c r="H392" s="674" t="s">
        <v>798</v>
      </c>
      <c r="I392" s="674"/>
      <c r="J392" s="673" t="s">
        <v>800</v>
      </c>
      <c r="K392" s="673"/>
      <c r="L392" s="673"/>
      <c r="M392" s="673"/>
      <c r="N392" s="673"/>
      <c r="O392" s="673"/>
      <c r="P392" s="673"/>
      <c r="Q392" s="673"/>
      <c r="R392" s="673"/>
    </row>
    <row r="393" spans="1:18" ht="27.6" customHeight="1">
      <c r="A393" s="163"/>
      <c r="B393" s="441" t="s">
        <v>859</v>
      </c>
      <c r="C393" s="744" t="str">
        <f>Lp!B34</f>
        <v xml:space="preserve">Are customer meters typically located at the curbstop or property line? </v>
      </c>
      <c r="D393" s="263" t="str">
        <f>IF(OR(Worksheet!H65="Yes",Worksheet!H65="No"),Worksheet!H65,"Select on Worksheet")</f>
        <v>No</v>
      </c>
      <c r="E393" s="627"/>
      <c r="F393" s="258"/>
      <c r="I393" s="675"/>
      <c r="J393" s="668" t="s">
        <v>860</v>
      </c>
      <c r="K393" s="668" t="s">
        <v>857</v>
      </c>
    </row>
    <row r="394" spans="1:18" ht="27.6" customHeight="1">
      <c r="A394" s="163"/>
      <c r="B394" s="441" t="s">
        <v>413</v>
      </c>
      <c r="C394" s="744" t="str">
        <f>Lp!B35</f>
        <v>How was the input derived?</v>
      </c>
      <c r="D394" s="261" t="s">
        <v>426</v>
      </c>
      <c r="E394" s="627" t="str">
        <f>IFERROR(IF(OR($D$398=10,NOT(ISNUMBER($D$398))),"",IF(I394=$I$398,"Limiting","")),"")</f>
        <v/>
      </c>
      <c r="F394" s="258"/>
      <c r="G394" s="668">
        <f>IF(LEN(D394)&gt;0,1,0)</f>
        <v>1</v>
      </c>
      <c r="H394" s="676">
        <f>VLOOKUP(D394,Lp!$C$6:$G$15,5,FALSE)</f>
        <v>10</v>
      </c>
      <c r="I394" s="677">
        <f>H394</f>
        <v>10</v>
      </c>
    </row>
    <row r="395" spans="1:18" ht="27.6" customHeight="1">
      <c r="A395" s="163"/>
      <c r="B395" s="441" t="s">
        <v>414</v>
      </c>
      <c r="C395" s="744" t="str">
        <f>Lp!B36</f>
        <v>Which best describes how the Customer Service Line and Meter Locations mapping is kept up to date?</v>
      </c>
      <c r="D395" s="261" t="s">
        <v>427</v>
      </c>
      <c r="E395" s="627" t="str">
        <f t="shared" ref="E395:E397" si="24">IFERROR(IF(OR($D$398=10,NOT(ISNUMBER($D$398))),"",IF(I395=$I$398,"Limiting","")),"")</f>
        <v/>
      </c>
      <c r="F395" s="258"/>
      <c r="G395" s="668">
        <f>IF(LEN(D395)&gt;0,1,0)</f>
        <v>1</v>
      </c>
      <c r="H395" s="676">
        <f>VLOOKUP('Interactive Data Grading'!D395,Lp!$D$6:$G$15,4,FALSE)</f>
        <v>10</v>
      </c>
      <c r="I395" s="677">
        <f>IF(OR(D392=VOS!D190,D393=VOS!H192),X,H395)</f>
        <v>10</v>
      </c>
      <c r="J395" s="685"/>
    </row>
    <row r="396" spans="1:18" ht="27.6" customHeight="1">
      <c r="A396" s="163"/>
      <c r="B396" s="441" t="s">
        <v>415</v>
      </c>
      <c r="C396" s="744" t="str">
        <f>Lp!B37</f>
        <v>Which best describes how the Customer Service Line mapping is validated to what is in the field?</v>
      </c>
      <c r="D396" s="261" t="s">
        <v>428</v>
      </c>
      <c r="E396" s="627" t="str">
        <f t="shared" si="24"/>
        <v/>
      </c>
      <c r="F396" s="258"/>
      <c r="G396" s="686">
        <f>IF(OR(LEN(D396)&gt;0,D395=Lp!D23),1,0)</f>
        <v>1</v>
      </c>
      <c r="H396" s="676">
        <f>VLOOKUP('Interactive Data Grading'!D396,Lp!$E$6:$G$15,3,FALSE)</f>
        <v>10</v>
      </c>
      <c r="I396" s="676">
        <f>H396</f>
        <v>10</v>
      </c>
      <c r="J396" s="687" t="s">
        <v>414</v>
      </c>
    </row>
    <row r="397" spans="1:18" ht="33" customHeight="1">
      <c r="A397" s="163"/>
      <c r="B397" s="441" t="s">
        <v>416</v>
      </c>
      <c r="C397" s="744" t="str">
        <f>Lp!B38</f>
        <v>Which best describes the policy to define where the utility's ownership of the service line ends, and the customer's ownership of the service line begins?</v>
      </c>
      <c r="D397" s="261" t="s">
        <v>371</v>
      </c>
      <c r="E397" s="627" t="str">
        <f t="shared" si="24"/>
        <v/>
      </c>
      <c r="F397" s="258"/>
      <c r="G397" s="668">
        <f>IF(LEN(D397)&gt;0,1,0)</f>
        <v>1</v>
      </c>
      <c r="H397" s="676">
        <f>VLOOKUP('Interactive Data Grading'!D397,Lp!$F$6:$G$15,2,FALSE)</f>
        <v>10</v>
      </c>
      <c r="I397" s="676">
        <f>H397</f>
        <v>10</v>
      </c>
      <c r="J397" s="685"/>
    </row>
    <row r="398" spans="1:18" ht="27.6" customHeight="1">
      <c r="A398" s="163"/>
      <c r="B398" s="163"/>
      <c r="C398" s="259" t="s">
        <v>806</v>
      </c>
      <c r="D398" s="630">
        <f>IFERROR((IF(D393="Yes","10",IF(G398=0,"",I398))),"")</f>
        <v>10</v>
      </c>
      <c r="E398" s="627"/>
      <c r="F398" s="258"/>
      <c r="G398" s="669">
        <f>MIN(G394:G397)</f>
        <v>1</v>
      </c>
      <c r="H398" s="679">
        <f>MIN(H394:H397)</f>
        <v>10</v>
      </c>
      <c r="I398" s="679">
        <f t="array" ref="I398">MIN(IF(ISNUMBER(I394:I397),I394:I397))</f>
        <v>10</v>
      </c>
    </row>
    <row r="399" spans="1:18" s="369" customFormat="1" ht="16.350000000000001" customHeight="1">
      <c r="C399" s="455"/>
      <c r="D399" s="455"/>
      <c r="E399" s="706"/>
      <c r="G399" s="680"/>
      <c r="H399" s="680"/>
      <c r="I399" s="681"/>
      <c r="J399" s="680"/>
      <c r="K399" s="680"/>
      <c r="L399" s="680"/>
      <c r="M399" s="680"/>
      <c r="N399" s="680"/>
      <c r="O399" s="680"/>
      <c r="P399" s="680"/>
      <c r="Q399" s="680"/>
      <c r="R399" s="680"/>
    </row>
    <row r="400" spans="1:18" s="369" customFormat="1" ht="16.350000000000001" customHeight="1">
      <c r="C400" s="455"/>
      <c r="D400" s="455"/>
      <c r="E400" s="706"/>
      <c r="G400" s="680"/>
      <c r="H400" s="680"/>
      <c r="I400" s="681"/>
      <c r="J400" s="680"/>
      <c r="K400" s="680"/>
      <c r="L400" s="680"/>
      <c r="M400" s="680"/>
      <c r="N400" s="680"/>
      <c r="O400" s="680"/>
      <c r="P400" s="680"/>
      <c r="Q400" s="680"/>
      <c r="R400" s="680"/>
    </row>
    <row r="401" spans="1:18" s="369" customFormat="1" ht="16.350000000000001" customHeight="1">
      <c r="C401" s="455"/>
      <c r="D401" s="455"/>
      <c r="E401" s="706"/>
      <c r="G401" s="680"/>
      <c r="H401" s="680"/>
      <c r="I401" s="681"/>
      <c r="J401" s="680"/>
      <c r="K401" s="680"/>
      <c r="L401" s="680"/>
      <c r="M401" s="680"/>
      <c r="N401" s="680"/>
      <c r="O401" s="680"/>
      <c r="P401" s="680"/>
      <c r="Q401" s="680"/>
      <c r="R401" s="680"/>
    </row>
    <row r="402" spans="1:18" s="369" customFormat="1" ht="16.350000000000001" customHeight="1">
      <c r="C402" s="455"/>
      <c r="D402" s="455"/>
      <c r="E402" s="706"/>
      <c r="G402" s="680"/>
      <c r="H402" s="680"/>
      <c r="I402" s="681"/>
      <c r="J402" s="680"/>
      <c r="K402" s="680"/>
      <c r="L402" s="680"/>
      <c r="M402" s="680"/>
      <c r="N402" s="680"/>
      <c r="O402" s="680"/>
      <c r="P402" s="680"/>
      <c r="Q402" s="680"/>
      <c r="R402" s="680"/>
    </row>
    <row r="403" spans="1:18" s="369" customFormat="1" ht="16.350000000000001" customHeight="1">
      <c r="C403" s="455"/>
      <c r="D403" s="455"/>
      <c r="E403" s="706"/>
      <c r="G403" s="680"/>
      <c r="H403" s="680"/>
      <c r="I403" s="681"/>
      <c r="J403" s="680"/>
      <c r="K403" s="680"/>
      <c r="L403" s="680"/>
      <c r="M403" s="680"/>
      <c r="N403" s="680"/>
      <c r="O403" s="680"/>
      <c r="P403" s="680"/>
      <c r="Q403" s="680"/>
      <c r="R403" s="680"/>
    </row>
    <row r="404" spans="1:18" s="369" customFormat="1" ht="16.350000000000001" customHeight="1">
      <c r="C404" s="455"/>
      <c r="D404" s="455"/>
      <c r="E404" s="706"/>
      <c r="G404" s="680"/>
      <c r="H404" s="680"/>
      <c r="I404" s="681"/>
      <c r="J404" s="680"/>
      <c r="K404" s="680"/>
      <c r="L404" s="680"/>
      <c r="M404" s="680"/>
      <c r="N404" s="680"/>
      <c r="O404" s="680"/>
      <c r="P404" s="680"/>
      <c r="Q404" s="680"/>
      <c r="R404" s="680"/>
    </row>
    <row r="405" spans="1:18" s="369" customFormat="1" ht="16.350000000000001" customHeight="1">
      <c r="C405" s="455"/>
      <c r="D405" s="455"/>
      <c r="E405" s="706"/>
      <c r="G405" s="680"/>
      <c r="H405" s="680"/>
      <c r="I405" s="681"/>
      <c r="J405" s="680"/>
      <c r="K405" s="680"/>
      <c r="L405" s="680"/>
      <c r="M405" s="680"/>
      <c r="N405" s="680"/>
      <c r="O405" s="680"/>
      <c r="P405" s="680"/>
      <c r="Q405" s="680"/>
      <c r="R405" s="680"/>
    </row>
    <row r="406" spans="1:18" s="369" customFormat="1" ht="16.350000000000001" customHeight="1">
      <c r="C406" s="455"/>
      <c r="D406" s="455"/>
      <c r="E406" s="706"/>
      <c r="G406" s="680"/>
      <c r="H406" s="680"/>
      <c r="I406" s="681"/>
      <c r="J406" s="680"/>
      <c r="K406" s="680"/>
      <c r="L406" s="680"/>
      <c r="M406" s="680"/>
      <c r="N406" s="680"/>
      <c r="O406" s="680"/>
      <c r="P406" s="680"/>
      <c r="Q406" s="680"/>
      <c r="R406" s="680"/>
    </row>
    <row r="407" spans="1:18" s="369" customFormat="1" ht="16.350000000000001" customHeight="1">
      <c r="C407" s="455"/>
      <c r="D407" s="455"/>
      <c r="E407" s="706"/>
      <c r="G407" s="680"/>
      <c r="H407" s="680"/>
      <c r="I407" s="681"/>
      <c r="J407" s="680"/>
      <c r="K407" s="680"/>
      <c r="L407" s="680"/>
      <c r="M407" s="680"/>
      <c r="N407" s="680"/>
      <c r="O407" s="680"/>
      <c r="P407" s="680"/>
      <c r="Q407" s="680"/>
      <c r="R407" s="680"/>
    </row>
    <row r="408" spans="1:18" s="369" customFormat="1" ht="16.350000000000001" customHeight="1">
      <c r="C408" s="455"/>
      <c r="D408" s="455"/>
      <c r="E408" s="706"/>
      <c r="G408" s="680"/>
      <c r="H408" s="680"/>
      <c r="I408" s="681"/>
      <c r="J408" s="680"/>
      <c r="K408" s="680"/>
      <c r="L408" s="680"/>
      <c r="M408" s="680"/>
      <c r="N408" s="680"/>
      <c r="O408" s="680"/>
      <c r="P408" s="680"/>
      <c r="Q408" s="680"/>
      <c r="R408" s="680"/>
    </row>
    <row r="409" spans="1:18" s="369" customFormat="1" ht="16.350000000000001" customHeight="1">
      <c r="C409" s="455"/>
      <c r="D409" s="455"/>
      <c r="E409" s="706"/>
      <c r="G409" s="680"/>
      <c r="H409" s="680"/>
      <c r="I409" s="681"/>
      <c r="J409" s="680"/>
      <c r="K409" s="680"/>
      <c r="L409" s="680"/>
      <c r="M409" s="680"/>
      <c r="N409" s="680"/>
      <c r="O409" s="680"/>
      <c r="P409" s="680"/>
      <c r="Q409" s="680"/>
      <c r="R409" s="680"/>
    </row>
    <row r="410" spans="1:18" s="369" customFormat="1" ht="16.350000000000001" customHeight="1">
      <c r="C410" s="455"/>
      <c r="D410" s="455"/>
      <c r="E410" s="706"/>
      <c r="G410" s="680"/>
      <c r="H410" s="680"/>
      <c r="I410" s="681"/>
      <c r="J410" s="680"/>
      <c r="K410" s="680"/>
      <c r="L410" s="680"/>
      <c r="M410" s="680"/>
      <c r="N410" s="680"/>
      <c r="O410" s="680"/>
      <c r="P410" s="680"/>
      <c r="Q410" s="680"/>
      <c r="R410" s="680"/>
    </row>
    <row r="411" spans="1:18" s="369" customFormat="1" ht="16.350000000000001" customHeight="1">
      <c r="C411" s="455"/>
      <c r="D411" s="455"/>
      <c r="E411" s="706"/>
      <c r="G411" s="680"/>
      <c r="H411" s="680"/>
      <c r="I411" s="681"/>
      <c r="J411" s="680"/>
      <c r="K411" s="680"/>
      <c r="L411" s="680"/>
      <c r="M411" s="680"/>
      <c r="N411" s="680"/>
      <c r="O411" s="680"/>
      <c r="P411" s="680"/>
      <c r="Q411" s="680"/>
      <c r="R411" s="680"/>
    </row>
    <row r="412" spans="1:18" s="369" customFormat="1" ht="16.350000000000001" customHeight="1">
      <c r="C412" s="455"/>
      <c r="D412" s="455"/>
      <c r="E412" s="706"/>
      <c r="G412" s="680"/>
      <c r="H412" s="680"/>
      <c r="I412" s="681"/>
      <c r="J412" s="680"/>
      <c r="K412" s="680"/>
      <c r="L412" s="680"/>
      <c r="M412" s="680"/>
      <c r="N412" s="680"/>
      <c r="O412" s="680"/>
      <c r="P412" s="680"/>
      <c r="Q412" s="680"/>
      <c r="R412" s="680"/>
    </row>
    <row r="413" spans="1:18" s="369" customFormat="1" ht="16.350000000000001" customHeight="1">
      <c r="C413" s="455"/>
      <c r="D413" s="455"/>
      <c r="E413" s="706"/>
      <c r="G413" s="680"/>
      <c r="H413" s="680"/>
      <c r="I413" s="681"/>
      <c r="J413" s="680"/>
      <c r="K413" s="680"/>
      <c r="L413" s="680"/>
      <c r="M413" s="680"/>
      <c r="N413" s="680"/>
      <c r="O413" s="680"/>
      <c r="P413" s="680"/>
      <c r="Q413" s="680"/>
      <c r="R413" s="680"/>
    </row>
    <row r="414" spans="1:18" s="369" customFormat="1" ht="16.350000000000001" customHeight="1">
      <c r="A414" s="1034" t="s">
        <v>790</v>
      </c>
      <c r="B414" s="1035"/>
      <c r="C414" s="1036" t="s">
        <v>861</v>
      </c>
      <c r="D414" s="1036"/>
      <c r="E414" s="749" t="s">
        <v>792</v>
      </c>
      <c r="G414" s="680"/>
      <c r="H414" s="680"/>
      <c r="I414" s="681"/>
      <c r="J414" s="680"/>
      <c r="K414" s="680"/>
      <c r="L414" s="680"/>
      <c r="M414" s="680"/>
      <c r="N414" s="680"/>
      <c r="O414" s="680"/>
      <c r="P414" s="680"/>
      <c r="Q414" s="680"/>
      <c r="R414" s="680"/>
    </row>
    <row r="415" spans="1:18" ht="9.75" customHeight="1">
      <c r="A415" s="163"/>
      <c r="B415" s="163"/>
      <c r="C415" s="163"/>
      <c r="D415" s="163"/>
      <c r="E415" s="628"/>
      <c r="F415" s="258"/>
      <c r="H415" s="672"/>
      <c r="I415" s="672"/>
    </row>
    <row r="416" spans="1:18" s="462" customFormat="1" ht="12">
      <c r="A416" s="458"/>
      <c r="B416" s="459" t="s">
        <v>862</v>
      </c>
      <c r="C416" s="460" t="s">
        <v>796</v>
      </c>
      <c r="D416" s="460" t="s">
        <v>797</v>
      </c>
      <c r="E416" s="627"/>
      <c r="F416" s="461"/>
      <c r="G416" s="673"/>
      <c r="H416" s="674" t="s">
        <v>798</v>
      </c>
      <c r="I416" s="674"/>
      <c r="J416" s="673" t="s">
        <v>800</v>
      </c>
      <c r="K416" s="673" t="s">
        <v>863</v>
      </c>
      <c r="L416" s="673"/>
      <c r="M416" s="673"/>
      <c r="N416" s="673"/>
      <c r="O416" s="673"/>
      <c r="P416" s="673"/>
      <c r="Q416" s="673"/>
      <c r="R416" s="673"/>
    </row>
    <row r="417" spans="1:18" ht="27.6" customHeight="1">
      <c r="A417" s="163"/>
      <c r="B417" s="441" t="s">
        <v>430</v>
      </c>
      <c r="C417" s="742" t="str">
        <f>AOP!B35</f>
        <v>Which best describes checks on the boundary integrity for the system's pressure zone(s)?</v>
      </c>
      <c r="D417" s="264" t="s">
        <v>455</v>
      </c>
      <c r="E417" s="627" t="str">
        <f t="shared" ref="E417:E421" si="25">IFERROR(IF(OR($D$422=10,NOT(ISNUMBER($D$422))),"",IF(I417=$I$422,"Limiting","")),"")</f>
        <v/>
      </c>
      <c r="F417" s="258"/>
      <c r="G417" s="682">
        <f t="shared" ref="G417:G421" si="26">IF(LEN(D417)&gt;0,1,0)</f>
        <v>1</v>
      </c>
      <c r="H417" s="676">
        <f>VLOOKUP('Interactive Data Grading'!D417,AOP!$C$6:$H$17,6,FALSE)</f>
        <v>10</v>
      </c>
      <c r="I417" s="676">
        <f>H417</f>
        <v>10</v>
      </c>
      <c r="K417" s="706" t="str">
        <f>IFERROR(IF(OR($D$422=10,NOT(ISNUMBER($D$422))),"",IF(I417=$I$422,"Limiting","")),"")</f>
        <v/>
      </c>
    </row>
    <row r="418" spans="1:18" ht="27.6" customHeight="1">
      <c r="A418" s="163"/>
      <c r="B418" s="441" t="s">
        <v>431</v>
      </c>
      <c r="C418" s="742" t="str">
        <f>AOP!B36</f>
        <v>Which best describes how one-time pressure readings (i.e. from hydrants) are collected?</v>
      </c>
      <c r="D418" s="264" t="s">
        <v>456</v>
      </c>
      <c r="E418" s="627" t="str">
        <f t="shared" si="25"/>
        <v/>
      </c>
      <c r="F418" s="258"/>
      <c r="G418" s="682">
        <f t="shared" si="26"/>
        <v>1</v>
      </c>
      <c r="H418" s="677">
        <f>VLOOKUP('Interactive Data Grading'!D418,AOP!$D$6:$H$17,5,FALSE)</f>
        <v>10</v>
      </c>
      <c r="I418" s="677">
        <f>IF(H419=10,10,H418)</f>
        <v>10</v>
      </c>
      <c r="J418" s="685" t="s">
        <v>461</v>
      </c>
      <c r="K418" s="706" t="str">
        <f t="shared" ref="K418:K421" si="27">IFERROR(IF(OR($D$422=10,NOT(ISNUMBER($D$422))),"",IF(I418=$I$422,"Limiting","")),"")</f>
        <v/>
      </c>
    </row>
    <row r="419" spans="1:18" ht="27.6" customHeight="1">
      <c r="A419" s="163"/>
      <c r="B419" s="441" t="s">
        <v>432</v>
      </c>
      <c r="C419" s="742" t="str">
        <f>AOP!B37</f>
        <v>Which best describes where continuous pressure data (via temporary data loggers or permanent telemetry) is collected?</v>
      </c>
      <c r="D419" s="264" t="s">
        <v>450</v>
      </c>
      <c r="E419" s="627" t="str">
        <f t="shared" si="25"/>
        <v>Limiting</v>
      </c>
      <c r="F419" s="258"/>
      <c r="G419" s="682">
        <f t="shared" si="26"/>
        <v>1</v>
      </c>
      <c r="H419" s="676">
        <f>VLOOKUP('Interactive Data Grading'!D419,AOP!$E$6:$H$17,4,FALSE)</f>
        <v>8</v>
      </c>
      <c r="I419" s="677">
        <f>H419</f>
        <v>8</v>
      </c>
      <c r="K419" s="706" t="str">
        <f>IFERROR(IF(OR($D$422=10,NOT(ISNUMBER($D$422))),"",IF(I419=$I$422,"Limiting","")),"")</f>
        <v>Limiting</v>
      </c>
    </row>
    <row r="420" spans="1:18" ht="27.6" customHeight="1">
      <c r="A420" s="163"/>
      <c r="B420" s="441" t="s">
        <v>864</v>
      </c>
      <c r="C420" s="742" t="str">
        <f>AOP!B38</f>
        <v xml:space="preserve">
Which best describes how continuous pressure data is collected?</v>
      </c>
      <c r="D420" s="264" t="s">
        <v>452</v>
      </c>
      <c r="E420" s="627" t="str">
        <f t="shared" si="25"/>
        <v/>
      </c>
      <c r="F420" s="258"/>
      <c r="G420" s="682">
        <f>IF(OR(LEN(D420)&gt;0,D419=AOP!E23),1,0)</f>
        <v>1</v>
      </c>
      <c r="H420" s="676">
        <f>VLOOKUP('Interactive Data Grading'!D420,AOP!$F$6:$H$17,3,FALSE)</f>
        <v>9</v>
      </c>
      <c r="I420" s="676">
        <f>IF(D419=AOP!E23,X,H420)</f>
        <v>9</v>
      </c>
      <c r="J420" s="668" t="s">
        <v>865</v>
      </c>
      <c r="K420" s="706" t="str">
        <f t="shared" si="27"/>
        <v/>
      </c>
    </row>
    <row r="421" spans="1:18" ht="27.6" customHeight="1">
      <c r="A421" s="163"/>
      <c r="B421" s="441" t="s">
        <v>434</v>
      </c>
      <c r="C421" s="742" t="str">
        <f>AOP!B39</f>
        <v>How was the input derived?</v>
      </c>
      <c r="D421" s="264" t="s">
        <v>459</v>
      </c>
      <c r="E421" s="627" t="str">
        <f t="shared" si="25"/>
        <v/>
      </c>
      <c r="F421" s="258"/>
      <c r="G421" s="682">
        <f t="shared" si="26"/>
        <v>1</v>
      </c>
      <c r="H421" s="676">
        <f>VLOOKUP('Interactive Data Grading'!D421,AOP!$G$6:$H$17,2,FALSE)</f>
        <v>10</v>
      </c>
      <c r="I421" s="676">
        <f>H421</f>
        <v>10</v>
      </c>
      <c r="K421" s="706" t="str">
        <f t="shared" si="27"/>
        <v/>
      </c>
    </row>
    <row r="422" spans="1:18" ht="27.6" customHeight="1">
      <c r="A422" s="163"/>
      <c r="B422" s="163"/>
      <c r="C422" s="259" t="s">
        <v>806</v>
      </c>
      <c r="D422" s="630">
        <f>IF(G422&lt;1,"",I422)</f>
        <v>8</v>
      </c>
      <c r="E422" s="627"/>
      <c r="F422" s="258"/>
      <c r="G422" s="684">
        <f>MIN(G417:G421)</f>
        <v>1</v>
      </c>
      <c r="H422" s="679">
        <f>MIN(H417:H421)</f>
        <v>8</v>
      </c>
      <c r="I422" s="679">
        <f t="array" ref="I422">MIN(IF(ISNUMBER(I417:I421),I417:I421))</f>
        <v>8</v>
      </c>
    </row>
    <row r="423" spans="1:18" s="369" customFormat="1" ht="16.350000000000001" customHeight="1">
      <c r="C423" s="455"/>
      <c r="D423" s="455"/>
      <c r="E423" s="706"/>
      <c r="G423" s="680"/>
      <c r="H423" s="680"/>
      <c r="I423" s="681"/>
      <c r="J423" s="680"/>
      <c r="K423" s="680"/>
      <c r="L423" s="680"/>
      <c r="M423" s="680"/>
      <c r="N423" s="680"/>
      <c r="O423" s="680"/>
      <c r="P423" s="680"/>
      <c r="Q423" s="680"/>
      <c r="R423" s="680"/>
    </row>
    <row r="424" spans="1:18" s="369" customFormat="1" ht="16.350000000000001" customHeight="1">
      <c r="C424" s="455"/>
      <c r="D424" s="455"/>
      <c r="E424" s="706"/>
      <c r="G424" s="680"/>
      <c r="H424" s="680"/>
      <c r="I424" s="681"/>
      <c r="J424" s="680"/>
      <c r="K424" s="680"/>
      <c r="L424" s="680"/>
      <c r="M424" s="680"/>
      <c r="N424" s="680"/>
      <c r="O424" s="680"/>
      <c r="P424" s="680"/>
      <c r="Q424" s="680"/>
      <c r="R424" s="680"/>
    </row>
    <row r="425" spans="1:18" s="369" customFormat="1" ht="16.350000000000001" customHeight="1">
      <c r="C425" s="455"/>
      <c r="D425" s="455"/>
      <c r="G425" s="680"/>
      <c r="H425" s="680"/>
      <c r="I425" s="681"/>
      <c r="J425" s="680"/>
      <c r="K425" s="680"/>
      <c r="L425" s="680"/>
      <c r="M425" s="680"/>
      <c r="N425" s="680"/>
      <c r="O425" s="680"/>
      <c r="P425" s="680"/>
      <c r="Q425" s="680"/>
      <c r="R425" s="680"/>
    </row>
    <row r="426" spans="1:18" s="369" customFormat="1" ht="16.350000000000001" customHeight="1">
      <c r="C426" s="455"/>
      <c r="D426" s="455"/>
      <c r="E426" s="706"/>
      <c r="G426" s="680"/>
      <c r="H426" s="680"/>
      <c r="I426" s="681"/>
      <c r="J426" s="680"/>
      <c r="K426" s="680"/>
      <c r="L426" s="680"/>
      <c r="M426" s="680"/>
      <c r="N426" s="680"/>
      <c r="O426" s="680"/>
      <c r="P426" s="680"/>
      <c r="Q426" s="680"/>
      <c r="R426" s="680"/>
    </row>
    <row r="427" spans="1:18" s="369" customFormat="1" ht="16.350000000000001" customHeight="1">
      <c r="C427" s="455"/>
      <c r="D427" s="455"/>
      <c r="E427" s="706"/>
      <c r="G427" s="680"/>
      <c r="H427" s="680"/>
      <c r="I427" s="681"/>
      <c r="J427" s="680"/>
      <c r="K427" s="680"/>
      <c r="L427" s="680"/>
      <c r="M427" s="680"/>
      <c r="N427" s="680"/>
      <c r="O427" s="680"/>
      <c r="P427" s="680"/>
      <c r="Q427" s="680"/>
      <c r="R427" s="680"/>
    </row>
    <row r="428" spans="1:18" s="369" customFormat="1" ht="16.350000000000001" customHeight="1">
      <c r="C428" s="455"/>
      <c r="D428" s="455"/>
      <c r="E428" s="706"/>
      <c r="G428" s="680"/>
      <c r="H428" s="680"/>
      <c r="I428" s="681"/>
      <c r="J428" s="680"/>
      <c r="K428" s="680"/>
      <c r="L428" s="680"/>
      <c r="M428" s="680"/>
      <c r="N428" s="680"/>
      <c r="O428" s="680"/>
      <c r="P428" s="680"/>
      <c r="Q428" s="680"/>
      <c r="R428" s="680"/>
    </row>
    <row r="429" spans="1:18" s="369" customFormat="1" ht="16.350000000000001" customHeight="1">
      <c r="C429" s="455"/>
      <c r="D429" s="455"/>
      <c r="E429" s="706"/>
      <c r="G429" s="680"/>
      <c r="H429" s="680"/>
      <c r="I429" s="681"/>
      <c r="J429" s="680"/>
      <c r="K429" s="680"/>
      <c r="L429" s="680"/>
      <c r="M429" s="680"/>
      <c r="N429" s="680"/>
      <c r="O429" s="680"/>
      <c r="P429" s="680"/>
      <c r="Q429" s="680"/>
      <c r="R429" s="680"/>
    </row>
    <row r="430" spans="1:18" s="369" customFormat="1" ht="16.350000000000001" customHeight="1">
      <c r="C430" s="455"/>
      <c r="D430" s="455"/>
      <c r="E430" s="706"/>
      <c r="G430" s="680"/>
      <c r="H430" s="680"/>
      <c r="I430" s="681"/>
      <c r="J430" s="680"/>
      <c r="K430" s="680"/>
      <c r="L430" s="680"/>
      <c r="M430" s="680"/>
      <c r="N430" s="680"/>
      <c r="O430" s="680"/>
      <c r="P430" s="680"/>
      <c r="Q430" s="680"/>
      <c r="R430" s="680"/>
    </row>
    <row r="431" spans="1:18" s="369" customFormat="1" ht="16.350000000000001" customHeight="1">
      <c r="C431" s="455"/>
      <c r="D431" s="455"/>
      <c r="E431" s="706"/>
      <c r="G431" s="680"/>
      <c r="H431" s="680"/>
      <c r="I431" s="681"/>
      <c r="J431" s="680"/>
      <c r="K431" s="680"/>
      <c r="L431" s="680"/>
      <c r="M431" s="680"/>
      <c r="N431" s="680"/>
      <c r="O431" s="680"/>
      <c r="P431" s="680"/>
      <c r="Q431" s="680"/>
      <c r="R431" s="680"/>
    </row>
    <row r="432" spans="1:18" s="369" customFormat="1" ht="16.350000000000001" customHeight="1">
      <c r="C432" s="455"/>
      <c r="D432" s="455"/>
      <c r="E432" s="706"/>
      <c r="G432" s="680"/>
      <c r="H432" s="680"/>
      <c r="I432" s="681"/>
      <c r="J432" s="680"/>
      <c r="K432" s="680"/>
      <c r="L432" s="680"/>
      <c r="M432" s="680"/>
      <c r="N432" s="680"/>
      <c r="O432" s="680"/>
      <c r="P432" s="680"/>
      <c r="Q432" s="680"/>
      <c r="R432" s="680"/>
    </row>
    <row r="433" spans="1:18" s="369" customFormat="1" ht="16.350000000000001" customHeight="1">
      <c r="C433" s="455"/>
      <c r="D433" s="455"/>
      <c r="E433" s="706"/>
      <c r="G433" s="680"/>
      <c r="H433" s="680"/>
      <c r="I433" s="681"/>
      <c r="J433" s="680"/>
      <c r="K433" s="680"/>
      <c r="L433" s="680"/>
      <c r="M433" s="680"/>
      <c r="N433" s="680"/>
      <c r="O433" s="680"/>
      <c r="P433" s="680"/>
      <c r="Q433" s="680"/>
      <c r="R433" s="680"/>
    </row>
    <row r="434" spans="1:18" s="369" customFormat="1" ht="16.350000000000001" customHeight="1">
      <c r="C434" s="455"/>
      <c r="D434" s="455"/>
      <c r="E434" s="706"/>
      <c r="G434" s="680"/>
      <c r="H434" s="680"/>
      <c r="I434" s="681"/>
      <c r="J434" s="680"/>
      <c r="K434" s="680"/>
      <c r="L434" s="680"/>
      <c r="M434" s="680"/>
      <c r="N434" s="680"/>
      <c r="O434" s="680"/>
      <c r="P434" s="680"/>
      <c r="Q434" s="680"/>
      <c r="R434" s="680"/>
    </row>
    <row r="435" spans="1:18" s="369" customFormat="1" ht="16.350000000000001" customHeight="1">
      <c r="C435" s="455"/>
      <c r="D435" s="455"/>
      <c r="E435" s="706"/>
      <c r="G435" s="680"/>
      <c r="H435" s="680"/>
      <c r="I435" s="681"/>
      <c r="J435" s="680"/>
      <c r="K435" s="680"/>
      <c r="L435" s="680"/>
      <c r="M435" s="680"/>
      <c r="N435" s="680"/>
      <c r="O435" s="680"/>
      <c r="P435" s="680"/>
      <c r="Q435" s="680"/>
      <c r="R435" s="680"/>
    </row>
    <row r="436" spans="1:18" s="369" customFormat="1" ht="16.350000000000001" customHeight="1">
      <c r="C436" s="455"/>
      <c r="D436" s="455"/>
      <c r="E436" s="706"/>
      <c r="G436" s="680"/>
      <c r="H436" s="680"/>
      <c r="I436" s="681"/>
      <c r="J436" s="680"/>
      <c r="K436" s="680"/>
      <c r="L436" s="680"/>
      <c r="M436" s="680"/>
      <c r="N436" s="680"/>
      <c r="O436" s="680"/>
      <c r="P436" s="680"/>
      <c r="Q436" s="680"/>
      <c r="R436" s="680"/>
    </row>
    <row r="437" spans="1:18" s="369" customFormat="1" ht="16.350000000000001" customHeight="1">
      <c r="C437" s="455"/>
      <c r="D437" s="455"/>
      <c r="E437" s="706"/>
      <c r="G437" s="680"/>
      <c r="H437" s="680"/>
      <c r="I437" s="681"/>
      <c r="J437" s="680"/>
      <c r="K437" s="680"/>
      <c r="L437" s="680"/>
      <c r="M437" s="680"/>
      <c r="N437" s="680"/>
      <c r="O437" s="680"/>
      <c r="P437" s="680"/>
      <c r="Q437" s="680"/>
      <c r="R437" s="680"/>
    </row>
    <row r="438" spans="1:18" s="369" customFormat="1" ht="16.350000000000001" customHeight="1">
      <c r="A438" s="1034" t="s">
        <v>790</v>
      </c>
      <c r="B438" s="1035"/>
      <c r="C438" s="1036" t="s">
        <v>866</v>
      </c>
      <c r="D438" s="1036"/>
      <c r="E438" s="749" t="s">
        <v>792</v>
      </c>
      <c r="G438" s="680"/>
      <c r="H438" s="680"/>
      <c r="I438" s="681"/>
      <c r="J438" s="680"/>
      <c r="K438" s="680"/>
      <c r="L438" s="680"/>
      <c r="M438" s="680"/>
      <c r="N438" s="680"/>
      <c r="O438" s="680"/>
      <c r="P438" s="680"/>
      <c r="Q438" s="680"/>
      <c r="R438" s="680"/>
    </row>
    <row r="439" spans="1:18" ht="12" customHeight="1">
      <c r="A439" s="163"/>
      <c r="B439" s="163"/>
      <c r="C439" s="1044" t="str">
        <f>IF(OR(AND(D441="Yes",Worksheet!H23&gt;0),AND(D441="No",Worksheet!H23&lt;=0),LEN(D441)=0),"","Inconsistency between Worksheet BMAC input and cruc.0 response")</f>
        <v/>
      </c>
      <c r="D439" s="1044"/>
      <c r="E439" s="628"/>
      <c r="F439" s="258"/>
      <c r="H439" s="672"/>
    </row>
    <row r="440" spans="1:18" s="462" customFormat="1" ht="12">
      <c r="A440" s="458"/>
      <c r="B440" s="459" t="s">
        <v>867</v>
      </c>
      <c r="C440" s="460" t="s">
        <v>796</v>
      </c>
      <c r="D440" s="460" t="s">
        <v>797</v>
      </c>
      <c r="E440" s="627"/>
      <c r="F440" s="461"/>
      <c r="G440" s="673"/>
      <c r="H440" s="674" t="s">
        <v>798</v>
      </c>
      <c r="I440" s="688"/>
      <c r="J440" s="673" t="s">
        <v>800</v>
      </c>
      <c r="K440" s="673"/>
      <c r="L440" s="673"/>
      <c r="M440" s="673"/>
      <c r="N440" s="673"/>
      <c r="O440" s="673"/>
      <c r="P440" s="673"/>
      <c r="Q440" s="673"/>
      <c r="R440" s="673"/>
    </row>
    <row r="441" spans="1:18" ht="27.6" customHeight="1">
      <c r="A441" s="163"/>
      <c r="B441" s="441" t="s">
        <v>868</v>
      </c>
      <c r="C441" s="742" t="str">
        <f>CRUC!B34</f>
        <v>Was any metered consumption billed on a volumetric basis in the audit period?</v>
      </c>
      <c r="D441" s="264" t="s">
        <v>62</v>
      </c>
      <c r="E441" s="627"/>
      <c r="F441" s="258"/>
      <c r="H441" s="676"/>
      <c r="I441" s="676"/>
      <c r="J441" s="689" t="s">
        <v>850</v>
      </c>
    </row>
    <row r="442" spans="1:18" ht="27.6" customHeight="1">
      <c r="A442" s="163"/>
      <c r="B442" s="441" t="s">
        <v>464</v>
      </c>
      <c r="C442" s="742" t="str">
        <f>CRUC!B35</f>
        <v>Which best describes the use and reliability of the current rate structure?</v>
      </c>
      <c r="D442" s="264" t="s">
        <v>477</v>
      </c>
      <c r="E442" s="627" t="str">
        <f>IF(OR($D$446=10,$D$446="n/a"),"",IFERROR(IF(H442=MIN($H$442:$H$445),"Limiting",""),""))</f>
        <v/>
      </c>
      <c r="F442" s="258"/>
      <c r="H442" s="676">
        <f>VLOOKUP('Interactive Data Grading'!D442,CRUC!$C$6:$G$17,5,FALSE)</f>
        <v>10</v>
      </c>
      <c r="I442" s="676"/>
      <c r="J442" s="689"/>
    </row>
    <row r="443" spans="1:18" ht="27.6" customHeight="1">
      <c r="A443" s="163"/>
      <c r="B443" s="441" t="s">
        <v>465</v>
      </c>
      <c r="C443" s="742" t="str">
        <f>CRUC!B36</f>
        <v>Choose the option that best describes how the input was derived</v>
      </c>
      <c r="D443" s="264" t="s">
        <v>478</v>
      </c>
      <c r="E443" s="627" t="str">
        <f>IF(OR($D$446=10,$D$446="n/a"),"",IFERROR(IF(H443=MIN($H$442:$H$445),"Limiting",""),""))</f>
        <v/>
      </c>
      <c r="F443" s="258"/>
      <c r="H443" s="676">
        <f>VLOOKUP('Interactive Data Grading'!D443,CRUC!$D$6:$G$17,4,FALSE)</f>
        <v>10</v>
      </c>
      <c r="I443" s="676"/>
    </row>
    <row r="444" spans="1:18" ht="27.6" customHeight="1">
      <c r="A444" s="163"/>
      <c r="B444" s="441" t="s">
        <v>466</v>
      </c>
      <c r="C444" s="742" t="str">
        <f>CRUC!B37</f>
        <v>Is there any additional volumetric revenue the utility receives that depends on water meter readings, such as sewer?</v>
      </c>
      <c r="D444" s="264" t="s">
        <v>49</v>
      </c>
      <c r="E444" s="627" t="str">
        <f>IF(OR($D$446=10,$D$446="n/a"),"",IFERROR(IF(H444=MIN($H$442:$H$445),"Limiting",""),""))</f>
        <v/>
      </c>
      <c r="F444" s="258"/>
      <c r="H444" s="676">
        <f>VLOOKUP('Interactive Data Grading'!D444,CRUC!$E$6:$G$17,3,FALSE)</f>
        <v>10</v>
      </c>
      <c r="I444" s="676"/>
    </row>
    <row r="445" spans="1:18" ht="27.6" customHeight="1">
      <c r="A445" s="163"/>
      <c r="B445" s="441" t="s">
        <v>467</v>
      </c>
      <c r="C445" s="742" t="str">
        <f>CRUC!B38</f>
        <v>Has the input derivation been reviewed by someone with expert knowledge in the M36 methodology?</v>
      </c>
      <c r="D445" s="264" t="s">
        <v>62</v>
      </c>
      <c r="E445" s="627" t="str">
        <f>IF(OR($D$446=10,$D$446="n/a"),"",IFERROR(IF(H445=MIN($H$442:$H$445),"Limiting",""),""))</f>
        <v/>
      </c>
      <c r="F445" s="258"/>
      <c r="H445" s="676">
        <f>VLOOKUP('Interactive Data Grading'!D445,CRUC!$F$6:$G$17,2,FALSE)</f>
        <v>10</v>
      </c>
      <c r="I445" s="677"/>
    </row>
    <row r="446" spans="1:18" ht="27.6" customHeight="1">
      <c r="A446" s="163"/>
      <c r="B446" s="163"/>
      <c r="C446" s="259" t="s">
        <v>806</v>
      </c>
      <c r="D446" s="630">
        <f>IF(D441="No","n/a",IF(ISNA(H446),"",H446))</f>
        <v>10</v>
      </c>
      <c r="E446" s="627"/>
      <c r="F446" s="258"/>
      <c r="H446" s="679">
        <f>MIN(H442:H445)</f>
        <v>10</v>
      </c>
      <c r="I446" s="676"/>
    </row>
    <row r="447" spans="1:18" s="369" customFormat="1" ht="16.350000000000001" customHeight="1">
      <c r="C447" s="455"/>
      <c r="D447" s="455"/>
      <c r="E447" s="706"/>
      <c r="G447" s="680"/>
      <c r="H447" s="690"/>
      <c r="I447" s="681"/>
      <c r="J447" s="680"/>
      <c r="K447" s="680"/>
      <c r="L447" s="680"/>
      <c r="M447" s="680"/>
      <c r="N447" s="680"/>
      <c r="O447" s="680"/>
      <c r="P447" s="680"/>
      <c r="Q447" s="680"/>
      <c r="R447" s="680"/>
    </row>
    <row r="448" spans="1:18" s="369" customFormat="1" ht="16.350000000000001" customHeight="1">
      <c r="C448" s="455"/>
      <c r="D448" s="455"/>
      <c r="E448" s="706"/>
      <c r="G448" s="680"/>
      <c r="H448" s="690"/>
      <c r="I448" s="681"/>
      <c r="J448" s="680"/>
      <c r="K448" s="680"/>
      <c r="L448" s="680"/>
      <c r="M448" s="680"/>
      <c r="N448" s="680"/>
      <c r="O448" s="680"/>
      <c r="P448" s="680"/>
      <c r="Q448" s="680"/>
      <c r="R448" s="680"/>
    </row>
    <row r="449" spans="1:18" s="369" customFormat="1" ht="16.350000000000001" customHeight="1">
      <c r="C449" s="455"/>
      <c r="D449" s="455"/>
      <c r="E449" s="706"/>
      <c r="G449" s="680"/>
      <c r="H449" s="690"/>
      <c r="I449" s="681"/>
      <c r="J449" s="680"/>
      <c r="K449" s="680"/>
      <c r="L449" s="680"/>
      <c r="M449" s="680"/>
      <c r="N449" s="680"/>
      <c r="O449" s="680"/>
      <c r="P449" s="680"/>
      <c r="Q449" s="680"/>
      <c r="R449" s="680"/>
    </row>
    <row r="450" spans="1:18" s="369" customFormat="1" ht="16.350000000000001" customHeight="1">
      <c r="C450" s="455"/>
      <c r="D450" s="455"/>
      <c r="E450" s="706"/>
      <c r="G450" s="680"/>
      <c r="H450" s="690"/>
      <c r="I450" s="681"/>
      <c r="J450" s="680"/>
      <c r="K450" s="680"/>
      <c r="L450" s="680"/>
      <c r="M450" s="680"/>
      <c r="N450" s="680"/>
      <c r="O450" s="680"/>
      <c r="P450" s="680"/>
      <c r="Q450" s="680"/>
      <c r="R450" s="680"/>
    </row>
    <row r="451" spans="1:18" s="369" customFormat="1" ht="16.350000000000001" customHeight="1">
      <c r="C451" s="455"/>
      <c r="D451" s="455"/>
      <c r="E451" s="706"/>
      <c r="G451" s="680"/>
      <c r="H451" s="690"/>
      <c r="I451" s="681"/>
      <c r="J451" s="680"/>
      <c r="K451" s="680"/>
      <c r="L451" s="680"/>
      <c r="M451" s="680"/>
      <c r="N451" s="680"/>
      <c r="O451" s="680"/>
      <c r="P451" s="680"/>
      <c r="Q451" s="680"/>
      <c r="R451" s="680"/>
    </row>
    <row r="452" spans="1:18" s="369" customFormat="1" ht="16.350000000000001" customHeight="1">
      <c r="C452" s="455"/>
      <c r="D452" s="455"/>
      <c r="E452" s="706"/>
      <c r="G452" s="680"/>
      <c r="H452" s="690"/>
      <c r="I452" s="681"/>
      <c r="J452" s="680"/>
      <c r="K452" s="680"/>
      <c r="L452" s="680"/>
      <c r="M452" s="680"/>
      <c r="N452" s="680"/>
      <c r="O452" s="680"/>
      <c r="P452" s="680"/>
      <c r="Q452" s="680"/>
      <c r="R452" s="680"/>
    </row>
    <row r="453" spans="1:18" s="369" customFormat="1" ht="16.350000000000001" customHeight="1">
      <c r="C453" s="455"/>
      <c r="D453" s="455"/>
      <c r="E453" s="706"/>
      <c r="G453" s="680"/>
      <c r="H453" s="690"/>
      <c r="I453" s="681"/>
      <c r="J453" s="680"/>
      <c r="K453" s="680"/>
      <c r="L453" s="680"/>
      <c r="M453" s="680"/>
      <c r="N453" s="680"/>
      <c r="O453" s="680"/>
      <c r="P453" s="680"/>
      <c r="Q453" s="680"/>
      <c r="R453" s="680"/>
    </row>
    <row r="454" spans="1:18" s="369" customFormat="1" ht="16.350000000000001" customHeight="1">
      <c r="C454" s="455"/>
      <c r="D454" s="455"/>
      <c r="E454" s="706"/>
      <c r="G454" s="680"/>
      <c r="H454" s="690"/>
      <c r="I454" s="681"/>
      <c r="J454" s="680"/>
      <c r="K454" s="680"/>
      <c r="L454" s="680"/>
      <c r="M454" s="680"/>
      <c r="N454" s="680"/>
      <c r="O454" s="680"/>
      <c r="P454" s="680"/>
      <c r="Q454" s="680"/>
      <c r="R454" s="680"/>
    </row>
    <row r="455" spans="1:18" s="369" customFormat="1" ht="16.350000000000001" customHeight="1">
      <c r="C455" s="455"/>
      <c r="D455" s="455"/>
      <c r="E455" s="706"/>
      <c r="G455" s="680"/>
      <c r="H455" s="690"/>
      <c r="I455" s="681"/>
      <c r="J455" s="680"/>
      <c r="K455" s="680"/>
      <c r="L455" s="680"/>
      <c r="M455" s="680"/>
      <c r="N455" s="680"/>
      <c r="O455" s="680"/>
      <c r="P455" s="680"/>
      <c r="Q455" s="680"/>
      <c r="R455" s="680"/>
    </row>
    <row r="456" spans="1:18" s="369" customFormat="1" ht="16.350000000000001" customHeight="1">
      <c r="C456" s="455"/>
      <c r="D456" s="455"/>
      <c r="E456" s="706"/>
      <c r="G456" s="680"/>
      <c r="H456" s="690"/>
      <c r="I456" s="681"/>
      <c r="J456" s="680"/>
      <c r="K456" s="680"/>
      <c r="L456" s="680"/>
      <c r="M456" s="680"/>
      <c r="N456" s="680"/>
      <c r="O456" s="680"/>
      <c r="P456" s="680"/>
      <c r="Q456" s="680"/>
      <c r="R456" s="680"/>
    </row>
    <row r="457" spans="1:18" s="369" customFormat="1" ht="16.350000000000001" customHeight="1">
      <c r="C457" s="455"/>
      <c r="D457" s="455"/>
      <c r="E457" s="706"/>
      <c r="G457" s="680"/>
      <c r="H457" s="690"/>
      <c r="I457" s="681"/>
      <c r="J457" s="680"/>
      <c r="K457" s="680"/>
      <c r="L457" s="680"/>
      <c r="M457" s="680"/>
      <c r="N457" s="680"/>
      <c r="O457" s="680"/>
      <c r="P457" s="680"/>
      <c r="Q457" s="680"/>
      <c r="R457" s="680"/>
    </row>
    <row r="458" spans="1:18" s="369" customFormat="1" ht="16.350000000000001" customHeight="1">
      <c r="C458" s="455"/>
      <c r="D458" s="455"/>
      <c r="E458" s="706"/>
      <c r="G458" s="680"/>
      <c r="H458" s="690"/>
      <c r="I458" s="681"/>
      <c r="J458" s="680"/>
      <c r="K458" s="680"/>
      <c r="L458" s="680"/>
      <c r="M458" s="680"/>
      <c r="N458" s="680"/>
      <c r="O458" s="680"/>
      <c r="P458" s="680"/>
      <c r="Q458" s="680"/>
      <c r="R458" s="680"/>
    </row>
    <row r="459" spans="1:18" s="369" customFormat="1" ht="16.350000000000001" customHeight="1">
      <c r="C459" s="455"/>
      <c r="D459" s="455"/>
      <c r="E459" s="706"/>
      <c r="G459" s="680"/>
      <c r="H459" s="690"/>
      <c r="I459" s="681"/>
      <c r="J459" s="680"/>
      <c r="K459" s="680"/>
      <c r="L459" s="680"/>
      <c r="M459" s="680"/>
      <c r="N459" s="680"/>
      <c r="O459" s="680"/>
      <c r="P459" s="680"/>
      <c r="Q459" s="680"/>
      <c r="R459" s="680"/>
    </row>
    <row r="460" spans="1:18" s="369" customFormat="1" ht="16.350000000000001" customHeight="1">
      <c r="C460" s="455"/>
      <c r="D460" s="455"/>
      <c r="E460" s="706"/>
      <c r="G460" s="680"/>
      <c r="H460" s="690"/>
      <c r="I460" s="681"/>
      <c r="J460" s="680"/>
      <c r="K460" s="680"/>
      <c r="L460" s="680"/>
      <c r="M460" s="680"/>
      <c r="N460" s="680"/>
      <c r="O460" s="680"/>
      <c r="P460" s="680"/>
      <c r="Q460" s="680"/>
      <c r="R460" s="680"/>
    </row>
    <row r="461" spans="1:18" s="369" customFormat="1" ht="16.350000000000001" customHeight="1">
      <c r="C461" s="455"/>
      <c r="D461" s="455"/>
      <c r="E461" s="706"/>
      <c r="G461" s="680"/>
      <c r="H461" s="690"/>
      <c r="I461" s="681"/>
      <c r="J461" s="680"/>
      <c r="K461" s="680"/>
      <c r="L461" s="680"/>
      <c r="M461" s="680"/>
      <c r="N461" s="680"/>
      <c r="O461" s="680"/>
      <c r="P461" s="680"/>
      <c r="Q461" s="680"/>
      <c r="R461" s="680"/>
    </row>
    <row r="462" spans="1:18" s="369" customFormat="1" ht="16.350000000000001" customHeight="1">
      <c r="A462" s="1034" t="s">
        <v>790</v>
      </c>
      <c r="B462" s="1035"/>
      <c r="C462" s="1036" t="s">
        <v>869</v>
      </c>
      <c r="D462" s="1036"/>
      <c r="E462" s="749" t="s">
        <v>792</v>
      </c>
      <c r="G462" s="680"/>
      <c r="H462" s="690"/>
      <c r="I462" s="681"/>
      <c r="J462" s="680"/>
      <c r="K462" s="680"/>
      <c r="L462" s="680"/>
      <c r="M462" s="680"/>
      <c r="N462" s="680"/>
      <c r="O462" s="680"/>
      <c r="P462" s="680"/>
      <c r="Q462" s="680"/>
      <c r="R462" s="680"/>
    </row>
    <row r="463" spans="1:18" ht="3.6" customHeight="1">
      <c r="A463" s="163"/>
      <c r="B463" s="163"/>
      <c r="C463" s="163"/>
      <c r="D463" s="163"/>
      <c r="E463" s="628"/>
      <c r="F463" s="258"/>
      <c r="H463" s="672"/>
      <c r="I463" s="672"/>
    </row>
    <row r="464" spans="1:18" s="462" customFormat="1" ht="12">
      <c r="A464" s="458"/>
      <c r="B464" s="459" t="s">
        <v>870</v>
      </c>
      <c r="C464" s="460" t="s">
        <v>796</v>
      </c>
      <c r="D464" s="460" t="s">
        <v>797</v>
      </c>
      <c r="E464" s="627"/>
      <c r="F464" s="461"/>
      <c r="G464" s="673"/>
      <c r="H464" s="674" t="s">
        <v>798</v>
      </c>
      <c r="I464" s="674" t="s">
        <v>799</v>
      </c>
      <c r="J464" s="673"/>
      <c r="K464" s="673"/>
      <c r="L464" s="673"/>
      <c r="M464" s="673"/>
      <c r="N464" s="673"/>
      <c r="O464" s="673"/>
      <c r="P464" s="673"/>
      <c r="Q464" s="673"/>
      <c r="R464" s="673"/>
    </row>
    <row r="465" spans="1:10" ht="12.75" customHeight="1">
      <c r="A465" s="163"/>
      <c r="B465" s="441" t="s">
        <v>482</v>
      </c>
      <c r="C465" s="745" t="str">
        <f>VPC!B35</f>
        <v>Choose the option that best describes how the input was derived</v>
      </c>
      <c r="D465" s="864" t="s">
        <v>497</v>
      </c>
      <c r="E465" s="627" t="str">
        <f>IF($D$469=10,"",IFERROR(IF(H465=MIN($H$465:$H$468),"Limiting",""),""))</f>
        <v/>
      </c>
      <c r="F465" s="258"/>
      <c r="H465" s="676">
        <f>VLOOKUP('Interactive Data Grading'!D465,VPC!$C$6:$G$18,5,FALSE)</f>
        <v>10</v>
      </c>
      <c r="I465" s="677">
        <f>H465</f>
        <v>10</v>
      </c>
      <c r="J465" s="689" t="s">
        <v>871</v>
      </c>
    </row>
    <row r="466" spans="1:10" ht="133.15" customHeight="1">
      <c r="A466" s="163"/>
      <c r="B466" s="442" t="s">
        <v>483</v>
      </c>
      <c r="C466" s="745"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7" t="str">
        <f>IFERROR(IF(OR($D$469=10,$D$465=VPC!$C$18),"",IF(H466=MIN($H$465:$H$468),"Limiting","")),"")</f>
        <v/>
      </c>
      <c r="F466" s="258"/>
      <c r="H466" s="683">
        <f>VLOOKUP('Interactive Data Grading'!D466,VPC!$D$6:$G$18,4,FALSE)</f>
        <v>10</v>
      </c>
      <c r="I466" s="683">
        <f>H466</f>
        <v>10</v>
      </c>
    </row>
    <row r="467" spans="1:10" ht="200.45" customHeight="1">
      <c r="A467" s="163"/>
      <c r="B467" s="442" t="s">
        <v>484</v>
      </c>
      <c r="C467" s="745"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7" t="str">
        <f>IFERROR(IF(OR($D$469=10,$D$465=VPC!$C$18),"",IF(H467=MIN($H$465:$H$468),"Limiting","")),"")</f>
        <v/>
      </c>
      <c r="F467" s="258"/>
      <c r="H467" s="683">
        <f>VLOOKUP('Interactive Data Grading'!D467,VPC!$E$6:$G$18,3,FALSE)</f>
        <v>10</v>
      </c>
      <c r="I467" s="691">
        <f>IF(D465=VPC!C17,10,'Interactive Data Grading'!H467)</f>
        <v>10</v>
      </c>
    </row>
    <row r="468" spans="1:10" ht="27.6" customHeight="1">
      <c r="A468" s="163"/>
      <c r="B468" s="442" t="s">
        <v>485</v>
      </c>
      <c r="C468" s="745" t="str">
        <f>VPC!B38</f>
        <v>Has the input derivation been reviewed by someone with expert knowledge in the M36 methodology?</v>
      </c>
      <c r="D468" s="264" t="s">
        <v>62</v>
      </c>
      <c r="E468" s="627" t="str">
        <f>IFERROR(IF(OR($D$469=10,$D$465=VPC!$C$18),"",IF(H468=MIN($H$465:$H$468),"Limiting","")),"")</f>
        <v/>
      </c>
      <c r="F468" s="258"/>
      <c r="H468" s="676">
        <f>VLOOKUP('Interactive Data Grading'!D468,VPC!$F$6:$G$18,2,FALSE)</f>
        <v>10</v>
      </c>
      <c r="I468" s="676">
        <f>H468</f>
        <v>10</v>
      </c>
    </row>
    <row r="469" spans="1:10" ht="14.1" customHeight="1">
      <c r="A469" s="163"/>
      <c r="B469" s="163"/>
      <c r="C469" s="259" t="s">
        <v>806</v>
      </c>
      <c r="D469" s="630">
        <f>IFERROR(IF(D465=VPC!C18,'Interactive Data Grading'!D446,I469),"")</f>
        <v>10</v>
      </c>
      <c r="E469" s="627"/>
      <c r="F469" s="258"/>
      <c r="H469" s="679">
        <f>MIN(H465:H468)</f>
        <v>10</v>
      </c>
      <c r="I469" s="679">
        <f>MIN(I465:I468)</f>
        <v>10</v>
      </c>
    </row>
    <row r="470" spans="1:10" ht="9.75" customHeight="1">
      <c r="A470" s="163"/>
      <c r="B470" s="163"/>
      <c r="C470" s="163"/>
      <c r="D470" s="163"/>
      <c r="E470" s="750"/>
      <c r="F470" s="258"/>
      <c r="H470" s="672"/>
      <c r="I470" s="672"/>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tabSelected="1"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4"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3"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8"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7"/>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2"/>
      <c r="C2" s="543"/>
      <c r="D2" s="543"/>
      <c r="E2" s="708"/>
      <c r="F2" s="543"/>
      <c r="G2" s="543"/>
      <c r="H2" s="543"/>
      <c r="I2" s="543"/>
      <c r="J2" s="543"/>
      <c r="K2" s="543"/>
      <c r="L2" s="543"/>
      <c r="M2" s="543"/>
      <c r="N2" s="543"/>
      <c r="O2" s="770"/>
      <c r="P2" s="543"/>
      <c r="Q2" s="543"/>
      <c r="R2" s="543"/>
      <c r="S2" s="543"/>
      <c r="T2" s="543"/>
      <c r="U2" s="543"/>
      <c r="V2" s="543"/>
      <c r="W2" s="543"/>
      <c r="X2" s="543"/>
      <c r="Y2" s="543"/>
      <c r="Z2" s="543"/>
      <c r="AA2" s="715" t="s">
        <v>872</v>
      </c>
      <c r="AB2" s="546"/>
      <c r="AC2" s="543"/>
      <c r="AD2" s="543"/>
      <c r="AE2" s="543"/>
      <c r="AF2" s="543"/>
      <c r="AG2" s="543"/>
      <c r="AH2" s="543"/>
      <c r="AI2" s="543"/>
      <c r="AJ2" s="543"/>
      <c r="AK2" s="543"/>
      <c r="AL2" s="543"/>
      <c r="AM2" s="543"/>
      <c r="AN2" s="1063" t="s">
        <v>873</v>
      </c>
      <c r="AO2" s="1064"/>
      <c r="AP2" s="1064"/>
      <c r="AQ2" s="1065"/>
      <c r="AR2" s="771"/>
      <c r="AS2" s="1063" t="s">
        <v>874</v>
      </c>
      <c r="AT2" s="1064"/>
      <c r="AU2" s="1064"/>
      <c r="AV2" s="1065"/>
      <c r="AW2" s="771"/>
      <c r="AX2" s="1063" t="s">
        <v>875</v>
      </c>
      <c r="AY2" s="1064"/>
      <c r="AZ2" s="1064"/>
      <c r="BA2" s="1065"/>
      <c r="BB2" s="734"/>
      <c r="BC2" s="89"/>
      <c r="BL2" s="486"/>
      <c r="BN2" s="534"/>
      <c r="BO2" s="667">
        <f>LEN(C4)</f>
        <v>0</v>
      </c>
      <c r="BP2" s="382" t="s">
        <v>876</v>
      </c>
      <c r="BQ2" s="382"/>
      <c r="BR2" s="382"/>
      <c r="BT2" s="382"/>
      <c r="BU2" s="187"/>
      <c r="BV2" s="187"/>
      <c r="BW2" s="187"/>
    </row>
    <row r="3" spans="1:77" ht="20.45" customHeight="1">
      <c r="A3" s="89"/>
      <c r="B3" s="544"/>
      <c r="C3" s="545"/>
      <c r="D3" s="545"/>
      <c r="E3" s="709"/>
      <c r="F3" s="545"/>
      <c r="G3" s="545"/>
      <c r="H3" s="545"/>
      <c r="I3" s="545"/>
      <c r="J3" s="545"/>
      <c r="K3" s="545"/>
      <c r="L3" s="545"/>
      <c r="M3" s="548"/>
      <c r="N3" s="370"/>
      <c r="O3" s="547" t="s">
        <v>703</v>
      </c>
      <c r="P3" s="551" t="str">
        <f>IF(ISBLANK('Start Page'!AB9),"Enter info on the Start Page",'Start Page'!AB9&amp;IF(ISBLANK('Start Page'!AM28),"","  ("&amp;'Start Page'!AM28&amp;")"))</f>
        <v>Pennsylvania American Water</v>
      </c>
      <c r="Q3" s="551"/>
      <c r="R3" s="551"/>
      <c r="S3" s="551"/>
      <c r="T3" s="551"/>
      <c r="U3" s="551"/>
      <c r="V3" s="551"/>
      <c r="W3" s="551"/>
      <c r="X3" s="551"/>
      <c r="Y3" s="551"/>
      <c r="Z3" s="551"/>
      <c r="AA3" s="551"/>
      <c r="AB3" s="551"/>
      <c r="AC3" s="548"/>
      <c r="AD3" s="549"/>
      <c r="AE3" s="550"/>
      <c r="AF3" s="547" t="s">
        <v>704</v>
      </c>
      <c r="AG3" s="1066">
        <f>IF(ISBLANK('Start Page'!AB18),"",'Start Page'!AB18)</f>
        <v>2023</v>
      </c>
      <c r="AH3" s="1066"/>
      <c r="AI3" s="370"/>
      <c r="AJ3" s="811" t="str">
        <f>IF(ISBLANK('Start Page'!AB19),"",'Start Page'!AB19)</f>
        <v>Calendar</v>
      </c>
      <c r="AK3" s="811"/>
      <c r="AL3" s="370"/>
      <c r="AM3" s="551" t="str">
        <f>IF(ISBLANK('Start Page'!AB20),"",TEXT('Start Page'!AB20,"mmm dd yyyy")&amp;" - "&amp;TEXT('Start Page'!AB21,"mmm dd yyyy"))</f>
        <v>Jan 01 2023 - Dec 31 2023</v>
      </c>
      <c r="AN3" s="551"/>
      <c r="AO3" s="551"/>
      <c r="AP3" s="551"/>
      <c r="AQ3" s="551"/>
      <c r="AR3" s="551"/>
      <c r="AS3" s="545"/>
      <c r="AT3" s="545"/>
      <c r="AU3" s="545"/>
      <c r="AV3" s="545"/>
      <c r="AW3" s="545"/>
      <c r="AX3" s="545"/>
      <c r="AY3" s="545"/>
      <c r="AZ3" s="545"/>
      <c r="BA3" s="545"/>
      <c r="BB3" s="734"/>
      <c r="BC3" s="89"/>
      <c r="BN3" s="534"/>
      <c r="BO3" s="779" t="str">
        <f>IF(OR(LEN(J7)=0,J7="N/A*",J7="TBD"),"ok",IF(J7&gt;=100,"Max DVS Flag","ok"))</f>
        <v>ok</v>
      </c>
      <c r="BP3" s="382" t="s">
        <v>877</v>
      </c>
      <c r="BQ3" s="382"/>
      <c r="BR3" s="382"/>
      <c r="BT3" s="382"/>
      <c r="BU3" s="187"/>
      <c r="BV3" s="187"/>
      <c r="BW3" s="187"/>
    </row>
    <row r="4" spans="1:77" ht="15" customHeight="1">
      <c r="A4" s="89"/>
      <c r="B4" s="271"/>
      <c r="C4" s="1074" t="str">
        <f>IFERROR(IF(ISBLANK('Start Page'!$AB$22),"******* REPORTING UNITS MUST BE SELECTED ON THE INSTRUCTIONS TAB BEFORE PERFORMANCE INDICATORS CAN BE DISPLAYED *******",IF('M36 Refs'!AN118&gt;0," ******* COMPLETE ALL VISIBLE QUESTIONS ON THE INTERACTIVE DATA GRADING TAB TO DISPLAY PERFORMANCE INDICATORS *******","")),"")</f>
        <v/>
      </c>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1074"/>
      <c r="BA4" s="1074"/>
      <c r="BB4" s="485"/>
      <c r="BC4" s="89"/>
      <c r="BN4" s="534"/>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69" t="s">
        <v>878</v>
      </c>
      <c r="D5" s="1069"/>
      <c r="E5" s="1069"/>
      <c r="F5" s="1069"/>
      <c r="G5" s="1069"/>
      <c r="H5" s="1069"/>
      <c r="I5" s="1069"/>
      <c r="J5" s="1069"/>
      <c r="K5" s="1069"/>
      <c r="L5" s="1069"/>
      <c r="M5" s="1069"/>
      <c r="N5" s="1069"/>
      <c r="O5" s="1069"/>
      <c r="P5" s="1069"/>
      <c r="Q5" s="1069"/>
      <c r="R5" s="1069"/>
      <c r="S5" s="1069"/>
      <c r="T5" s="1069"/>
      <c r="U5" s="1069"/>
      <c r="V5" s="1069"/>
      <c r="W5" s="609"/>
      <c r="X5" s="609"/>
      <c r="Y5" s="609"/>
      <c r="Z5" s="609"/>
      <c r="AA5" s="609"/>
      <c r="AB5" s="609"/>
      <c r="AC5" s="609"/>
      <c r="AD5" s="504" t="s">
        <v>879</v>
      </c>
      <c r="AE5" s="609"/>
      <c r="AF5" s="609"/>
      <c r="AG5" s="609"/>
      <c r="AH5" s="1076" t="s">
        <v>880</v>
      </c>
      <c r="AI5" s="1076"/>
      <c r="AJ5" s="1076"/>
      <c r="AK5" s="1076"/>
      <c r="AL5" s="1076"/>
      <c r="AM5" s="1076"/>
      <c r="AN5" s="1076"/>
      <c r="AO5" s="1076"/>
      <c r="AP5" s="1076"/>
      <c r="AQ5" s="1076"/>
      <c r="AR5" s="1076"/>
      <c r="AS5" s="504" t="s">
        <v>881</v>
      </c>
      <c r="AT5" s="609"/>
      <c r="AU5" s="609"/>
      <c r="AV5" s="609"/>
      <c r="AW5" s="609"/>
      <c r="AX5" s="609"/>
      <c r="AY5" s="609"/>
      <c r="AZ5" s="609"/>
      <c r="BA5" s="609"/>
      <c r="BB5" s="485"/>
      <c r="BC5" s="89"/>
      <c r="BN5" s="534"/>
      <c r="BO5" s="382"/>
      <c r="BP5" s="382"/>
      <c r="BQ5" s="382"/>
      <c r="BR5" s="382"/>
      <c r="BS5" s="382"/>
      <c r="BT5" s="382"/>
      <c r="BU5" s="187"/>
      <c r="BV5" s="187"/>
      <c r="BW5" s="187"/>
    </row>
    <row r="6" spans="1:77" s="190" customFormat="1" ht="12.95" customHeight="1">
      <c r="A6" s="189"/>
      <c r="B6" s="271"/>
      <c r="C6" s="1069"/>
      <c r="D6" s="1069"/>
      <c r="E6" s="1069"/>
      <c r="F6" s="1069"/>
      <c r="G6" s="1069"/>
      <c r="H6" s="1069"/>
      <c r="I6" s="1069"/>
      <c r="J6" s="1069"/>
      <c r="K6" s="1069"/>
      <c r="L6" s="1069"/>
      <c r="M6" s="1069"/>
      <c r="N6" s="1069"/>
      <c r="O6" s="1069"/>
      <c r="P6" s="1069"/>
      <c r="Q6" s="1069"/>
      <c r="R6" s="1069"/>
      <c r="S6" s="1069"/>
      <c r="T6" s="1069"/>
      <c r="U6" s="1069"/>
      <c r="V6" s="1069"/>
      <c r="W6" s="552"/>
      <c r="X6" s="758"/>
      <c r="Y6" s="759" t="s">
        <v>882</v>
      </c>
      <c r="Z6" s="1071">
        <v>0.73699999999999999</v>
      </c>
      <c r="AA6" s="1071"/>
      <c r="AB6" s="760" t="s">
        <v>883</v>
      </c>
      <c r="AC6" s="496"/>
      <c r="AD6" s="609"/>
      <c r="AE6" s="609"/>
      <c r="AF6" s="609"/>
      <c r="AG6" s="609"/>
      <c r="AH6" s="1076"/>
      <c r="AI6" s="1076"/>
      <c r="AJ6" s="1076"/>
      <c r="AK6" s="1076"/>
      <c r="AL6" s="1076"/>
      <c r="AM6" s="1076"/>
      <c r="AN6" s="1076"/>
      <c r="AO6" s="1076"/>
      <c r="AP6" s="1076"/>
      <c r="AQ6" s="1076"/>
      <c r="AR6" s="1076"/>
      <c r="AS6" s="609"/>
      <c r="AT6" s="609"/>
      <c r="AU6" s="609"/>
      <c r="AV6" s="609"/>
      <c r="AW6" s="609"/>
      <c r="AX6" s="609"/>
      <c r="AY6" s="609"/>
      <c r="AZ6" s="609"/>
      <c r="BA6" s="609"/>
      <c r="BB6" s="485"/>
      <c r="BC6" s="189"/>
      <c r="BD6" s="191" t="s">
        <v>884</v>
      </c>
      <c r="BM6" s="535"/>
      <c r="BN6" s="536"/>
      <c r="BO6" s="583"/>
      <c r="BP6" s="583"/>
      <c r="BQ6" s="583"/>
      <c r="BR6" s="583">
        <f>IFERROR(IF(ISBLANK('Start Page'!$AB$22),"N/A*",IF('M36 Refs'!AN118&gt;0,"",ROUND('M36 Refs'!AH118,0))),"")</f>
        <v>86</v>
      </c>
      <c r="BS6" s="584"/>
      <c r="BT6" s="583"/>
      <c r="BU6" s="585"/>
      <c r="BV6" s="585"/>
      <c r="BW6" s="585"/>
      <c r="BX6" s="50"/>
      <c r="BY6" s="50"/>
    </row>
    <row r="7" spans="1:77" s="190" customFormat="1" ht="12.95" customHeight="1">
      <c r="A7" s="189"/>
      <c r="B7" s="265"/>
      <c r="C7" s="50"/>
      <c r="D7" s="193"/>
      <c r="E7" s="710"/>
      <c r="F7" s="193"/>
      <c r="G7" s="193"/>
      <c r="H7" s="552"/>
      <c r="I7" s="653" t="s">
        <v>885</v>
      </c>
      <c r="J7" s="1068">
        <f>BR6</f>
        <v>86</v>
      </c>
      <c r="K7" s="1068"/>
      <c r="L7" s="654"/>
      <c r="M7" s="654"/>
      <c r="N7" s="654"/>
      <c r="O7" s="654"/>
      <c r="P7" s="654"/>
      <c r="Q7" s="653" t="s">
        <v>886</v>
      </c>
      <c r="R7" s="1067" t="str">
        <f>IF(BO2&gt;0,"",BR4)</f>
        <v>Tier IV (71-90)</v>
      </c>
      <c r="S7" s="1067"/>
      <c r="T7" s="1067"/>
      <c r="U7" s="1067"/>
      <c r="V7" s="1067"/>
      <c r="W7" s="552"/>
      <c r="X7" s="762" t="s">
        <v>887</v>
      </c>
      <c r="AD7" s="496"/>
      <c r="AE7" s="718"/>
      <c r="AF7" s="718"/>
      <c r="AG7" s="718"/>
      <c r="AH7" s="1070" t="s">
        <v>888</v>
      </c>
      <c r="AI7" s="1070"/>
      <c r="AJ7" s="1070"/>
      <c r="AK7" s="1070"/>
      <c r="AL7" s="1070"/>
      <c r="AM7" s="1070"/>
      <c r="AN7" s="1070"/>
      <c r="AO7" s="1070"/>
      <c r="AP7" s="1070"/>
      <c r="AQ7" s="1070"/>
      <c r="AR7" s="1070"/>
      <c r="AS7" s="718"/>
      <c r="AT7" s="718"/>
      <c r="AU7" s="718"/>
      <c r="AV7" s="718"/>
      <c r="AW7" s="718"/>
      <c r="AX7" s="718"/>
      <c r="AY7" s="718"/>
      <c r="AZ7" s="718"/>
      <c r="BA7" s="718"/>
      <c r="BB7" s="485"/>
      <c r="BC7" s="189"/>
      <c r="BD7" s="190" t="str">
        <f>IF('Start Page'!$AB$22="million gallons (US)","MG/Yr",IF('Start Page'!$AB$22="Megalitres (thousand cubic metres)","ML/Yr",IF('Start Page'!$AB$22="acre-feet","Acre-ft/Yr","")))</f>
        <v>MG/Yr</v>
      </c>
      <c r="BM7" s="535"/>
      <c r="BN7" s="536"/>
      <c r="BO7" s="586" t="s">
        <v>889</v>
      </c>
      <c r="BP7" s="586"/>
      <c r="BQ7" s="586"/>
      <c r="BR7" s="586" t="s">
        <v>890</v>
      </c>
      <c r="BS7" s="583"/>
      <c r="BT7" s="583"/>
      <c r="BU7" s="585"/>
      <c r="BV7" s="585"/>
      <c r="BW7" s="585"/>
      <c r="BX7" s="50"/>
      <c r="BY7" s="50"/>
    </row>
    <row r="8" spans="1:77" ht="12.95" customHeight="1">
      <c r="A8" s="89"/>
      <c r="B8" s="265"/>
      <c r="C8" s="496"/>
      <c r="D8" s="496"/>
      <c r="E8" s="711"/>
      <c r="F8" s="496"/>
      <c r="G8" s="496"/>
      <c r="H8" s="1075" t="s">
        <v>891</v>
      </c>
      <c r="I8" s="1075"/>
      <c r="J8" s="1072" t="s">
        <v>584</v>
      </c>
      <c r="K8" s="1072"/>
      <c r="L8" s="1072"/>
      <c r="M8" s="1072"/>
      <c r="N8" s="1072"/>
      <c r="O8" s="1072"/>
      <c r="P8" s="1073" t="s">
        <v>892</v>
      </c>
      <c r="Q8" s="1073"/>
      <c r="R8" s="1073"/>
      <c r="S8" s="1073"/>
      <c r="T8" s="496"/>
      <c r="U8" s="496"/>
      <c r="V8" s="193"/>
      <c r="W8" s="193"/>
      <c r="X8" s="50"/>
      <c r="Y8" s="718"/>
      <c r="Z8" s="718"/>
      <c r="AA8" s="718"/>
      <c r="AB8" s="496"/>
      <c r="AC8" s="496"/>
      <c r="AD8" s="496"/>
      <c r="AE8" s="718"/>
      <c r="AF8" s="718"/>
      <c r="AG8" s="718"/>
      <c r="AH8" s="1070"/>
      <c r="AI8" s="1070"/>
      <c r="AJ8" s="1070"/>
      <c r="AK8" s="1070"/>
      <c r="AL8" s="1070"/>
      <c r="AM8" s="1070"/>
      <c r="AN8" s="1070"/>
      <c r="AO8" s="1070"/>
      <c r="AP8" s="1070"/>
      <c r="AQ8" s="1070"/>
      <c r="AR8" s="1070"/>
      <c r="AS8" s="718"/>
      <c r="AT8" s="718"/>
      <c r="AU8" s="718"/>
      <c r="AV8" s="718"/>
      <c r="AW8" s="718"/>
      <c r="AX8" s="718"/>
      <c r="AY8" s="718"/>
      <c r="AZ8" s="718"/>
      <c r="BA8" s="718"/>
      <c r="BB8" s="272"/>
      <c r="BC8" s="89"/>
      <c r="BD8" s="50" t="str">
        <f>IF(BD29=FALSE,"Variable Production Cost","Customer Retail Unit Cost")</f>
        <v>Variable Production Cost</v>
      </c>
      <c r="BN8" s="534"/>
      <c r="BO8" s="382"/>
      <c r="BP8" s="382">
        <f>SUM(BP9:BP13)</f>
        <v>100</v>
      </c>
      <c r="BQ8" s="382"/>
      <c r="BR8" s="382" t="s">
        <v>893</v>
      </c>
      <c r="BS8" s="382">
        <f>BR6</f>
        <v>86</v>
      </c>
      <c r="BT8" s="382"/>
      <c r="BU8" s="187"/>
      <c r="BV8" s="187"/>
      <c r="BW8" s="187"/>
    </row>
    <row r="9" spans="1:77" ht="12.95" customHeight="1">
      <c r="A9" s="89"/>
      <c r="B9" s="265"/>
      <c r="C9" s="496"/>
      <c r="D9" s="496"/>
      <c r="E9" s="711"/>
      <c r="F9" s="496"/>
      <c r="G9" s="496"/>
      <c r="H9" s="1075"/>
      <c r="I9" s="1075"/>
      <c r="J9" s="1072"/>
      <c r="K9" s="1072"/>
      <c r="L9" s="1072"/>
      <c r="M9" s="1072"/>
      <c r="N9" s="1072"/>
      <c r="O9" s="1072"/>
      <c r="P9" s="1073"/>
      <c r="Q9" s="1073"/>
      <c r="R9" s="1073"/>
      <c r="S9" s="1073"/>
      <c r="T9" s="496"/>
      <c r="U9" s="496"/>
      <c r="V9" s="541"/>
      <c r="W9" s="193"/>
      <c r="X9" s="552"/>
      <c r="Y9" s="552"/>
      <c r="Z9" s="552"/>
      <c r="AA9" s="552"/>
      <c r="AB9" s="552"/>
      <c r="AC9" s="552"/>
      <c r="AD9" s="552"/>
      <c r="AE9" s="552"/>
      <c r="AF9" s="552"/>
      <c r="AG9" s="552"/>
      <c r="AH9" s="552"/>
      <c r="AI9" s="552"/>
      <c r="AJ9" s="193"/>
      <c r="AK9" s="552"/>
      <c r="AL9" s="552"/>
      <c r="AM9" s="552"/>
      <c r="AN9" s="552"/>
      <c r="AO9" s="552"/>
      <c r="AP9" s="552"/>
      <c r="AQ9" s="552"/>
      <c r="AR9" s="552"/>
      <c r="AS9" s="552"/>
      <c r="AT9" s="552"/>
      <c r="AU9" s="552"/>
      <c r="AV9" s="552"/>
      <c r="AW9" s="552"/>
      <c r="AX9" s="552"/>
      <c r="AY9" s="552"/>
      <c r="AZ9" s="552"/>
      <c r="BA9" s="552"/>
      <c r="BB9" s="272"/>
      <c r="BC9" s="89"/>
      <c r="BD9" s="173" t="str">
        <f>IF(BD29=FALSE,"VPC","CRUC")</f>
        <v>VPC</v>
      </c>
      <c r="BN9" s="537"/>
      <c r="BO9" s="382" t="s">
        <v>894</v>
      </c>
      <c r="BP9" s="382">
        <v>25</v>
      </c>
      <c r="BQ9" s="382"/>
      <c r="BR9" s="382" t="s">
        <v>890</v>
      </c>
      <c r="BS9" s="594">
        <f>SUM(BP8:BP12)/150</f>
        <v>1.2666666666666666</v>
      </c>
      <c r="BT9" s="382"/>
      <c r="BU9" s="187"/>
      <c r="BV9" s="187"/>
      <c r="BW9" s="187"/>
    </row>
    <row r="10" spans="1:77" ht="12.95" customHeight="1">
      <c r="A10" s="89"/>
      <c r="B10" s="265"/>
      <c r="C10" s="541"/>
      <c r="D10" s="541"/>
      <c r="E10" s="50"/>
      <c r="F10" s="50"/>
      <c r="G10" s="50"/>
      <c r="H10" s="541"/>
      <c r="I10" s="783" t="s">
        <v>895</v>
      </c>
      <c r="J10" s="541"/>
      <c r="K10" s="541"/>
      <c r="L10" s="541"/>
      <c r="M10" s="541"/>
      <c r="N10" s="541"/>
      <c r="O10" s="781" t="s">
        <v>896</v>
      </c>
      <c r="P10" s="541"/>
      <c r="Q10" s="541"/>
      <c r="R10" s="541"/>
      <c r="S10" s="541"/>
      <c r="T10" s="541"/>
      <c r="U10" s="541"/>
      <c r="V10" s="541"/>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7"/>
      <c r="BO10" s="382" t="s">
        <v>897</v>
      </c>
      <c r="BP10" s="382">
        <v>25</v>
      </c>
      <c r="BQ10" s="382"/>
      <c r="BR10" s="382" t="s">
        <v>898</v>
      </c>
      <c r="BS10" s="382">
        <f>SUM(BP8:BP13)-SUM(BS8:BS9)</f>
        <v>112.73333333333333</v>
      </c>
      <c r="BT10" s="382"/>
      <c r="BU10" s="187"/>
      <c r="BV10" s="187"/>
      <c r="BW10" s="187"/>
    </row>
    <row r="11" spans="1:77" ht="12.95" customHeight="1">
      <c r="A11" s="89"/>
      <c r="B11" s="265"/>
      <c r="C11" s="50"/>
      <c r="D11" s="193"/>
      <c r="E11" s="710"/>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499"/>
      <c r="AG11" s="499"/>
      <c r="AH11" s="499"/>
      <c r="AI11" s="499"/>
      <c r="AJ11" s="499"/>
      <c r="AK11" s="499"/>
      <c r="AL11" s="499"/>
      <c r="AM11" s="499"/>
      <c r="AN11" s="499"/>
      <c r="AO11" s="499"/>
      <c r="AP11" s="499"/>
      <c r="AQ11" s="499"/>
      <c r="AR11" s="499"/>
      <c r="AS11" s="499"/>
      <c r="AT11" s="499"/>
      <c r="AU11" s="499"/>
      <c r="AV11" s="499"/>
      <c r="AW11" s="499"/>
      <c r="AX11" s="499"/>
      <c r="AY11" s="193"/>
      <c r="AZ11" s="193"/>
      <c r="BA11" s="193"/>
      <c r="BB11" s="272"/>
      <c r="BC11" s="89"/>
      <c r="BD11" s="50" t="str">
        <f>IF(ISBLANK('Start Page'!$AB$22),"",IF('Start Page'!$AB$22="Megalitres (thousand cubic metres)","litres/km","gal/mile")&amp;"/day")</f>
        <v>gal/mile/day</v>
      </c>
      <c r="BN11" s="537"/>
      <c r="BO11" s="382" t="s">
        <v>899</v>
      </c>
      <c r="BP11" s="382">
        <v>20</v>
      </c>
      <c r="BQ11" s="382"/>
      <c r="BR11" s="382"/>
      <c r="BS11" s="382"/>
      <c r="BT11" s="382"/>
      <c r="BU11" s="616" t="s">
        <v>900</v>
      </c>
      <c r="BV11" s="604"/>
      <c r="BW11" s="604"/>
      <c r="BX11" s="604"/>
    </row>
    <row r="12" spans="1:77" ht="12.95" customHeight="1">
      <c r="A12" s="89"/>
      <c r="B12" s="265"/>
      <c r="C12" s="50"/>
      <c r="D12" s="193"/>
      <c r="E12" s="710"/>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3"/>
      <c r="AG12" s="499"/>
      <c r="AH12" s="554"/>
      <c r="AI12" s="554"/>
      <c r="AJ12" s="193"/>
      <c r="AK12" s="193"/>
      <c r="AL12" s="193"/>
      <c r="AM12" s="193"/>
      <c r="AN12" s="193"/>
      <c r="AO12" s="193"/>
      <c r="AP12" s="193"/>
      <c r="AQ12" s="193"/>
      <c r="AR12" s="193"/>
      <c r="AS12" s="193"/>
      <c r="AT12" s="193"/>
      <c r="AU12" s="193"/>
      <c r="AV12" s="552"/>
      <c r="AW12" s="552"/>
      <c r="AX12" s="193"/>
      <c r="AY12" s="193"/>
      <c r="AZ12" s="193"/>
      <c r="BA12" s="193"/>
      <c r="BB12" s="272"/>
      <c r="BC12" s="89"/>
      <c r="BD12" s="50" t="str">
        <f>IF(ISBLANK('Start Page'!$AB$22),"",IF('Start Page'!$AB$22="Megalitres (thousand cubic metres)","litres/conn/day/m","gal/conn/day/psi"))</f>
        <v>gal/conn/day/psi</v>
      </c>
      <c r="BN12" s="537"/>
      <c r="BO12" s="382" t="s">
        <v>901</v>
      </c>
      <c r="BP12" s="382">
        <v>20</v>
      </c>
      <c r="BQ12" s="382"/>
      <c r="BR12" s="382"/>
      <c r="BS12" s="382"/>
      <c r="BT12" s="382"/>
      <c r="BU12" s="587" t="s">
        <v>902</v>
      </c>
      <c r="BV12" s="587"/>
      <c r="BW12" s="587"/>
    </row>
    <row r="13" spans="1:77" ht="15" customHeight="1">
      <c r="A13" s="89"/>
      <c r="B13" s="265"/>
      <c r="C13" s="50"/>
      <c r="D13" s="193"/>
      <c r="E13" s="710"/>
      <c r="F13" s="193"/>
      <c r="G13" s="193"/>
      <c r="H13" s="193"/>
      <c r="I13" s="193"/>
      <c r="J13" s="193"/>
      <c r="K13" s="193"/>
      <c r="L13" s="193"/>
      <c r="M13" s="193"/>
      <c r="N13" s="193"/>
      <c r="O13" s="193"/>
      <c r="P13" s="193"/>
      <c r="Q13" s="193"/>
      <c r="R13" s="781" t="s">
        <v>903</v>
      </c>
      <c r="S13" s="193"/>
      <c r="T13" s="193"/>
      <c r="U13" s="193"/>
      <c r="V13" s="193"/>
      <c r="W13" s="193"/>
      <c r="X13" s="193"/>
      <c r="Y13" s="193"/>
      <c r="Z13" s="193"/>
      <c r="AA13" s="193"/>
      <c r="AB13" s="193"/>
      <c r="AC13" s="193"/>
      <c r="AD13" s="193"/>
      <c r="AE13" s="193"/>
      <c r="AF13" s="555"/>
      <c r="AG13" s="555"/>
      <c r="AH13" s="555"/>
      <c r="AI13" s="555"/>
      <c r="AJ13" s="555"/>
      <c r="AK13" s="555"/>
      <c r="AL13" s="555"/>
      <c r="AM13" s="555"/>
      <c r="AN13" s="555"/>
      <c r="AO13" s="555"/>
      <c r="AP13" s="555"/>
      <c r="AQ13" s="555"/>
      <c r="AR13" s="555"/>
      <c r="AS13" s="555"/>
      <c r="AT13" s="555"/>
      <c r="AU13" s="555"/>
      <c r="AV13" s="552"/>
      <c r="AW13" s="552"/>
      <c r="AX13" s="193"/>
      <c r="AY13" s="193"/>
      <c r="AZ13" s="193"/>
      <c r="BA13" s="193"/>
      <c r="BB13" s="272"/>
      <c r="BC13" s="89"/>
      <c r="BD13" s="50" t="s">
        <v>904</v>
      </c>
      <c r="BN13" s="537"/>
      <c r="BO13" s="382" t="s">
        <v>905</v>
      </c>
      <c r="BP13" s="382">
        <v>10</v>
      </c>
      <c r="BQ13" s="382"/>
      <c r="BR13" s="382"/>
      <c r="BS13" s="382"/>
      <c r="BT13" s="382"/>
      <c r="BU13" s="587" t="s">
        <v>906</v>
      </c>
      <c r="BV13" s="587"/>
      <c r="BW13" s="587"/>
    </row>
    <row r="14" spans="1:77" ht="15" customHeight="1">
      <c r="A14" s="89"/>
      <c r="B14" s="265"/>
      <c r="C14" s="50"/>
      <c r="D14" s="193"/>
      <c r="E14" s="710"/>
      <c r="F14" s="193"/>
      <c r="G14" s="193"/>
      <c r="H14" s="193"/>
      <c r="I14" s="1047"/>
      <c r="J14" s="1047"/>
      <c r="K14" s="1047"/>
      <c r="L14" s="1047"/>
      <c r="M14" s="1047"/>
      <c r="N14" s="1047"/>
      <c r="O14" s="1047"/>
      <c r="P14" s="193"/>
      <c r="Q14" s="193"/>
      <c r="R14" s="193"/>
      <c r="S14" s="193"/>
      <c r="T14" s="193"/>
      <c r="U14" s="193"/>
      <c r="V14" s="193"/>
      <c r="W14" s="193"/>
      <c r="X14" s="193"/>
      <c r="Y14" s="193"/>
      <c r="Z14" s="193"/>
      <c r="AA14" s="193"/>
      <c r="AB14" s="1053" t="str">
        <f>IF(BS15&lt;0,"negative result check inputs",IF($BS$16=0,"result is below 10th %ile",IF($BS$15&gt;$BS$16,"result is above 90th %ile","")))</f>
        <v/>
      </c>
      <c r="AC14" s="1053"/>
      <c r="AD14" s="1053"/>
      <c r="AE14" s="1053"/>
      <c r="AF14" s="556"/>
      <c r="AG14" s="499"/>
      <c r="AH14" s="554"/>
      <c r="AI14" s="554"/>
      <c r="AJ14" s="193"/>
      <c r="AK14" s="193"/>
      <c r="AL14" s="1053" t="str">
        <f>IF(BS22&lt;0,"negative result check inputs",IF($BS$23=0,"result is below 10th %ile",IF($BS$22&gt;$BS$23,"result is above 90th %ile","")))</f>
        <v/>
      </c>
      <c r="AM14" s="1053"/>
      <c r="AN14" s="1053"/>
      <c r="AO14" s="1053"/>
      <c r="AP14" s="193"/>
      <c r="AQ14" s="193"/>
      <c r="AR14" s="193"/>
      <c r="AS14" s="193"/>
      <c r="AT14" s="193"/>
      <c r="AU14" s="193"/>
      <c r="AV14" s="1053" t="str">
        <f>IF(BS29&lt;0,"negative result check inputs",IF($BS$30=0,"result is below 10th %ile",IF($BS$29&gt;$BS$30,"result is above 90th %ile","")))</f>
        <v/>
      </c>
      <c r="AW14" s="1053"/>
      <c r="AX14" s="1053"/>
      <c r="AY14" s="1053"/>
      <c r="AZ14" s="193"/>
      <c r="BA14" s="193"/>
      <c r="BB14" s="272"/>
      <c r="BC14" s="89"/>
      <c r="BN14" s="537"/>
      <c r="BO14" s="382"/>
      <c r="BP14" s="610" t="s">
        <v>907</v>
      </c>
      <c r="BQ14" s="611" t="s">
        <v>908</v>
      </c>
      <c r="BR14" s="382"/>
      <c r="BS14" s="382"/>
      <c r="BT14" s="382"/>
      <c r="BU14" s="588" t="s">
        <v>909</v>
      </c>
      <c r="BV14" s="588" t="s">
        <v>910</v>
      </c>
      <c r="BW14" s="588" t="s">
        <v>911</v>
      </c>
    </row>
    <row r="15" spans="1:77" ht="15" customHeight="1">
      <c r="A15" s="89"/>
      <c r="B15" s="265"/>
      <c r="C15" s="50"/>
      <c r="D15" s="50"/>
      <c r="E15" s="710"/>
      <c r="F15" s="782" t="s">
        <v>912</v>
      </c>
      <c r="G15" s="193"/>
      <c r="H15" s="193"/>
      <c r="I15" s="1047"/>
      <c r="J15" s="1047"/>
      <c r="K15" s="1047"/>
      <c r="L15" s="1047"/>
      <c r="M15" s="1047"/>
      <c r="N15" s="1047"/>
      <c r="O15" s="1047"/>
      <c r="P15" s="193"/>
      <c r="Q15" s="193"/>
      <c r="R15" s="193"/>
      <c r="S15" s="193"/>
      <c r="T15" s="193"/>
      <c r="U15" s="193"/>
      <c r="V15" s="193"/>
      <c r="W15" s="193"/>
      <c r="X15" s="193"/>
      <c r="Y15" s="193"/>
      <c r="Z15" s="193"/>
      <c r="AA15" s="193"/>
      <c r="AB15" s="1053"/>
      <c r="AC15" s="1053"/>
      <c r="AD15" s="1053"/>
      <c r="AE15" s="1053"/>
      <c r="AF15" s="499"/>
      <c r="AG15" s="499"/>
      <c r="AH15" s="193"/>
      <c r="AI15" s="193"/>
      <c r="AJ15" s="193"/>
      <c r="AK15" s="193"/>
      <c r="AL15" s="1053"/>
      <c r="AM15" s="1053"/>
      <c r="AN15" s="1053"/>
      <c r="AO15" s="1053"/>
      <c r="AP15" s="193"/>
      <c r="AQ15" s="193"/>
      <c r="AR15" s="193"/>
      <c r="AS15" s="193"/>
      <c r="AT15" s="193"/>
      <c r="AU15" s="557"/>
      <c r="AV15" s="1053"/>
      <c r="AW15" s="1053"/>
      <c r="AX15" s="1053"/>
      <c r="AY15" s="1053"/>
      <c r="AZ15" s="193"/>
      <c r="BA15" s="193"/>
      <c r="BB15" s="272"/>
      <c r="BC15" s="89"/>
      <c r="BN15" s="537"/>
      <c r="BO15" s="589" t="s">
        <v>913</v>
      </c>
      <c r="BP15" s="589"/>
      <c r="BR15" s="578" t="s">
        <v>914</v>
      </c>
      <c r="BS15" s="605">
        <f>IF($BO$2&gt;0,"",IFERROR(SUM(N49:N50)/Worksheet!H62,""))</f>
        <v>41.587156468633836</v>
      </c>
      <c r="BT15" s="590"/>
      <c r="BU15" s="663" t="s">
        <v>908</v>
      </c>
      <c r="BV15" s="591"/>
      <c r="BW15" s="591"/>
      <c r="BX15" s="539"/>
    </row>
    <row r="16" spans="1:77" ht="15" customHeight="1">
      <c r="A16" s="89"/>
      <c r="B16" s="265"/>
      <c r="C16" s="50"/>
      <c r="D16" s="193"/>
      <c r="E16" s="710"/>
      <c r="F16" s="193"/>
      <c r="G16" s="193"/>
      <c r="H16" s="193"/>
      <c r="I16" s="1047"/>
      <c r="J16" s="1047"/>
      <c r="K16" s="1047"/>
      <c r="L16" s="1047"/>
      <c r="M16" s="1047"/>
      <c r="N16" s="1047"/>
      <c r="O16" s="1047"/>
      <c r="P16" s="193"/>
      <c r="Q16" s="193"/>
      <c r="R16" s="193"/>
      <c r="S16" s="781" t="s">
        <v>915</v>
      </c>
      <c r="T16" s="193"/>
      <c r="U16" s="193"/>
      <c r="V16" s="193"/>
      <c r="W16" s="193"/>
      <c r="X16" s="193"/>
      <c r="Y16" s="193"/>
      <c r="Z16" s="193"/>
      <c r="AA16" s="193"/>
      <c r="AB16" s="193"/>
      <c r="AC16" s="193"/>
      <c r="AD16" s="193"/>
      <c r="AE16" s="193"/>
      <c r="AF16" s="499"/>
      <c r="AG16" s="499"/>
      <c r="AH16" s="193"/>
      <c r="AI16" s="193"/>
      <c r="AJ16" s="193"/>
      <c r="AK16" s="193"/>
      <c r="AL16" s="193"/>
      <c r="AM16" s="193"/>
      <c r="AN16" s="193"/>
      <c r="AO16" s="193"/>
      <c r="AP16" s="193"/>
      <c r="AQ16" s="193"/>
      <c r="AR16" s="193"/>
      <c r="AS16" s="193"/>
      <c r="AT16" s="193"/>
      <c r="AU16" s="557"/>
      <c r="AV16" s="557"/>
      <c r="AW16" s="558"/>
      <c r="AX16" s="193"/>
      <c r="AY16" s="193"/>
      <c r="AZ16" s="193"/>
      <c r="BA16" s="193"/>
      <c r="BB16" s="272"/>
      <c r="BC16" s="89"/>
      <c r="BN16" s="608" t="s">
        <v>916</v>
      </c>
      <c r="BO16" s="590" t="s">
        <v>917</v>
      </c>
      <c r="BP16" s="592">
        <f>SUM(BP17:BP20)</f>
        <v>57.801400497346833</v>
      </c>
      <c r="BQ16" s="757">
        <f>IF($BD$7="ML/Yr",BW16,BU16)</f>
        <v>5.075047838800522</v>
      </c>
      <c r="BR16" s="578" t="s">
        <v>918</v>
      </c>
      <c r="BS16" s="613">
        <f>IF(BS15="","",IF(BS15&lt;BQ16,0,IF(BS15&gt;BQ20,BQ20,BS15)))</f>
        <v>41.587156468633836</v>
      </c>
      <c r="BT16" s="590" t="s">
        <v>917</v>
      </c>
      <c r="BU16" s="604">
        <v>5.075047838800522</v>
      </c>
      <c r="BV16" s="593"/>
      <c r="BW16" s="761">
        <f>IF($Z$6="",BU16/0.737,BU16/$Z$6)</f>
        <v>6.8860893335149553</v>
      </c>
      <c r="BX16" s="539"/>
    </row>
    <row r="17" spans="1:78" ht="15" customHeight="1">
      <c r="A17" s="89"/>
      <c r="B17" s="662"/>
      <c r="C17" s="808"/>
      <c r="D17" s="193"/>
      <c r="E17" s="710"/>
      <c r="F17" s="193"/>
      <c r="G17" s="193"/>
      <c r="H17" s="193"/>
      <c r="I17" s="1047"/>
      <c r="J17" s="1047"/>
      <c r="K17" s="1047"/>
      <c r="L17" s="1047"/>
      <c r="M17" s="1047"/>
      <c r="N17" s="1047"/>
      <c r="O17" s="1047"/>
      <c r="P17" s="193"/>
      <c r="Q17" s="193"/>
      <c r="R17" s="193"/>
      <c r="S17" s="193"/>
      <c r="T17" s="193"/>
      <c r="U17" s="193"/>
      <c r="V17" s="193"/>
      <c r="W17" s="193"/>
      <c r="X17" s="193"/>
      <c r="Y17" s="193"/>
      <c r="Z17" s="193"/>
      <c r="AA17" s="193"/>
      <c r="AB17" s="557"/>
      <c r="AC17" s="655" t="s">
        <v>913</v>
      </c>
      <c r="AD17" s="193"/>
      <c r="AE17" s="655"/>
      <c r="AF17" s="655"/>
      <c r="AG17" s="656"/>
      <c r="AH17" s="648"/>
      <c r="AI17" s="648"/>
      <c r="AJ17" s="655"/>
      <c r="AK17" s="655"/>
      <c r="AL17" s="655"/>
      <c r="AM17" s="655" t="s">
        <v>919</v>
      </c>
      <c r="AN17" s="193"/>
      <c r="AO17" s="655"/>
      <c r="AP17" s="655"/>
      <c r="AQ17" s="655"/>
      <c r="AR17" s="655"/>
      <c r="AS17" s="655"/>
      <c r="AT17" s="655"/>
      <c r="AU17" s="655"/>
      <c r="AV17" s="655"/>
      <c r="AW17" s="655" t="s">
        <v>920</v>
      </c>
      <c r="AX17" s="50"/>
      <c r="AY17" s="576"/>
      <c r="AZ17" s="576"/>
      <c r="BA17" s="193"/>
      <c r="BB17" s="272"/>
      <c r="BC17" s="89"/>
      <c r="BE17" s="50" t="s">
        <v>921</v>
      </c>
      <c r="BF17" s="50" t="s">
        <v>922</v>
      </c>
      <c r="BN17" s="534"/>
      <c r="BO17" s="590" t="s">
        <v>923</v>
      </c>
      <c r="BP17" s="592">
        <f>BQ17</f>
        <v>9.3314489693766607</v>
      </c>
      <c r="BQ17" s="757">
        <f t="shared" ref="BQ17:BQ20" si="0">IF($BD$7="ML/Yr",BW17,BU17)</f>
        <v>9.3314489693766607</v>
      </c>
      <c r="BR17" s="590" t="s">
        <v>924</v>
      </c>
      <c r="BS17" s="594">
        <f>SUM(BP16:BP20)/125</f>
        <v>0.92482240795754933</v>
      </c>
      <c r="BT17" s="590" t="s">
        <v>923</v>
      </c>
      <c r="BU17" s="604">
        <v>9.3314489693766607</v>
      </c>
      <c r="BV17" s="593"/>
      <c r="BW17" s="761">
        <f>IF($Z$6="",BU17/0.737,BU17/$Z$6)</f>
        <v>12.66139615926277</v>
      </c>
      <c r="BX17" s="50" t="s">
        <v>925</v>
      </c>
      <c r="BY17" s="590"/>
      <c r="BZ17" s="594"/>
    </row>
    <row r="18" spans="1:78" ht="15" customHeight="1">
      <c r="A18" s="89"/>
      <c r="B18" s="265"/>
      <c r="C18" s="50"/>
      <c r="D18" s="193"/>
      <c r="E18" s="710"/>
      <c r="F18" s="193"/>
      <c r="G18" s="193"/>
      <c r="H18" s="193"/>
      <c r="I18" s="193"/>
      <c r="J18" s="193"/>
      <c r="K18" s="193"/>
      <c r="L18" s="193"/>
      <c r="M18" s="193"/>
      <c r="N18" s="193"/>
      <c r="O18" s="193"/>
      <c r="P18" s="193"/>
      <c r="Q18" s="193"/>
      <c r="R18" s="193"/>
      <c r="S18" s="193"/>
      <c r="T18" s="193"/>
      <c r="U18" s="193"/>
      <c r="V18" s="193"/>
      <c r="W18" s="193"/>
      <c r="X18" s="193"/>
      <c r="Y18" s="193"/>
      <c r="Z18" s="193"/>
      <c r="AA18" s="1061">
        <f>BS15</f>
        <v>41.587156468633836</v>
      </c>
      <c r="AB18" s="1061"/>
      <c r="AC18" s="1061"/>
      <c r="AD18" s="729" t="str">
        <f>BD13</f>
        <v>$/conn/year</v>
      </c>
      <c r="AE18" s="730"/>
      <c r="AF18" s="731"/>
      <c r="AG18" s="731"/>
      <c r="AH18" s="732"/>
      <c r="AI18" s="732"/>
      <c r="AJ18" s="730"/>
      <c r="AK18" s="1061">
        <f>BS22</f>
        <v>19.280015488368424</v>
      </c>
      <c r="AL18" s="1061"/>
      <c r="AM18" s="1061"/>
      <c r="AN18" s="729" t="str">
        <f>BD13</f>
        <v>$/conn/year</v>
      </c>
      <c r="AO18" s="730"/>
      <c r="AP18" s="730"/>
      <c r="AQ18" s="730"/>
      <c r="AR18" s="730"/>
      <c r="AS18" s="730"/>
      <c r="AT18" s="730"/>
      <c r="AU18" s="1061">
        <f>BS29</f>
        <v>22.307140980265412</v>
      </c>
      <c r="AV18" s="1061"/>
      <c r="AW18" s="1061"/>
      <c r="AX18" s="729" t="str">
        <f>BD13</f>
        <v>$/conn/year</v>
      </c>
      <c r="AY18" s="575"/>
      <c r="AZ18" s="193"/>
      <c r="BA18" s="193"/>
      <c r="BB18" s="272"/>
      <c r="BC18" s="89"/>
      <c r="BD18" s="50" t="s">
        <v>909</v>
      </c>
      <c r="BE18" s="182">
        <f>(((5.41*Worksheet!H61)+(0.15*Worksheet!H62)+(7.5*(Worksheet!H62*Worksheet!W67/5280)))*Worksheet!H68)/1000000*365</f>
        <v>5260.8178314671604</v>
      </c>
      <c r="BN18" s="534"/>
      <c r="BO18" s="590" t="s">
        <v>926</v>
      </c>
      <c r="BP18" s="592">
        <f>BQ18-BQ17</f>
        <v>8.9525318444022357</v>
      </c>
      <c r="BQ18" s="757">
        <f t="shared" si="0"/>
        <v>18.283980813778896</v>
      </c>
      <c r="BR18" s="590" t="s">
        <v>898</v>
      </c>
      <c r="BS18" s="594">
        <f>SUM(BP16:BP20)-SUM(BS16,BS17)</f>
        <v>73.090822118102281</v>
      </c>
      <c r="BT18" s="590" t="s">
        <v>926</v>
      </c>
      <c r="BU18" s="604">
        <v>18.283980813778896</v>
      </c>
      <c r="BV18" s="593"/>
      <c r="BW18" s="761">
        <f>IF($Z$6="",BU18/0.737,BU18/$Z$6)</f>
        <v>24.808657820595517</v>
      </c>
      <c r="BX18" s="50" t="s">
        <v>927</v>
      </c>
      <c r="BY18" s="590"/>
      <c r="BZ18" s="594"/>
    </row>
    <row r="19" spans="1:78" ht="15" customHeight="1">
      <c r="A19" s="89"/>
      <c r="B19" s="265"/>
      <c r="C19" s="50"/>
      <c r="D19" s="193"/>
      <c r="E19" s="710"/>
      <c r="F19" s="193"/>
      <c r="G19" s="193"/>
      <c r="H19" s="193"/>
      <c r="I19" s="193"/>
      <c r="J19" s="193"/>
      <c r="K19" s="193"/>
      <c r="L19" s="813" t="s">
        <v>928</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910</v>
      </c>
      <c r="BE19" s="182">
        <f>BE18*1000000/325851.427242</f>
        <v>16144.835933341208</v>
      </c>
      <c r="BF19" s="181">
        <f>BE19*325851.427242/Worksheet!H62/365</f>
        <v>21.064876727332798</v>
      </c>
      <c r="BG19" s="50" t="str">
        <f>IF(BD7="Acre-ft/yr",1,"")</f>
        <v/>
      </c>
      <c r="BJ19" s="187"/>
      <c r="BN19" s="534"/>
      <c r="BO19" s="590" t="s">
        <v>929</v>
      </c>
      <c r="BP19" s="592">
        <f>BQ19-BQ18</f>
        <v>13.300705385813597</v>
      </c>
      <c r="BQ19" s="757">
        <f t="shared" si="0"/>
        <v>31.584686199592493</v>
      </c>
      <c r="BR19" s="590"/>
      <c r="BS19" s="590"/>
      <c r="BT19" s="590" t="s">
        <v>929</v>
      </c>
      <c r="BU19" s="604">
        <v>31.584686199592493</v>
      </c>
      <c r="BV19" s="593"/>
      <c r="BW19" s="761">
        <f>IF($Z$6="",BU19/0.737,BU19/$Z$6)</f>
        <v>42.855747896326314</v>
      </c>
    </row>
    <row r="20" spans="1:78" ht="15" customHeight="1">
      <c r="A20" s="89"/>
      <c r="B20" s="265"/>
      <c r="C20" s="118"/>
      <c r="D20" s="118"/>
      <c r="E20" s="710"/>
      <c r="F20" s="118"/>
      <c r="G20" s="118"/>
      <c r="H20" s="118"/>
      <c r="I20" s="118"/>
      <c r="J20" s="118"/>
      <c r="K20" s="118"/>
      <c r="L20" s="50"/>
      <c r="M20" s="118"/>
      <c r="N20" s="118"/>
      <c r="O20" s="118"/>
      <c r="P20" s="118"/>
      <c r="Q20" s="118"/>
      <c r="R20" s="118"/>
      <c r="S20" s="118"/>
      <c r="T20" s="118"/>
      <c r="U20" s="118"/>
      <c r="V20" s="118"/>
      <c r="W20" s="193"/>
      <c r="X20" s="193"/>
      <c r="Y20" s="193"/>
      <c r="Z20" s="193"/>
      <c r="AA20" s="193"/>
      <c r="AB20" s="557"/>
      <c r="AC20" s="557"/>
      <c r="AD20" s="557"/>
      <c r="AE20" s="557"/>
      <c r="AF20" s="557"/>
      <c r="AG20" s="580"/>
      <c r="AH20" s="557"/>
      <c r="AI20" s="557"/>
      <c r="AJ20" s="557"/>
      <c r="AK20" s="557"/>
      <c r="AL20" s="557"/>
      <c r="AM20" s="557"/>
      <c r="AN20" s="557"/>
      <c r="AO20" s="557"/>
      <c r="AP20" s="557"/>
      <c r="AQ20" s="557"/>
      <c r="AR20" s="557"/>
      <c r="AS20" s="557"/>
      <c r="AT20" s="557"/>
      <c r="AU20" s="557"/>
      <c r="AV20" s="496"/>
      <c r="AW20" s="557"/>
      <c r="AX20" s="193"/>
      <c r="AY20" s="193"/>
      <c r="AZ20" s="193"/>
      <c r="BA20" s="193"/>
      <c r="BB20" s="272"/>
      <c r="BC20" s="89"/>
      <c r="BD20" s="50" t="s">
        <v>911</v>
      </c>
      <c r="BE20" s="182">
        <f>(((18*Worksheet!H61)+(0.8*Worksheet!H62)+(25*(Worksheet!H62*Worksheet!W67/1000)))*Worksheet!H68)/1000000*365</f>
        <v>32099.873452847623</v>
      </c>
      <c r="BN20" s="534"/>
      <c r="BO20" s="590" t="s">
        <v>930</v>
      </c>
      <c r="BP20" s="592">
        <f>BQ20-BQ19</f>
        <v>26.21671429775434</v>
      </c>
      <c r="BQ20" s="757">
        <f t="shared" si="0"/>
        <v>57.801400497346833</v>
      </c>
      <c r="BR20" s="590"/>
      <c r="BS20" s="590"/>
      <c r="BT20" s="590" t="s">
        <v>930</v>
      </c>
      <c r="BU20" s="604">
        <v>57.801400497346833</v>
      </c>
      <c r="BV20" s="593"/>
      <c r="BW20" s="761">
        <f>IF($Z$6="",BU20/0.737,BU20/$Z$6)</f>
        <v>78.427951828150384</v>
      </c>
      <c r="BX20" s="612" t="s">
        <v>931</v>
      </c>
    </row>
    <row r="21" spans="1:78" ht="15" customHeight="1">
      <c r="A21" s="89"/>
      <c r="B21" s="265"/>
      <c r="C21" s="118"/>
      <c r="D21" s="118"/>
      <c r="E21" s="710"/>
      <c r="F21" s="118"/>
      <c r="G21" s="118"/>
      <c r="H21" s="118"/>
      <c r="I21" s="118"/>
      <c r="J21" s="118"/>
      <c r="K21" s="118"/>
      <c r="L21" s="118"/>
      <c r="M21" s="118"/>
      <c r="N21" s="118"/>
      <c r="O21" s="118"/>
      <c r="P21" s="118"/>
      <c r="Q21" s="118"/>
      <c r="R21" s="118"/>
      <c r="S21" s="118"/>
      <c r="T21" s="118"/>
      <c r="U21" s="118"/>
      <c r="V21" s="118"/>
      <c r="W21" s="193"/>
      <c r="X21" s="193"/>
      <c r="Y21" s="193"/>
      <c r="Z21" s="193"/>
      <c r="AA21" s="193"/>
      <c r="AB21" s="557"/>
      <c r="AC21" s="557"/>
      <c r="AD21" s="557"/>
      <c r="AE21" s="557"/>
      <c r="AF21" s="580"/>
      <c r="AG21" s="580"/>
      <c r="AH21" s="557"/>
      <c r="AI21" s="557"/>
      <c r="AJ21" s="557"/>
      <c r="AK21" s="557"/>
      <c r="AL21" s="557"/>
      <c r="AM21" s="557"/>
      <c r="AN21" s="557"/>
      <c r="AO21" s="557"/>
      <c r="AP21" s="557"/>
      <c r="AQ21" s="557"/>
      <c r="AR21" s="557"/>
      <c r="AS21" s="557"/>
      <c r="AT21" s="557"/>
      <c r="AU21" s="557"/>
      <c r="AV21" s="496"/>
      <c r="AW21" s="572"/>
      <c r="AX21" s="559"/>
      <c r="AY21" s="559"/>
      <c r="AZ21" s="560"/>
      <c r="BA21" s="561"/>
      <c r="BB21" s="272"/>
      <c r="BC21" s="89"/>
      <c r="BE21" s="182"/>
      <c r="BN21" s="534"/>
      <c r="BO21" s="575"/>
      <c r="BP21" s="610" t="s">
        <v>907</v>
      </c>
      <c r="BQ21" s="611" t="s">
        <v>908</v>
      </c>
      <c r="BR21" s="575"/>
      <c r="BS21" s="575"/>
      <c r="BT21" s="575"/>
      <c r="BU21" s="595"/>
      <c r="BV21" s="593"/>
      <c r="BW21" s="593"/>
      <c r="BX21" s="539"/>
    </row>
    <row r="22" spans="1:78" ht="12.95" customHeight="1">
      <c r="A22" s="89"/>
      <c r="B22" s="487"/>
      <c r="C22" s="118"/>
      <c r="D22" s="118"/>
      <c r="E22" s="710"/>
      <c r="F22" s="118"/>
      <c r="G22" s="118"/>
      <c r="H22" s="118"/>
      <c r="I22" s="118"/>
      <c r="J22" s="118"/>
      <c r="K22" s="118"/>
      <c r="L22" s="118"/>
      <c r="M22" s="118"/>
      <c r="N22" s="118"/>
      <c r="O22" s="118"/>
      <c r="P22" s="118"/>
      <c r="Q22" s="118"/>
      <c r="R22" s="118"/>
      <c r="S22" s="118"/>
      <c r="T22" s="118"/>
      <c r="U22" s="118"/>
      <c r="V22" s="118"/>
      <c r="W22" s="193"/>
      <c r="X22" s="193"/>
      <c r="Y22" s="193"/>
      <c r="Z22" s="193"/>
      <c r="AA22" s="193"/>
      <c r="AB22" s="557"/>
      <c r="AC22" s="557"/>
      <c r="AD22" s="557"/>
      <c r="AE22" s="557"/>
      <c r="AF22" s="580"/>
      <c r="AG22" s="580"/>
      <c r="AH22" s="581"/>
      <c r="AI22" s="581"/>
      <c r="AJ22" s="572"/>
      <c r="AK22" s="557"/>
      <c r="AL22" s="557"/>
      <c r="AM22" s="557"/>
      <c r="AN22" s="557"/>
      <c r="AO22" s="557"/>
      <c r="AP22" s="557"/>
      <c r="AQ22" s="557"/>
      <c r="AR22" s="557"/>
      <c r="AS22" s="557"/>
      <c r="AT22" s="557"/>
      <c r="AU22" s="557"/>
      <c r="AV22" s="557"/>
      <c r="AW22" s="572"/>
      <c r="AX22" s="193"/>
      <c r="AY22" s="193"/>
      <c r="AZ22" s="193"/>
      <c r="BA22" s="193"/>
      <c r="BB22" s="266"/>
      <c r="BC22" s="89"/>
      <c r="BN22" s="534"/>
      <c r="BO22" s="589" t="s">
        <v>919</v>
      </c>
      <c r="BP22" s="589"/>
      <c r="BQ22" s="589"/>
      <c r="BR22" s="578" t="s">
        <v>914</v>
      </c>
      <c r="BS22" s="605">
        <f>IF($BO$2&gt;0,"",IFERROR(N49/Worksheet!H62,""))</f>
        <v>19.280015488368424</v>
      </c>
      <c r="BT22" s="575"/>
      <c r="BU22" s="663" t="s">
        <v>908</v>
      </c>
      <c r="BV22" s="593"/>
      <c r="BW22" s="593"/>
      <c r="BX22" s="539"/>
    </row>
    <row r="23" spans="1:78" ht="12.95" customHeight="1">
      <c r="A23" s="89"/>
      <c r="B23" s="487"/>
      <c r="C23" s="118"/>
      <c r="D23" s="118"/>
      <c r="E23" s="710"/>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499"/>
      <c r="AG23" s="499"/>
      <c r="AH23" s="554"/>
      <c r="AI23" s="554"/>
      <c r="AJ23" s="559"/>
      <c r="AK23" s="193"/>
      <c r="AL23" s="193"/>
      <c r="AM23" s="193"/>
      <c r="AN23" s="193"/>
      <c r="AO23" s="193"/>
      <c r="AP23" s="193"/>
      <c r="AQ23" s="193"/>
      <c r="AR23" s="193"/>
      <c r="AS23" s="193"/>
      <c r="AT23" s="193"/>
      <c r="AU23" s="557"/>
      <c r="AV23" s="193"/>
      <c r="AW23" s="193"/>
      <c r="AX23" s="193"/>
      <c r="AY23" s="193"/>
      <c r="AZ23" s="193"/>
      <c r="BA23" s="193"/>
      <c r="BB23" s="266"/>
      <c r="BC23" s="89"/>
      <c r="BN23" s="608" t="s">
        <v>916</v>
      </c>
      <c r="BO23" s="590" t="s">
        <v>917</v>
      </c>
      <c r="BP23" s="592">
        <f>SUM(BP24:BP27)</f>
        <v>24.233075430263664</v>
      </c>
      <c r="BQ23" s="757">
        <f>IF($BD$7="ML/Yr",BW23,BU23)</f>
        <v>0.26714599111167436</v>
      </c>
      <c r="BR23" s="578" t="s">
        <v>918</v>
      </c>
      <c r="BS23" s="613">
        <f>IF(BS22="","",IF(BS22&lt;BQ23,0,IF(BS22&gt;BQ27,BQ27,BS22)))</f>
        <v>19.280015488368424</v>
      </c>
      <c r="BT23" s="590" t="s">
        <v>917</v>
      </c>
      <c r="BU23" s="604">
        <v>0.26714599111167436</v>
      </c>
      <c r="BV23" s="593"/>
      <c r="BW23" s="761">
        <f>IF($Z$6="",BU23/0.737,BU23/$Z$6)</f>
        <v>0.36247759988015515</v>
      </c>
      <c r="BX23" s="539"/>
    </row>
    <row r="24" spans="1:78" ht="12.95" customHeight="1">
      <c r="A24" s="89"/>
      <c r="B24" s="487"/>
      <c r="C24" s="118"/>
      <c r="D24" s="118"/>
      <c r="E24" s="710"/>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499"/>
      <c r="AG24" s="499"/>
      <c r="AH24" s="554"/>
      <c r="AI24" s="554"/>
      <c r="AJ24" s="559"/>
      <c r="AK24" s="193"/>
      <c r="AL24" s="193"/>
      <c r="AM24" s="193"/>
      <c r="AN24" s="193"/>
      <c r="AO24" s="193"/>
      <c r="AP24" s="193"/>
      <c r="AQ24" s="193"/>
      <c r="AR24" s="193"/>
      <c r="AS24" s="193"/>
      <c r="AT24" s="193"/>
      <c r="AU24" s="557"/>
      <c r="AV24" s="193"/>
      <c r="AW24" s="559"/>
      <c r="AX24" s="193"/>
      <c r="AY24" s="193"/>
      <c r="AZ24" s="193"/>
      <c r="BA24" s="193"/>
      <c r="BB24" s="266"/>
      <c r="BC24" s="89"/>
      <c r="BN24" s="534"/>
      <c r="BO24" s="590" t="s">
        <v>923</v>
      </c>
      <c r="BP24" s="592">
        <f>BQ24</f>
        <v>0.87495347188920114</v>
      </c>
      <c r="BQ24" s="757">
        <f t="shared" ref="BQ24:BQ27" si="1">IF($BD$7="ML/Yr",BW24,BU24)</f>
        <v>0.87495347188920114</v>
      </c>
      <c r="BR24" s="590" t="s">
        <v>924</v>
      </c>
      <c r="BS24" s="594">
        <f>SUM(BP23:BP27)/125</f>
        <v>0.38772920688421864</v>
      </c>
      <c r="BT24" s="590" t="s">
        <v>923</v>
      </c>
      <c r="BU24" s="604">
        <v>0.87495347188920114</v>
      </c>
      <c r="BV24" s="593"/>
      <c r="BW24" s="761">
        <f>IF($Z$6="",BU24/0.737,BU24/$Z$6)</f>
        <v>1.1871824584656732</v>
      </c>
      <c r="BX24" s="50" t="s">
        <v>925</v>
      </c>
    </row>
    <row r="25" spans="1:78" ht="12.95" customHeight="1">
      <c r="A25" s="89"/>
      <c r="B25" s="487"/>
      <c r="C25" s="118"/>
      <c r="D25" s="118"/>
      <c r="E25" s="710"/>
      <c r="F25" s="118"/>
      <c r="G25" s="118"/>
      <c r="H25" s="118"/>
      <c r="I25" s="118"/>
      <c r="J25" s="118"/>
      <c r="K25" s="118"/>
      <c r="L25" s="118"/>
      <c r="M25" s="118"/>
      <c r="N25" s="118"/>
      <c r="O25" s="118"/>
      <c r="P25" s="118"/>
      <c r="Q25" s="118"/>
      <c r="R25" s="118"/>
      <c r="S25" s="118"/>
      <c r="T25" s="118"/>
      <c r="U25" s="118"/>
      <c r="V25" s="118"/>
      <c r="W25" s="193"/>
      <c r="X25" s="193"/>
      <c r="Y25" s="193"/>
      <c r="Z25" s="193"/>
      <c r="AA25" s="193"/>
      <c r="AB25" s="1053" t="str">
        <f>IF(BS36&lt;0,"negative result check inputs",IF($BS$37=0,"result is below 10th %ile",IF($BS$36&gt;$BS$37,"result is above 90th %ile","")))</f>
        <v/>
      </c>
      <c r="AC25" s="1053"/>
      <c r="AD25" s="1053"/>
      <c r="AE25" s="1053"/>
      <c r="AF25" s="499"/>
      <c r="AG25" s="499"/>
      <c r="AH25" s="554"/>
      <c r="AI25" s="554"/>
      <c r="AJ25" s="559"/>
      <c r="AK25" s="193"/>
      <c r="AL25" s="1053" t="str">
        <f>IF(BS43&lt;0,"negative result check inputs",IF($BS$44=0,"result is below 10th %ile",IF($BS$43&gt;$BS$44,"result is above 90th %ile","")))</f>
        <v/>
      </c>
      <c r="AM25" s="1053"/>
      <c r="AN25" s="1053"/>
      <c r="AO25" s="1053"/>
      <c r="AP25" s="193"/>
      <c r="AQ25" s="193"/>
      <c r="AR25" s="193"/>
      <c r="AS25" s="193"/>
      <c r="AT25" s="193"/>
      <c r="AU25" s="557"/>
      <c r="AV25" s="1053" t="str">
        <f>IF(BS55&lt;0,"negative result check inputs",IF($BS$56=0,"result is below 10th %ile",IF($BS$55&gt;$BS$56,"result is above 90th %ile","")))</f>
        <v/>
      </c>
      <c r="AW25" s="1053"/>
      <c r="AX25" s="1053"/>
      <c r="AY25" s="1053"/>
      <c r="AZ25" s="193"/>
      <c r="BA25" s="193"/>
      <c r="BB25" s="266"/>
      <c r="BC25" s="89"/>
      <c r="BN25" s="534"/>
      <c r="BO25" s="590" t="s">
        <v>926</v>
      </c>
      <c r="BP25" s="592">
        <f>BQ25-BQ24</f>
        <v>5.2798362211473915</v>
      </c>
      <c r="BQ25" s="757">
        <f t="shared" si="1"/>
        <v>6.1547896930365926</v>
      </c>
      <c r="BR25" s="590" t="s">
        <v>898</v>
      </c>
      <c r="BS25" s="594">
        <f>SUM(BP23:BP27)-SUM(BS23,BS24)</f>
        <v>28.798406165274685</v>
      </c>
      <c r="BT25" s="590" t="s">
        <v>926</v>
      </c>
      <c r="BU25" s="604">
        <v>6.1547896930365926</v>
      </c>
      <c r="BV25" s="593"/>
      <c r="BW25" s="761">
        <f>IF($Z$6="",BU25/0.737,BU25/$Z$6)</f>
        <v>8.3511393392626765</v>
      </c>
      <c r="BX25" s="50" t="s">
        <v>927</v>
      </c>
    </row>
    <row r="26" spans="1:78" ht="12.95" customHeight="1">
      <c r="A26" s="89"/>
      <c r="B26" s="487"/>
      <c r="C26" s="118"/>
      <c r="D26" s="118"/>
      <c r="E26" s="710"/>
      <c r="F26" s="118"/>
      <c r="G26" s="118"/>
      <c r="H26" s="118"/>
      <c r="I26" s="118"/>
      <c r="J26" s="118"/>
      <c r="K26" s="118"/>
      <c r="L26" s="118"/>
      <c r="M26" s="118"/>
      <c r="N26" s="118"/>
      <c r="O26" s="118"/>
      <c r="P26" s="118"/>
      <c r="Q26" s="118"/>
      <c r="R26" s="118"/>
      <c r="S26" s="118"/>
      <c r="T26" s="118"/>
      <c r="U26" s="118"/>
      <c r="V26" s="118"/>
      <c r="W26" s="193"/>
      <c r="X26" s="193"/>
      <c r="Y26" s="193"/>
      <c r="Z26" s="193"/>
      <c r="AA26" s="193"/>
      <c r="AB26" s="1053"/>
      <c r="AC26" s="1053"/>
      <c r="AD26" s="1053"/>
      <c r="AE26" s="1053"/>
      <c r="AF26" s="499"/>
      <c r="AG26" s="499"/>
      <c r="AH26" s="554"/>
      <c r="AI26" s="554"/>
      <c r="AJ26" s="559"/>
      <c r="AK26" s="193"/>
      <c r="AL26" s="1053"/>
      <c r="AM26" s="1053"/>
      <c r="AN26" s="1053"/>
      <c r="AO26" s="1053"/>
      <c r="AP26" s="193"/>
      <c r="AQ26" s="193"/>
      <c r="AR26" s="193"/>
      <c r="AS26" s="193"/>
      <c r="AT26" s="193"/>
      <c r="AU26" s="557"/>
      <c r="AV26" s="1053"/>
      <c r="AW26" s="1053"/>
      <c r="AX26" s="1053"/>
      <c r="AY26" s="1053"/>
      <c r="AZ26" s="193"/>
      <c r="BA26" s="193"/>
      <c r="BB26" s="266"/>
      <c r="BC26" s="89"/>
      <c r="BN26" s="534"/>
      <c r="BO26" s="590" t="s">
        <v>929</v>
      </c>
      <c r="BP26" s="592">
        <f>BQ26-BQ25</f>
        <v>7.97433526183511</v>
      </c>
      <c r="BQ26" s="757">
        <f t="shared" si="1"/>
        <v>14.129124954871703</v>
      </c>
      <c r="BR26" s="590"/>
      <c r="BS26" s="590"/>
      <c r="BT26" s="590" t="s">
        <v>929</v>
      </c>
      <c r="BU26" s="604">
        <v>14.129124954871703</v>
      </c>
      <c r="BV26" s="593"/>
      <c r="BW26" s="761">
        <f>IF($Z$6="",BU26/0.737,BU26/$Z$6)</f>
        <v>19.17113291027368</v>
      </c>
    </row>
    <row r="27" spans="1:78" ht="12.95" customHeight="1">
      <c r="A27" s="89"/>
      <c r="B27" s="487"/>
      <c r="C27" s="118"/>
      <c r="D27" s="118"/>
      <c r="E27" s="710"/>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499"/>
      <c r="AG27" s="499"/>
      <c r="AH27" s="554"/>
      <c r="AI27" s="554"/>
      <c r="AJ27" s="559"/>
      <c r="AK27" s="193"/>
      <c r="AL27" s="193"/>
      <c r="AM27" s="193"/>
      <c r="AN27" s="193"/>
      <c r="AO27" s="193"/>
      <c r="AP27" s="193"/>
      <c r="AQ27" s="193"/>
      <c r="AR27" s="193"/>
      <c r="AS27" s="193"/>
      <c r="AT27" s="193"/>
      <c r="AU27" s="557"/>
      <c r="AV27" s="193"/>
      <c r="AW27" s="559"/>
      <c r="AX27" s="193"/>
      <c r="AY27" s="193"/>
      <c r="AZ27" s="193"/>
      <c r="BA27" s="193"/>
      <c r="BB27" s="266"/>
      <c r="BC27" s="89"/>
      <c r="BD27" s="735">
        <f>'M36 Refs'!AN118</f>
        <v>0</v>
      </c>
      <c r="BE27" s="174" t="s">
        <v>932</v>
      </c>
      <c r="BN27" s="534"/>
      <c r="BO27" s="590" t="s">
        <v>930</v>
      </c>
      <c r="BP27" s="592">
        <f>BQ27-BQ26</f>
        <v>10.103950475391962</v>
      </c>
      <c r="BQ27" s="757">
        <f t="shared" si="1"/>
        <v>24.233075430263664</v>
      </c>
      <c r="BR27" s="590"/>
      <c r="BS27" s="590"/>
      <c r="BT27" s="590" t="s">
        <v>930</v>
      </c>
      <c r="BU27" s="604">
        <v>24.233075430263664</v>
      </c>
      <c r="BV27" s="593"/>
      <c r="BW27" s="761">
        <f>IF($Z$6="",BU27/0.737,BU27/$Z$6)</f>
        <v>32.880699362637266</v>
      </c>
      <c r="BX27" s="612" t="s">
        <v>931</v>
      </c>
    </row>
    <row r="28" spans="1:78" ht="12.95" customHeight="1">
      <c r="A28" s="89"/>
      <c r="B28" s="487"/>
      <c r="C28" s="118"/>
      <c r="D28" s="118"/>
      <c r="E28" s="710"/>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5" t="s">
        <v>933</v>
      </c>
      <c r="AD28" s="657"/>
      <c r="AE28" s="658"/>
      <c r="AF28" s="658"/>
      <c r="AG28" s="657"/>
      <c r="AH28" s="657"/>
      <c r="AI28" s="657"/>
      <c r="AJ28" s="657"/>
      <c r="AK28" s="657"/>
      <c r="AL28" s="657"/>
      <c r="AM28" s="655" t="s">
        <v>934</v>
      </c>
      <c r="AN28" s="658"/>
      <c r="AO28" s="658"/>
      <c r="AP28" s="658"/>
      <c r="AQ28" s="658"/>
      <c r="AR28" s="658"/>
      <c r="AS28" s="658"/>
      <c r="AT28" s="658"/>
      <c r="AU28" s="658"/>
      <c r="AV28" s="659"/>
      <c r="AW28" s="655" t="s">
        <v>935</v>
      </c>
      <c r="AX28" s="193"/>
      <c r="AY28" s="193"/>
      <c r="AZ28" s="193"/>
      <c r="BA28" s="193"/>
      <c r="BB28" s="266"/>
      <c r="BC28" s="89"/>
      <c r="BD28" s="50">
        <f>IF(ISBLANK('Start Page'!$AB$22),0,1)</f>
        <v>1</v>
      </c>
      <c r="BE28" s="174" t="s">
        <v>936</v>
      </c>
      <c r="BN28" s="534"/>
      <c r="BP28" s="610" t="s">
        <v>907</v>
      </c>
      <c r="BQ28" s="611" t="s">
        <v>908</v>
      </c>
      <c r="BU28" s="50"/>
      <c r="BV28" s="593"/>
      <c r="BW28" s="593"/>
      <c r="BX28" s="539"/>
    </row>
    <row r="29" spans="1:78" ht="12.95" customHeight="1">
      <c r="A29" s="89"/>
      <c r="B29" s="487"/>
      <c r="C29" s="118"/>
      <c r="D29" s="118"/>
      <c r="E29" s="710"/>
      <c r="F29" s="118"/>
      <c r="G29" s="118"/>
      <c r="H29" s="118"/>
      <c r="I29" s="118"/>
      <c r="J29" s="118"/>
      <c r="K29" s="118"/>
      <c r="L29" s="118"/>
      <c r="M29" s="118"/>
      <c r="N29" s="118"/>
      <c r="O29" s="118"/>
      <c r="P29" s="118"/>
      <c r="Q29" s="118"/>
      <c r="R29" s="118"/>
      <c r="S29" s="118"/>
      <c r="T29" s="118"/>
      <c r="U29" s="118"/>
      <c r="V29" s="118"/>
      <c r="W29" s="193"/>
      <c r="X29" s="193"/>
      <c r="Y29" s="193"/>
      <c r="Z29" s="193"/>
      <c r="AA29" s="1062">
        <f>BS36</f>
        <v>73.984365739700294</v>
      </c>
      <c r="AB29" s="1062"/>
      <c r="AC29" s="1062"/>
      <c r="AD29" s="728" t="str">
        <f>BD10</f>
        <v>gal/conn/day</v>
      </c>
      <c r="AE29" s="728"/>
      <c r="AF29" s="733"/>
      <c r="AG29" s="733"/>
      <c r="AH29" s="574"/>
      <c r="AI29" s="574"/>
      <c r="AJ29" s="574"/>
      <c r="AK29" s="1062">
        <f>BS43</f>
        <v>4.5791523068244082</v>
      </c>
      <c r="AL29" s="1062"/>
      <c r="AM29" s="1062"/>
      <c r="AN29" s="729" t="str">
        <f>BD10</f>
        <v>gal/conn/day</v>
      </c>
      <c r="AO29" s="574"/>
      <c r="AP29" s="574"/>
      <c r="AQ29" s="574"/>
      <c r="AR29" s="574"/>
      <c r="AS29" s="574"/>
      <c r="AT29" s="574"/>
      <c r="AU29" s="1057">
        <f>BS55</f>
        <v>69.405213432875883</v>
      </c>
      <c r="AV29" s="1057"/>
      <c r="AW29" s="1057"/>
      <c r="AX29" s="729" t="str">
        <f>BD10</f>
        <v>gal/conn/day</v>
      </c>
      <c r="AY29" s="574"/>
      <c r="AZ29" s="193"/>
      <c r="BA29" s="193"/>
      <c r="BB29" s="266"/>
      <c r="BC29" s="89"/>
      <c r="BD29" s="736" t="b">
        <f>IF('Interactive Data Grading'!D465=VPC!C28,TRUE,FALSE)</f>
        <v>0</v>
      </c>
      <c r="BE29" s="50" t="s">
        <v>937</v>
      </c>
      <c r="BO29" s="589" t="s">
        <v>920</v>
      </c>
      <c r="BP29" s="589"/>
      <c r="BQ29" s="589"/>
      <c r="BR29" s="578" t="s">
        <v>914</v>
      </c>
      <c r="BS29" s="605">
        <f>IF($BO$2&gt;0,"",IFERROR(N50/Worksheet!H62,""))</f>
        <v>22.307140980265412</v>
      </c>
      <c r="BT29" s="575"/>
      <c r="BU29" s="663" t="s">
        <v>908</v>
      </c>
      <c r="BV29" s="593"/>
      <c r="BW29" s="593"/>
      <c r="BX29" s="539"/>
    </row>
    <row r="30" spans="1:78" ht="12.95" customHeight="1">
      <c r="A30" s="89"/>
      <c r="B30" s="487"/>
      <c r="C30" s="118"/>
      <c r="D30" s="118"/>
      <c r="E30" s="710"/>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499"/>
      <c r="AG30" s="499"/>
      <c r="AH30" s="554"/>
      <c r="AI30" s="554"/>
      <c r="AJ30" s="559"/>
      <c r="AK30" s="193"/>
      <c r="AL30" s="193"/>
      <c r="AM30" s="50"/>
      <c r="AN30" s="193"/>
      <c r="AO30" s="193"/>
      <c r="AP30" s="193"/>
      <c r="AQ30" s="193"/>
      <c r="AR30" s="193"/>
      <c r="AS30" s="193"/>
      <c r="AT30" s="193"/>
      <c r="AU30" s="557"/>
      <c r="AV30" s="555"/>
      <c r="AW30" s="50"/>
      <c r="AX30" s="50"/>
      <c r="AY30" s="193"/>
      <c r="AZ30" s="193"/>
      <c r="BA30" s="193"/>
      <c r="BB30" s="266"/>
      <c r="BC30" s="89"/>
      <c r="BE30" s="50" t="s">
        <v>938</v>
      </c>
      <c r="BN30" s="608" t="s">
        <v>916</v>
      </c>
      <c r="BO30" s="590" t="s">
        <v>917</v>
      </c>
      <c r="BP30" s="592">
        <f>SUM(BP31:BP34)</f>
        <v>35.54734395994759</v>
      </c>
      <c r="BQ30" s="757">
        <f>IF($BD$7="ML/Yr",BW30,BU30)</f>
        <v>1.9039650877460725</v>
      </c>
      <c r="BR30" s="578" t="s">
        <v>918</v>
      </c>
      <c r="BS30" s="613">
        <f>IF(BS29="","",IF(BS29&lt;BQ30,0,IF(BS29&gt;BQ34,BQ34,BS29)))</f>
        <v>22.307140980265412</v>
      </c>
      <c r="BT30" s="590" t="s">
        <v>917</v>
      </c>
      <c r="BU30" s="604">
        <v>1.9039650877460725</v>
      </c>
      <c r="BV30" s="593"/>
      <c r="BW30" s="761">
        <f>IF($Z$6="",BU30/0.737,BU30/$Z$6)</f>
        <v>2.5833990335767605</v>
      </c>
      <c r="BX30" s="539"/>
    </row>
    <row r="31" spans="1:78" ht="12.95" customHeight="1">
      <c r="A31" s="89"/>
      <c r="B31" s="487"/>
      <c r="C31" s="118"/>
      <c r="D31" s="118"/>
      <c r="E31" s="710"/>
      <c r="F31" s="118"/>
      <c r="G31" s="118"/>
      <c r="H31" s="118"/>
      <c r="I31" s="118"/>
      <c r="J31" s="118"/>
      <c r="K31" s="118"/>
      <c r="L31" s="118"/>
      <c r="M31" s="118"/>
      <c r="N31" s="118"/>
      <c r="O31" s="118"/>
      <c r="P31" s="118"/>
      <c r="Q31" s="118"/>
      <c r="R31" s="118"/>
      <c r="S31" s="118"/>
      <c r="T31" s="118"/>
      <c r="U31" s="118"/>
      <c r="V31" s="118"/>
      <c r="W31" s="193"/>
      <c r="X31" s="768" t="s">
        <v>429</v>
      </c>
      <c r="Y31" s="50"/>
      <c r="Z31" s="193"/>
      <c r="AA31" s="193"/>
      <c r="AB31" s="50"/>
      <c r="AC31" s="50"/>
      <c r="AD31" s="193"/>
      <c r="AE31" s="193"/>
      <c r="AF31" s="193"/>
      <c r="AG31" s="193"/>
      <c r="AH31" s="499"/>
      <c r="AI31" s="499"/>
      <c r="AJ31" s="554"/>
      <c r="AK31" s="554"/>
      <c r="AL31" s="559"/>
      <c r="AM31" s="193"/>
      <c r="AN31" s="193"/>
      <c r="AO31" s="193"/>
      <c r="AP31" s="193"/>
      <c r="AQ31" s="193"/>
      <c r="AR31" s="193"/>
      <c r="AS31" s="193"/>
      <c r="AT31" s="193"/>
      <c r="AU31" s="193"/>
      <c r="AV31" s="193"/>
      <c r="AW31" s="557"/>
      <c r="AX31" s="193"/>
      <c r="AY31" s="193"/>
      <c r="AZ31" s="193"/>
      <c r="BA31" s="193"/>
      <c r="BB31" s="266"/>
      <c r="BC31" s="89"/>
      <c r="BE31" s="175" t="s">
        <v>939</v>
      </c>
      <c r="BN31" s="534"/>
      <c r="BO31" s="590" t="s">
        <v>923</v>
      </c>
      <c r="BP31" s="592">
        <f>BQ31</f>
        <v>3.7255465834551216</v>
      </c>
      <c r="BQ31" s="757">
        <f t="shared" ref="BQ31:BQ34" si="2">IF($BD$7="ML/Yr",BW31,BU31)</f>
        <v>3.7255465834551216</v>
      </c>
      <c r="BR31" s="590" t="s">
        <v>924</v>
      </c>
      <c r="BS31" s="594">
        <f>SUM(BP30:BP34)/125</f>
        <v>0.56875750335916142</v>
      </c>
      <c r="BT31" s="590" t="s">
        <v>923</v>
      </c>
      <c r="BU31" s="604">
        <v>3.7255465834551216</v>
      </c>
      <c r="BV31" s="593"/>
      <c r="BW31" s="761">
        <f>IF($Z$6="",BU31/0.737,BU31/$Z$6)</f>
        <v>5.0550157170354435</v>
      </c>
      <c r="BX31" s="50" t="s">
        <v>925</v>
      </c>
    </row>
    <row r="32" spans="1:78" ht="12.95" customHeight="1">
      <c r="A32" s="89"/>
      <c r="B32" s="487"/>
      <c r="C32" s="118"/>
      <c r="D32" s="118"/>
      <c r="E32" s="710"/>
      <c r="F32" s="118"/>
      <c r="G32" s="118"/>
      <c r="H32" s="118"/>
      <c r="I32" s="118"/>
      <c r="J32" s="118"/>
      <c r="K32" s="118"/>
      <c r="L32" s="118"/>
      <c r="M32" s="118"/>
      <c r="N32" s="118"/>
      <c r="O32" s="118"/>
      <c r="P32" s="118"/>
      <c r="Q32" s="118"/>
      <c r="R32" s="118"/>
      <c r="S32" s="118"/>
      <c r="T32" s="118"/>
      <c r="U32" s="118"/>
      <c r="V32" s="118"/>
      <c r="W32" s="193"/>
      <c r="X32" s="1058">
        <f>IF(input_AOP="","",input_AOP)</f>
        <v>80.540000000000006</v>
      </c>
      <c r="Y32" s="1058"/>
      <c r="Z32" s="777" t="str">
        <f>Worksheet!J68</f>
        <v>psi</v>
      </c>
      <c r="AA32" s="50"/>
      <c r="AB32" s="50"/>
      <c r="AC32" s="810"/>
      <c r="AD32" s="810"/>
      <c r="AE32" s="810"/>
      <c r="AF32" s="193"/>
      <c r="AG32" s="193"/>
      <c r="AH32" s="499"/>
      <c r="AI32" s="499"/>
      <c r="AJ32" s="554"/>
      <c r="AK32" s="554"/>
      <c r="AL32" s="559"/>
      <c r="AM32" s="193"/>
      <c r="AN32" s="193"/>
      <c r="AO32" s="193"/>
      <c r="AP32" s="193"/>
      <c r="AQ32" s="193"/>
      <c r="AR32" s="193"/>
      <c r="AS32" s="193"/>
      <c r="AT32" s="193"/>
      <c r="AU32" s="193"/>
      <c r="AV32" s="193"/>
      <c r="AW32" s="557"/>
      <c r="AX32" s="562" t="str">
        <f>IF(LEN(Worksheet!C70)&gt;0,"Pressure too low to calculate UARL","")</f>
        <v/>
      </c>
      <c r="AY32" s="193"/>
      <c r="AZ32" s="193"/>
      <c r="BA32" s="193"/>
      <c r="BB32" s="266"/>
      <c r="BC32" s="89"/>
      <c r="BN32" s="534"/>
      <c r="BO32" s="590" t="s">
        <v>926</v>
      </c>
      <c r="BP32" s="592">
        <f>BQ32-BQ31</f>
        <v>4.2242209408171547</v>
      </c>
      <c r="BQ32" s="757">
        <f t="shared" si="2"/>
        <v>7.9497675242722758</v>
      </c>
      <c r="BR32" s="590" t="s">
        <v>898</v>
      </c>
      <c r="BS32" s="594">
        <f>SUM(BP30:BP34)-SUM(BS30,BS31)</f>
        <v>48.218789436270605</v>
      </c>
      <c r="BT32" s="590" t="s">
        <v>926</v>
      </c>
      <c r="BU32" s="604">
        <v>7.9497675242722758</v>
      </c>
      <c r="BV32" s="593"/>
      <c r="BW32" s="761">
        <f>IF($Z$6="",BU32/0.737,BU32/$Z$6)</f>
        <v>10.786658784629953</v>
      </c>
      <c r="BX32" s="50" t="s">
        <v>927</v>
      </c>
    </row>
    <row r="33" spans="1:78" ht="12.95" customHeight="1">
      <c r="A33" s="89"/>
      <c r="B33" s="487"/>
      <c r="C33" s="118"/>
      <c r="D33" s="118"/>
      <c r="E33" s="710"/>
      <c r="F33" s="118"/>
      <c r="G33" s="118"/>
      <c r="H33" s="118"/>
      <c r="I33" s="118"/>
      <c r="J33" s="118"/>
      <c r="K33" s="118"/>
      <c r="L33" s="118"/>
      <c r="M33" s="118"/>
      <c r="N33" s="118"/>
      <c r="O33" s="118"/>
      <c r="P33" s="118"/>
      <c r="Q33" s="118"/>
      <c r="R33" s="118"/>
      <c r="S33" s="118"/>
      <c r="T33" s="118"/>
      <c r="U33" s="118"/>
      <c r="V33" s="118"/>
      <c r="W33" s="193"/>
      <c r="X33" s="193"/>
      <c r="Y33" s="193"/>
      <c r="Z33" s="193"/>
      <c r="AA33" s="50"/>
      <c r="AB33" s="1059" t="str">
        <f>IF(BQ83=0,"",IF(BQ83&lt;BQ78,"AOP is below 10th %ile",IF(BQ83&gt;BQ82,"AOP is above 90th %ile","")))</f>
        <v/>
      </c>
      <c r="AC33" s="1059"/>
      <c r="AD33" s="1059"/>
      <c r="AE33" s="810"/>
      <c r="AF33" s="193"/>
      <c r="AG33" s="193"/>
      <c r="AH33" s="499"/>
      <c r="AI33" s="499"/>
      <c r="AJ33" s="554"/>
      <c r="AK33" s="554"/>
      <c r="AL33" s="559"/>
      <c r="AM33" s="193"/>
      <c r="AN33" s="193"/>
      <c r="AO33" s="193"/>
      <c r="AP33" s="193"/>
      <c r="AQ33" s="193"/>
      <c r="AR33" s="193"/>
      <c r="AS33" s="193"/>
      <c r="AT33" s="193"/>
      <c r="AU33" s="193"/>
      <c r="AV33" s="193"/>
      <c r="AW33" s="557"/>
      <c r="AX33" s="562"/>
      <c r="AY33" s="193"/>
      <c r="AZ33" s="193"/>
      <c r="BA33" s="193"/>
      <c r="BB33" s="266"/>
      <c r="BC33" s="89"/>
      <c r="BD33" s="176"/>
      <c r="BF33" s="177"/>
      <c r="BN33" s="534"/>
      <c r="BO33" s="590" t="s">
        <v>929</v>
      </c>
      <c r="BP33" s="592">
        <f>BQ33-BQ32</f>
        <v>8.3367570590545697</v>
      </c>
      <c r="BQ33" s="757">
        <f t="shared" si="2"/>
        <v>16.286524583326845</v>
      </c>
      <c r="BR33" s="590"/>
      <c r="BS33" s="590"/>
      <c r="BT33" s="590" t="s">
        <v>929</v>
      </c>
      <c r="BU33" s="604">
        <v>16.286524583326845</v>
      </c>
      <c r="BV33" s="593"/>
      <c r="BW33" s="761">
        <f>IF($Z$6="",BU33/0.737,BU33/$Z$6)</f>
        <v>22.098405133414985</v>
      </c>
    </row>
    <row r="34" spans="1:78" ht="12.95" customHeight="1">
      <c r="A34" s="89"/>
      <c r="B34" s="487"/>
      <c r="C34" s="118"/>
      <c r="D34" s="118"/>
      <c r="E34" s="710"/>
      <c r="F34" s="118"/>
      <c r="G34" s="118"/>
      <c r="H34" s="118"/>
      <c r="I34" s="118"/>
      <c r="J34" s="118"/>
      <c r="K34" s="118"/>
      <c r="L34" s="118"/>
      <c r="M34" s="118"/>
      <c r="N34" s="118"/>
      <c r="O34" s="118"/>
      <c r="P34" s="118"/>
      <c r="Q34" s="118"/>
      <c r="R34" s="118"/>
      <c r="S34" s="118"/>
      <c r="T34" s="118"/>
      <c r="U34" s="118"/>
      <c r="V34" s="118"/>
      <c r="W34" s="193"/>
      <c r="X34" s="193"/>
      <c r="Y34" s="193"/>
      <c r="Z34" s="193"/>
      <c r="AA34" s="810"/>
      <c r="AB34" s="1059"/>
      <c r="AC34" s="1059"/>
      <c r="AD34" s="1059"/>
      <c r="AE34" s="193"/>
      <c r="AF34" s="193"/>
      <c r="AG34" s="193"/>
      <c r="AH34" s="499"/>
      <c r="AI34" s="499"/>
      <c r="AJ34" s="554"/>
      <c r="AK34" s="554"/>
      <c r="AL34" s="559"/>
      <c r="AM34" s="193"/>
      <c r="AN34" s="193"/>
      <c r="AO34" s="193"/>
      <c r="AP34" s="193"/>
      <c r="AQ34" s="193"/>
      <c r="AR34" s="193"/>
      <c r="AS34" s="193"/>
      <c r="AT34" s="193"/>
      <c r="AU34" s="193"/>
      <c r="AV34" s="193"/>
      <c r="AW34" s="557"/>
      <c r="AX34" s="557"/>
      <c r="AY34" s="193"/>
      <c r="AZ34" s="193"/>
      <c r="BA34" s="193"/>
      <c r="BB34" s="266"/>
      <c r="BC34" s="89"/>
      <c r="BD34" s="176"/>
      <c r="BN34" s="534"/>
      <c r="BO34" s="590" t="s">
        <v>930</v>
      </c>
      <c r="BP34" s="592">
        <f>BQ34-BQ33</f>
        <v>19.260819376620745</v>
      </c>
      <c r="BQ34" s="757">
        <f t="shared" si="2"/>
        <v>35.54734395994759</v>
      </c>
      <c r="BR34" s="590"/>
      <c r="BS34" s="590"/>
      <c r="BT34" s="590" t="s">
        <v>930</v>
      </c>
      <c r="BU34" s="604">
        <v>35.54734395994759</v>
      </c>
      <c r="BV34" s="593"/>
      <c r="BW34" s="761">
        <f>IF($Z$6="",BU34/0.737,BU34/$Z$6)</f>
        <v>48.232488412411925</v>
      </c>
      <c r="BX34" s="612" t="s">
        <v>931</v>
      </c>
    </row>
    <row r="35" spans="1:78" ht="12.95" customHeight="1">
      <c r="A35" s="89"/>
      <c r="B35" s="487"/>
      <c r="C35" s="118"/>
      <c r="D35" s="118"/>
      <c r="E35" s="710"/>
      <c r="F35" s="118"/>
      <c r="G35" s="118"/>
      <c r="H35" s="118"/>
      <c r="I35" s="118"/>
      <c r="J35" s="118"/>
      <c r="K35" s="118"/>
      <c r="L35" s="118"/>
      <c r="M35" s="118"/>
      <c r="N35" s="118"/>
      <c r="O35" s="118"/>
      <c r="P35" s="118"/>
      <c r="Q35" s="118"/>
      <c r="R35" s="118"/>
      <c r="S35" s="118"/>
      <c r="T35" s="118"/>
      <c r="U35" s="118"/>
      <c r="V35" s="118"/>
      <c r="W35" s="193"/>
      <c r="X35" s="193"/>
      <c r="Y35" s="193"/>
      <c r="Z35" s="193"/>
      <c r="AA35" s="193"/>
      <c r="AB35" s="810"/>
      <c r="AC35" s="810"/>
      <c r="AD35" s="810"/>
      <c r="AE35" s="193"/>
      <c r="AF35" s="193"/>
      <c r="AG35" s="193"/>
      <c r="AH35" s="499"/>
      <c r="AI35" s="499"/>
      <c r="AJ35" s="554"/>
      <c r="AK35" s="554"/>
      <c r="AL35" s="559"/>
      <c r="AM35" s="193"/>
      <c r="AN35" s="193"/>
      <c r="AO35" s="193"/>
      <c r="AP35" s="193"/>
      <c r="AQ35" s="193"/>
      <c r="AR35" s="193"/>
      <c r="AS35" s="193"/>
      <c r="AT35" s="193"/>
      <c r="AU35" s="193"/>
      <c r="AV35" s="193"/>
      <c r="AW35" s="557"/>
      <c r="AX35" s="193"/>
      <c r="AY35" s="193"/>
      <c r="AZ35" s="193"/>
      <c r="BA35" s="193"/>
      <c r="BB35" s="266"/>
      <c r="BC35" s="89"/>
      <c r="BD35" s="178"/>
      <c r="BF35" s="177"/>
      <c r="BO35" s="575"/>
      <c r="BP35" s="610" t="s">
        <v>907</v>
      </c>
      <c r="BQ35" s="611" t="s">
        <v>908</v>
      </c>
      <c r="BR35" s="575"/>
      <c r="BS35" s="575"/>
      <c r="BT35" s="590"/>
      <c r="BU35" s="591"/>
      <c r="BV35" s="593"/>
      <c r="BW35" s="593"/>
      <c r="BX35" s="539"/>
    </row>
    <row r="36" spans="1:78" ht="12.95" customHeight="1">
      <c r="A36" s="89"/>
      <c r="B36" s="487"/>
      <c r="C36" s="118"/>
      <c r="D36" s="118"/>
      <c r="E36" s="710"/>
      <c r="F36" s="118"/>
      <c r="G36" s="118"/>
      <c r="H36" s="118"/>
      <c r="I36" s="118"/>
      <c r="J36" s="118"/>
      <c r="K36" s="118"/>
      <c r="L36" s="118"/>
      <c r="M36" s="118"/>
      <c r="N36" s="118"/>
      <c r="O36" s="118"/>
      <c r="P36" s="118"/>
      <c r="Q36" s="118"/>
      <c r="R36" s="118"/>
      <c r="S36" s="118"/>
      <c r="T36" s="118"/>
      <c r="U36" s="118"/>
      <c r="V36" s="118"/>
      <c r="W36" s="193"/>
      <c r="X36" s="193"/>
      <c r="Y36" s="193"/>
      <c r="Z36" s="193"/>
      <c r="AA36" s="50"/>
      <c r="AB36" s="810"/>
      <c r="AC36" s="810"/>
      <c r="AD36" s="193"/>
      <c r="AE36" s="193"/>
      <c r="AF36" s="193"/>
      <c r="AG36" s="193"/>
      <c r="AH36" s="499"/>
      <c r="AI36" s="50"/>
      <c r="AJ36" s="554"/>
      <c r="AK36" s="554"/>
      <c r="AL36" s="559"/>
      <c r="AM36" s="193"/>
      <c r="AN36" s="193"/>
      <c r="AO36" s="193"/>
      <c r="AP36" s="193"/>
      <c r="AQ36" s="193"/>
      <c r="AR36" s="193"/>
      <c r="AS36" s="193"/>
      <c r="AT36" s="193"/>
      <c r="AU36" s="193"/>
      <c r="AV36" s="193"/>
      <c r="AW36" s="557"/>
      <c r="AX36" s="193"/>
      <c r="AY36" s="193"/>
      <c r="AZ36" s="193"/>
      <c r="BA36" s="193"/>
      <c r="BB36" s="266"/>
      <c r="BC36" s="89"/>
      <c r="BD36" s="178"/>
      <c r="BF36" s="177"/>
      <c r="BO36" s="589" t="s">
        <v>933</v>
      </c>
      <c r="BP36" s="589"/>
      <c r="BQ36" s="589"/>
      <c r="BR36" s="578" t="s">
        <v>914</v>
      </c>
      <c r="BS36" s="606">
        <f>IF($BO$2&gt;0,"",IFERROR((BS55+BS43),""))</f>
        <v>73.984365739700294</v>
      </c>
      <c r="BT36" s="590"/>
      <c r="BU36" s="663" t="s">
        <v>908</v>
      </c>
      <c r="BV36" s="591"/>
      <c r="BW36" s="591"/>
      <c r="BX36" s="539"/>
      <c r="BY36" s="50" t="s">
        <v>940</v>
      </c>
      <c r="BZ36" s="50" t="str">
        <f>IF(OR(Worksheet!S89=0,Worksheet!S89="",BO2&gt;0),"",Worksheet!S89)</f>
        <v/>
      </c>
    </row>
    <row r="37" spans="1:78" ht="12.95" customHeight="1">
      <c r="A37" s="89"/>
      <c r="B37" s="487"/>
      <c r="C37" s="118"/>
      <c r="D37" s="118"/>
      <c r="E37" s="710"/>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0"/>
      <c r="AD37" s="810"/>
      <c r="AE37" s="193"/>
      <c r="AF37" s="193"/>
      <c r="AG37" s="193"/>
      <c r="AH37" s="50"/>
      <c r="AI37" s="1053" t="str">
        <f>IF(BS62&lt;0,"negative result check inputs",IF($BS$63=0,"result is below 10th %ile",IF($BS$62&gt;$BS$63,"result is above 90th %ile","")))</f>
        <v/>
      </c>
      <c r="AJ37" s="1053"/>
      <c r="AK37" s="1053"/>
      <c r="AL37" s="1053"/>
      <c r="AM37" s="193"/>
      <c r="AN37" s="193"/>
      <c r="AO37" s="193"/>
      <c r="AP37" s="193"/>
      <c r="AQ37" s="193"/>
      <c r="AR37" s="193"/>
      <c r="AS37" s="193"/>
      <c r="AT37" s="1053" t="str">
        <f>IF(BS69&lt;0,"negative result check inputs",IF($BS$70=0,"result is below 10th %ile",IF($BS$69&gt;$BS$70,"result is above 90th %ile","")))</f>
        <v/>
      </c>
      <c r="AU37" s="1053"/>
      <c r="AV37" s="1053"/>
      <c r="AW37" s="1053"/>
      <c r="AX37" s="193"/>
      <c r="AY37" s="193"/>
      <c r="AZ37" s="193"/>
      <c r="BA37" s="193"/>
      <c r="BB37" s="266"/>
      <c r="BC37" s="89"/>
      <c r="BD37" s="178"/>
      <c r="BF37" s="177"/>
      <c r="BN37" s="608" t="s">
        <v>916</v>
      </c>
      <c r="BO37" s="590" t="s">
        <v>917</v>
      </c>
      <c r="BP37" s="591">
        <f>SUM(BP38:BP41)</f>
        <v>125.15100211248117</v>
      </c>
      <c r="BQ37" s="612">
        <f>IF($BD$7="ML/Yr",BW37,BU37)</f>
        <v>21.095211492757553</v>
      </c>
      <c r="BR37" s="578" t="s">
        <v>918</v>
      </c>
      <c r="BS37" s="614">
        <f>IF(BS36="","",IF(BS36&lt;BQ37,0,IF(BS36&gt;BQ41,BQ41,BS36)))</f>
        <v>73.984365739700294</v>
      </c>
      <c r="BT37" s="590" t="s">
        <v>917</v>
      </c>
      <c r="BU37" s="602">
        <v>21.095211492757553</v>
      </c>
      <c r="BV37" s="591"/>
      <c r="BW37" s="596">
        <f>BU37*3.78541</f>
        <v>79.854024536799372</v>
      </c>
      <c r="BX37" s="540"/>
      <c r="BY37" s="50" t="s">
        <v>941</v>
      </c>
      <c r="BZ37" s="50" t="str">
        <f>IF(BZ36="","",IF(BZ36&lt;BQ37,0,IF(BZ36&gt;BQ41,BQ41,BZ36)))</f>
        <v/>
      </c>
    </row>
    <row r="38" spans="1:78" ht="12.95" customHeight="1">
      <c r="A38" s="89"/>
      <c r="B38" s="487"/>
      <c r="C38" s="118"/>
      <c r="D38" s="118"/>
      <c r="E38" s="710"/>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0"/>
      <c r="AD38" s="810"/>
      <c r="AE38" s="193"/>
      <c r="AF38" s="193"/>
      <c r="AG38" s="193"/>
      <c r="AH38" s="617"/>
      <c r="AI38" s="1053"/>
      <c r="AJ38" s="1053"/>
      <c r="AK38" s="1053"/>
      <c r="AL38" s="1053"/>
      <c r="AM38" s="193"/>
      <c r="AN38" s="193"/>
      <c r="AO38" s="193"/>
      <c r="AP38" s="193"/>
      <c r="AQ38" s="193"/>
      <c r="AR38" s="193"/>
      <c r="AS38" s="193"/>
      <c r="AT38" s="1053"/>
      <c r="AU38" s="1053"/>
      <c r="AV38" s="1053"/>
      <c r="AW38" s="1053"/>
      <c r="AX38" s="193"/>
      <c r="AY38" s="193"/>
      <c r="AZ38" s="193"/>
      <c r="BA38" s="193"/>
      <c r="BB38" s="266"/>
      <c r="BC38" s="89"/>
      <c r="BD38" s="178"/>
      <c r="BF38" s="177"/>
      <c r="BO38" s="590" t="s">
        <v>923</v>
      </c>
      <c r="BP38" s="587">
        <f>BQ38</f>
        <v>29.480551398162277</v>
      </c>
      <c r="BQ38" s="612">
        <f t="shared" ref="BQ38:BQ41" si="3">IF($BD$7="ML/Yr",BW38,BU38)</f>
        <v>29.480551398162277</v>
      </c>
      <c r="BR38" s="590" t="s">
        <v>924</v>
      </c>
      <c r="BS38" s="594">
        <f>SUM(BP37:BP41)/125</f>
        <v>2.0024160337996988</v>
      </c>
      <c r="BT38" s="590" t="s">
        <v>923</v>
      </c>
      <c r="BU38" s="603">
        <v>29.480551398162277</v>
      </c>
      <c r="BV38" s="591"/>
      <c r="BW38" s="596">
        <f>BU38*3.78541</f>
        <v>111.59597406811747</v>
      </c>
      <c r="BX38" s="50" t="s">
        <v>942</v>
      </c>
      <c r="BY38" s="590" t="s">
        <v>924</v>
      </c>
      <c r="BZ38" s="594" t="str">
        <f>IF(BZ37="","",SUM(BP37:BP41)/250)</f>
        <v/>
      </c>
    </row>
    <row r="39" spans="1:78" ht="12.95" customHeight="1">
      <c r="A39" s="89"/>
      <c r="B39" s="487"/>
      <c r="C39" s="118"/>
      <c r="D39" s="118"/>
      <c r="E39" s="710"/>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499"/>
      <c r="AI39" s="499"/>
      <c r="AJ39" s="554"/>
      <c r="AK39" s="554"/>
      <c r="AL39" s="559"/>
      <c r="AM39" s="193"/>
      <c r="AN39" s="193"/>
      <c r="AO39" s="193"/>
      <c r="AP39" s="193"/>
      <c r="AQ39" s="193"/>
      <c r="AR39" s="193"/>
      <c r="AS39" s="193"/>
      <c r="AT39" s="193"/>
      <c r="AU39" s="193"/>
      <c r="AV39" s="193"/>
      <c r="AW39" s="557"/>
      <c r="AX39" s="193"/>
      <c r="AY39" s="193"/>
      <c r="AZ39" s="193"/>
      <c r="BA39" s="193"/>
      <c r="BB39" s="266"/>
      <c r="BC39" s="89"/>
      <c r="BD39" s="178"/>
      <c r="BF39" s="177"/>
      <c r="BO39" s="590" t="s">
        <v>926</v>
      </c>
      <c r="BP39" s="587">
        <f>BQ39-BQ38</f>
        <v>15.908823434416718</v>
      </c>
      <c r="BQ39" s="612">
        <f t="shared" si="3"/>
        <v>45.389374832578994</v>
      </c>
      <c r="BR39" s="590" t="s">
        <v>898</v>
      </c>
      <c r="BS39" s="594">
        <f>SUM(BP37:BP41)-SUM(BS37,BS38)</f>
        <v>174.31522245146232</v>
      </c>
      <c r="BT39" s="590" t="s">
        <v>926</v>
      </c>
      <c r="BU39" s="603">
        <v>45.389374832578994</v>
      </c>
      <c r="BV39" s="591"/>
      <c r="BW39" s="596">
        <f t="shared" ref="BW39:BW41" si="4">BU39*3.78541</f>
        <v>171.81739338499287</v>
      </c>
      <c r="BX39" s="50" t="s">
        <v>943</v>
      </c>
      <c r="BY39" s="590" t="s">
        <v>898</v>
      </c>
      <c r="BZ39" s="594" t="str">
        <f>IF(BZ38="","",SUM(BP37:BP41)-SUM(BZ37,BZ38))</f>
        <v/>
      </c>
    </row>
    <row r="40" spans="1:78" ht="12.95" customHeight="1">
      <c r="A40" s="89"/>
      <c r="B40" s="487"/>
      <c r="C40" s="50"/>
      <c r="D40" s="193"/>
      <c r="E40" s="710"/>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5" t="s">
        <v>944</v>
      </c>
      <c r="AK40" s="577"/>
      <c r="AL40" s="579"/>
      <c r="AM40" s="576"/>
      <c r="AN40" s="576"/>
      <c r="AO40" s="576"/>
      <c r="AP40" s="576"/>
      <c r="AQ40" s="576"/>
      <c r="AR40" s="576"/>
      <c r="AS40" s="576"/>
      <c r="AT40" s="576"/>
      <c r="AU40" s="655" t="s">
        <v>945</v>
      </c>
      <c r="AV40" s="576"/>
      <c r="AW40" s="193"/>
      <c r="AX40" s="193"/>
      <c r="AY40" s="193"/>
      <c r="AZ40" s="193"/>
      <c r="BA40" s="193"/>
      <c r="BB40" s="266"/>
      <c r="BC40" s="89"/>
      <c r="BD40" s="178"/>
      <c r="BE40" s="178"/>
      <c r="BF40" s="178"/>
      <c r="BG40" s="178"/>
      <c r="BO40" s="590" t="s">
        <v>929</v>
      </c>
      <c r="BP40" s="587">
        <f>BQ40-BQ39</f>
        <v>30.842317024915928</v>
      </c>
      <c r="BQ40" s="612">
        <f t="shared" si="3"/>
        <v>76.231691857494923</v>
      </c>
      <c r="BR40" s="590"/>
      <c r="BS40" s="590"/>
      <c r="BT40" s="590" t="s">
        <v>929</v>
      </c>
      <c r="BU40" s="603">
        <v>76.231691857494923</v>
      </c>
      <c r="BV40" s="591"/>
      <c r="BW40" s="596">
        <f t="shared" si="4"/>
        <v>288.56820867427984</v>
      </c>
      <c r="BX40" s="50" t="s">
        <v>946</v>
      </c>
    </row>
    <row r="41" spans="1:78" ht="12.95" customHeight="1">
      <c r="A41" s="89"/>
      <c r="B41" s="487"/>
      <c r="C41" s="50"/>
      <c r="D41" s="193"/>
      <c r="E41" s="710"/>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6">
        <f>BS62</f>
        <v>3.2948312174463821</v>
      </c>
      <c r="AI41" s="1056"/>
      <c r="AJ41" s="1056"/>
      <c r="AK41" s="728" t="s">
        <v>947</v>
      </c>
      <c r="AL41" s="660"/>
      <c r="AM41" s="661"/>
      <c r="AN41" s="657"/>
      <c r="AO41" s="657"/>
      <c r="AP41" s="657"/>
      <c r="AQ41" s="657"/>
      <c r="AR41" s="657"/>
      <c r="AS41" s="1055">
        <f>BS69</f>
        <v>4590.9763903676758</v>
      </c>
      <c r="AT41" s="1055"/>
      <c r="AU41" s="1055"/>
      <c r="AV41" s="728" t="str">
        <f>BD11</f>
        <v>gal/mile/day</v>
      </c>
      <c r="AW41" s="193"/>
      <c r="AX41" s="193"/>
      <c r="AY41" s="193"/>
      <c r="AZ41" s="193"/>
      <c r="BA41" s="193"/>
      <c r="BB41" s="266"/>
      <c r="BC41" s="89"/>
      <c r="BD41" s="178"/>
      <c r="BE41" s="178"/>
      <c r="BF41" s="178"/>
      <c r="BG41" s="178"/>
      <c r="BO41" s="590" t="s">
        <v>930</v>
      </c>
      <c r="BP41" s="587">
        <f>BQ41-BQ40</f>
        <v>48.919310254986243</v>
      </c>
      <c r="BQ41" s="612">
        <f t="shared" si="3"/>
        <v>125.15100211248117</v>
      </c>
      <c r="BR41" s="590"/>
      <c r="BS41" s="590"/>
      <c r="BT41" s="590" t="s">
        <v>930</v>
      </c>
      <c r="BU41" s="603">
        <v>125.15100211248117</v>
      </c>
      <c r="BV41" s="591"/>
      <c r="BW41" s="596">
        <f t="shared" si="4"/>
        <v>473.74785490660736</v>
      </c>
      <c r="BX41" s="50" t="s">
        <v>948</v>
      </c>
    </row>
    <row r="42" spans="1:78" ht="15" customHeight="1">
      <c r="A42" s="89"/>
      <c r="B42" s="487"/>
      <c r="C42" s="50"/>
      <c r="D42" s="193"/>
      <c r="E42" s="710"/>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949</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0"/>
      <c r="BP42" s="610" t="s">
        <v>907</v>
      </c>
      <c r="BQ42" s="611" t="s">
        <v>908</v>
      </c>
      <c r="BR42" s="590"/>
      <c r="BS42" s="590"/>
      <c r="BT42" s="590"/>
      <c r="BU42" s="591"/>
      <c r="BV42" s="591"/>
      <c r="BW42" s="591"/>
      <c r="BX42" s="600" t="s">
        <v>950</v>
      </c>
    </row>
    <row r="43" spans="1:78" ht="15" customHeight="1">
      <c r="A43" s="89"/>
      <c r="B43" s="487"/>
      <c r="C43" s="370"/>
      <c r="D43" s="370"/>
      <c r="E43" s="173" t="s">
        <v>951</v>
      </c>
      <c r="F43" s="50"/>
      <c r="G43" s="50"/>
      <c r="H43" s="50"/>
      <c r="I43" s="50"/>
      <c r="J43" s="50"/>
      <c r="K43" s="50"/>
      <c r="L43" s="50"/>
      <c r="M43" s="371"/>
      <c r="N43" s="371"/>
      <c r="O43" s="173" t="s">
        <v>274</v>
      </c>
      <c r="P43" s="193"/>
      <c r="Q43" s="193"/>
      <c r="R43" s="193"/>
      <c r="S43" s="193"/>
      <c r="T43" s="193"/>
      <c r="U43" s="193"/>
      <c r="V43" s="193"/>
      <c r="W43" s="193"/>
      <c r="X43" s="193"/>
      <c r="Y43" s="50"/>
      <c r="Z43" s="1052" t="s">
        <v>952</v>
      </c>
      <c r="AA43" s="1052"/>
      <c r="AB43" s="1052"/>
      <c r="AC43" s="1052"/>
      <c r="AD43" s="1052"/>
      <c r="AE43" s="1052"/>
      <c r="AF43" s="1052"/>
      <c r="AG43" s="1052"/>
      <c r="AH43" s="1052"/>
      <c r="AI43" s="1052"/>
      <c r="AJ43" s="1052"/>
      <c r="AK43" s="1054">
        <f>IF(OR(ISBLANK('Start Page'!$AB$22),LEN(Worksheet!C70)&gt;0),"",VLOOKUP(BD7,BD18:BE20,2,FALSE))</f>
        <v>5260.8178314671604</v>
      </c>
      <c r="AL43" s="1054"/>
      <c r="AM43" s="1054"/>
      <c r="AN43" s="1054"/>
      <c r="AO43" s="772" t="str">
        <f>BD7</f>
        <v>MG/Yr</v>
      </c>
      <c r="AP43" s="574"/>
      <c r="AQ43" s="574"/>
      <c r="AR43" s="574"/>
      <c r="AS43" s="1054">
        <f>IF(BG19=1,BF19,IFERROR(AK43*1000000/Worksheet!H62/365,""))</f>
        <v>21.064876727332798</v>
      </c>
      <c r="AT43" s="1054"/>
      <c r="AU43" s="1054"/>
      <c r="AV43" s="1054"/>
      <c r="AW43" s="571" t="str">
        <f>BD10</f>
        <v>gal/conn/day</v>
      </c>
      <c r="AX43" s="574"/>
      <c r="AY43" s="574"/>
      <c r="AZ43" s="574"/>
      <c r="BA43" s="193"/>
      <c r="BB43" s="266"/>
      <c r="BC43" s="89"/>
      <c r="BD43" s="176"/>
      <c r="BO43" s="589" t="s">
        <v>934</v>
      </c>
      <c r="BP43" s="589"/>
      <c r="BQ43" s="589"/>
      <c r="BR43" s="578" t="s">
        <v>914</v>
      </c>
      <c r="BS43" s="606">
        <f>IF($BO$2&gt;0,"",IF(ISERROR(1/Worksheet!H62),"",IF('Start Page'!$AB$22="Acre-feet",Worksheet!H46*325851/1000000,Worksheet!H46)*1000000/365/Worksheet!H62))</f>
        <v>4.5791523068244082</v>
      </c>
      <c r="BT43" s="590"/>
      <c r="BU43" s="663" t="s">
        <v>908</v>
      </c>
      <c r="BV43" s="591"/>
      <c r="BW43" s="591"/>
      <c r="BX43" s="612" t="s">
        <v>931</v>
      </c>
      <c r="BY43" s="50" t="s">
        <v>940</v>
      </c>
      <c r="BZ43" s="50" t="str">
        <f>IF(OR(Worksheet!S90=0,Worksheet!S90="",BO2&gt;0),"",Worksheet!S90)</f>
        <v/>
      </c>
    </row>
    <row r="44" spans="1:78" ht="15" customHeight="1">
      <c r="A44" s="89"/>
      <c r="B44" s="487"/>
      <c r="C44" s="538"/>
      <c r="D44" s="538"/>
      <c r="E44" s="173" t="s">
        <v>351</v>
      </c>
      <c r="F44" s="50"/>
      <c r="G44" s="50"/>
      <c r="H44" s="50"/>
      <c r="I44" s="50"/>
      <c r="J44" s="50"/>
      <c r="K44" s="50"/>
      <c r="L44" s="50"/>
      <c r="M44" s="192"/>
      <c r="N44" s="192"/>
      <c r="O44" s="173" t="s">
        <v>953</v>
      </c>
      <c r="P44" s="193"/>
      <c r="Q44" s="193"/>
      <c r="R44" s="193"/>
      <c r="S44" s="193"/>
      <c r="T44" s="193"/>
      <c r="U44" s="193"/>
      <c r="V44" s="193"/>
      <c r="W44" s="193"/>
      <c r="X44" s="193"/>
      <c r="Y44" s="193"/>
      <c r="Z44" s="193"/>
      <c r="AA44" s="193"/>
      <c r="AB44" s="193"/>
      <c r="AC44" s="193"/>
      <c r="AD44" s="193"/>
      <c r="AE44" s="193"/>
      <c r="AF44" s="563"/>
      <c r="AG44" s="563"/>
      <c r="AH44" s="564"/>
      <c r="AI44" s="564"/>
      <c r="AJ44" s="563"/>
      <c r="AK44" s="563"/>
      <c r="AL44" s="563"/>
      <c r="AM44" s="563"/>
      <c r="AN44" s="563"/>
      <c r="AO44" s="563"/>
      <c r="AP44" s="563"/>
      <c r="AQ44" s="563"/>
      <c r="AR44" s="563"/>
      <c r="AS44" s="563"/>
      <c r="AT44" s="563"/>
      <c r="AU44" s="563"/>
      <c r="AV44" s="193"/>
      <c r="AW44" s="193"/>
      <c r="AX44" s="193"/>
      <c r="AY44" s="50"/>
      <c r="AZ44" s="50"/>
      <c r="BA44" s="50"/>
      <c r="BB44" s="270"/>
      <c r="BC44" s="89"/>
      <c r="BN44" s="608" t="s">
        <v>916</v>
      </c>
      <c r="BO44" s="590" t="s">
        <v>917</v>
      </c>
      <c r="BP44" s="591">
        <f>SUM(BP45:BP48)</f>
        <v>16.320999291962284</v>
      </c>
      <c r="BQ44" s="612">
        <f>IF($BD$7="ML/Yr",BW44,BU44)</f>
        <v>1.1863793690124249</v>
      </c>
      <c r="BR44" s="578" t="s">
        <v>918</v>
      </c>
      <c r="BS44" s="614">
        <f>IF(BS43="","",IF(BS43&lt;BQ44,0,IF(BS43&gt;BQ48,BQ48,BS43)))</f>
        <v>4.5791523068244082</v>
      </c>
      <c r="BT44" s="590" t="s">
        <v>917</v>
      </c>
      <c r="BU44" s="603">
        <v>1.1863793690124249</v>
      </c>
      <c r="BV44" s="591"/>
      <c r="BW44" s="596">
        <f>BU44*3.78541</f>
        <v>4.4909323272533239</v>
      </c>
      <c r="BX44" s="540"/>
      <c r="BY44" s="50" t="s">
        <v>941</v>
      </c>
      <c r="BZ44" s="50" t="str">
        <f>IF(BZ43="","",IF(BZ43&lt;BQ44,0,IF(BZ43&gt;BQ48,BQ48,BZ43)))</f>
        <v/>
      </c>
    </row>
    <row r="45" spans="1:78" ht="15" customHeight="1">
      <c r="A45" s="89"/>
      <c r="B45" s="487"/>
      <c r="C45" s="532"/>
      <c r="D45" s="532"/>
      <c r="E45" s="173" t="s">
        <v>290</v>
      </c>
      <c r="F45" s="50"/>
      <c r="G45" s="50"/>
      <c r="H45" s="50"/>
      <c r="I45" s="50"/>
      <c r="J45" s="50"/>
      <c r="K45" s="50"/>
      <c r="L45" s="50"/>
      <c r="M45" s="769"/>
      <c r="N45" s="769"/>
      <c r="O45" s="173" t="s">
        <v>954</v>
      </c>
      <c r="P45" s="193"/>
      <c r="Q45" s="193"/>
      <c r="R45" s="193"/>
      <c r="S45" s="193"/>
      <c r="T45" s="193"/>
      <c r="U45" s="193"/>
      <c r="V45" s="193"/>
      <c r="W45" s="193"/>
      <c r="X45" s="193"/>
      <c r="Y45" s="193"/>
      <c r="Z45" s="193"/>
      <c r="AA45" s="193"/>
      <c r="AB45" s="193"/>
      <c r="AC45" s="193"/>
      <c r="AD45" s="193"/>
      <c r="AE45" s="193"/>
      <c r="AF45" s="563"/>
      <c r="AG45" s="563"/>
      <c r="AH45" s="564"/>
      <c r="AI45" s="564"/>
      <c r="AJ45" s="563"/>
      <c r="AK45" s="563"/>
      <c r="AL45" s="563"/>
      <c r="AM45" s="563"/>
      <c r="AN45" s="563"/>
      <c r="AO45" s="563"/>
      <c r="AP45" s="563"/>
      <c r="AQ45" s="563"/>
      <c r="AR45" s="563"/>
      <c r="AS45" s="563"/>
      <c r="AT45" s="563"/>
      <c r="AU45" s="563"/>
      <c r="AV45" s="193"/>
      <c r="AW45" s="193"/>
      <c r="AX45" s="193"/>
      <c r="AY45" s="193"/>
      <c r="AZ45" s="193"/>
      <c r="BA45" s="193"/>
      <c r="BB45" s="270"/>
      <c r="BC45" s="89"/>
      <c r="BO45" s="590" t="s">
        <v>923</v>
      </c>
      <c r="BP45" s="587">
        <f>BQ45</f>
        <v>2.7528558495753783</v>
      </c>
      <c r="BQ45" s="612">
        <f t="shared" ref="BQ45:BQ48" si="5">IF($BD$7="ML/Yr",BW45,BU45)</f>
        <v>2.7528558495753783</v>
      </c>
      <c r="BR45" s="590" t="s">
        <v>924</v>
      </c>
      <c r="BS45" s="594">
        <f>SUM(BP44:BP48)/125</f>
        <v>0.26113598867139654</v>
      </c>
      <c r="BT45" s="590" t="s">
        <v>923</v>
      </c>
      <c r="BU45" s="603">
        <v>2.7528558495753783</v>
      </c>
      <c r="BV45" s="591"/>
      <c r="BW45" s="596">
        <f t="shared" ref="BW45:BW48" si="6">BU45*3.78541</f>
        <v>10.420688061541133</v>
      </c>
      <c r="BX45" s="50" t="s">
        <v>942</v>
      </c>
      <c r="BY45" s="590" t="s">
        <v>924</v>
      </c>
      <c r="BZ45" s="594" t="str">
        <f>IF(BZ44="","",SUM(BP44:BP48)/250)</f>
        <v/>
      </c>
    </row>
    <row r="46" spans="1:78" ht="12.95" customHeight="1">
      <c r="A46" s="89"/>
      <c r="B46" s="487"/>
      <c r="C46" s="50"/>
      <c r="D46" s="193"/>
      <c r="E46" s="710"/>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3"/>
      <c r="AG46" s="563"/>
      <c r="AH46" s="564"/>
      <c r="AI46" s="564"/>
      <c r="AJ46" s="563"/>
      <c r="AK46" s="563"/>
      <c r="AL46" s="563"/>
      <c r="AM46" s="563"/>
      <c r="AN46" s="563"/>
      <c r="AO46" s="563"/>
      <c r="AP46" s="563"/>
      <c r="AQ46" s="563"/>
      <c r="AR46" s="563"/>
      <c r="AS46" s="563"/>
      <c r="AT46" s="563"/>
      <c r="AU46" s="563"/>
      <c r="AV46" s="193"/>
      <c r="AW46" s="193"/>
      <c r="AX46" s="193"/>
      <c r="AY46" s="193"/>
      <c r="AZ46" s="193"/>
      <c r="BA46" s="193"/>
      <c r="BB46" s="266"/>
      <c r="BC46" s="89"/>
      <c r="BO46" s="590" t="s">
        <v>926</v>
      </c>
      <c r="BP46" s="587">
        <f>BQ46-BQ45</f>
        <v>2.5474471374368308</v>
      </c>
      <c r="BQ46" s="612">
        <f t="shared" si="5"/>
        <v>5.3003029870122091</v>
      </c>
      <c r="BR46" s="590" t="s">
        <v>898</v>
      </c>
      <c r="BS46" s="594">
        <f>SUM(BP44:BP48)-SUM(BS44,BS45)</f>
        <v>27.801710288428765</v>
      </c>
      <c r="BT46" s="590" t="s">
        <v>926</v>
      </c>
      <c r="BU46" s="603">
        <v>5.3003029870122091</v>
      </c>
      <c r="BV46" s="591"/>
      <c r="BW46" s="596">
        <f t="shared" si="6"/>
        <v>20.063819930065886</v>
      </c>
      <c r="BX46" s="50" t="s">
        <v>943</v>
      </c>
      <c r="BY46" s="590" t="s">
        <v>898</v>
      </c>
      <c r="BZ46" s="594" t="str">
        <f>IF(BZ45="","",SUM(BP44:BP48)-SUM(BZ44,BZ45))</f>
        <v/>
      </c>
    </row>
    <row r="47" spans="1:78" ht="12.95" customHeight="1">
      <c r="A47" s="89"/>
      <c r="B47" s="487"/>
      <c r="C47" s="50"/>
      <c r="D47" s="193"/>
      <c r="E47" s="710"/>
      <c r="F47" s="193"/>
      <c r="G47" s="193"/>
      <c r="H47" s="193"/>
      <c r="I47" s="1051" t="s">
        <v>955</v>
      </c>
      <c r="J47" s="1051"/>
      <c r="K47" s="1051"/>
      <c r="L47" s="1051"/>
      <c r="M47" s="571"/>
      <c r="N47" s="1051" t="s">
        <v>893</v>
      </c>
      <c r="O47" s="1051"/>
      <c r="P47" s="1051"/>
      <c r="Q47" s="1051"/>
      <c r="R47" s="1060" t="s">
        <v>956</v>
      </c>
      <c r="S47" s="1060"/>
      <c r="T47" s="1060"/>
      <c r="U47" s="1060"/>
      <c r="V47" s="1060"/>
      <c r="W47" s="193"/>
      <c r="X47" s="193"/>
      <c r="Y47" s="193"/>
      <c r="Z47" s="193"/>
      <c r="AA47" s="193"/>
      <c r="AB47" s="193"/>
      <c r="AC47" s="193"/>
      <c r="AD47" s="193"/>
      <c r="AE47" s="193"/>
      <c r="AF47" s="563"/>
      <c r="AG47" s="563"/>
      <c r="AH47" s="564"/>
      <c r="AI47" s="564"/>
      <c r="AJ47" s="563"/>
      <c r="AK47" s="563"/>
      <c r="AL47" s="563"/>
      <c r="AM47" s="563"/>
      <c r="AN47" s="563"/>
      <c r="AO47" s="563"/>
      <c r="AP47" s="563"/>
      <c r="AQ47" s="563"/>
      <c r="AR47" s="563"/>
      <c r="AS47" s="563"/>
      <c r="AT47" s="563"/>
      <c r="AU47" s="563"/>
      <c r="AV47" s="193"/>
      <c r="AW47" s="193"/>
      <c r="AX47" s="193"/>
      <c r="AY47" s="193"/>
      <c r="AZ47" s="193"/>
      <c r="BA47" s="193"/>
      <c r="BB47" s="266"/>
      <c r="BC47" s="89"/>
      <c r="BO47" s="590" t="s">
        <v>929</v>
      </c>
      <c r="BP47" s="587">
        <f>BQ47-BQ46</f>
        <v>4.0544051080008483</v>
      </c>
      <c r="BQ47" s="612">
        <f t="shared" si="5"/>
        <v>9.3547080950130574</v>
      </c>
      <c r="BR47" s="590"/>
      <c r="BS47" s="590"/>
      <c r="BT47" s="590" t="s">
        <v>929</v>
      </c>
      <c r="BU47" s="603">
        <v>9.3547080950130574</v>
      </c>
      <c r="BV47" s="591"/>
      <c r="BW47" s="596">
        <f t="shared" si="6"/>
        <v>35.411405569943376</v>
      </c>
      <c r="BX47" s="50" t="s">
        <v>946</v>
      </c>
    </row>
    <row r="48" spans="1:78" ht="15" customHeight="1">
      <c r="A48" s="89"/>
      <c r="B48" s="487"/>
      <c r="C48" s="118"/>
      <c r="D48" s="118"/>
      <c r="E48" s="710"/>
      <c r="F48" s="118"/>
      <c r="G48" s="118"/>
      <c r="H48" s="118"/>
      <c r="I48" s="1051" t="str">
        <f>BD7</f>
        <v>MG/Yr</v>
      </c>
      <c r="J48" s="1051"/>
      <c r="K48" s="1051"/>
      <c r="L48" s="1051"/>
      <c r="M48" s="571"/>
      <c r="N48" s="1051" t="s">
        <v>957</v>
      </c>
      <c r="O48" s="1051"/>
      <c r="P48" s="1051"/>
      <c r="Q48" s="1051"/>
      <c r="R48" s="1060"/>
      <c r="S48" s="1060"/>
      <c r="T48" s="1060"/>
      <c r="U48" s="1060"/>
      <c r="V48" s="1060"/>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7"/>
      <c r="AV48" s="193"/>
      <c r="AW48" s="193"/>
      <c r="AX48" s="193"/>
      <c r="AY48" s="193"/>
      <c r="AZ48" s="193"/>
      <c r="BA48" s="193"/>
      <c r="BB48" s="266"/>
      <c r="BC48" s="89"/>
      <c r="BD48" s="178"/>
      <c r="BE48" s="178"/>
      <c r="BF48" s="178"/>
      <c r="BG48" s="178"/>
      <c r="BO48" s="590" t="s">
        <v>930</v>
      </c>
      <c r="BP48" s="587">
        <f>BQ48-BQ47</f>
        <v>6.9662911969492267</v>
      </c>
      <c r="BQ48" s="612">
        <f t="shared" si="5"/>
        <v>16.320999291962284</v>
      </c>
      <c r="BR48" s="590"/>
      <c r="BS48" s="590"/>
      <c r="BT48" s="590" t="s">
        <v>930</v>
      </c>
      <c r="BU48" s="603">
        <v>16.320999291962284</v>
      </c>
      <c r="BV48" s="591"/>
      <c r="BW48" s="596">
        <f t="shared" si="6"/>
        <v>61.781673929786955</v>
      </c>
      <c r="BX48" s="50" t="s">
        <v>948</v>
      </c>
    </row>
    <row r="49" spans="1:78" ht="15" customHeight="1">
      <c r="A49" s="89"/>
      <c r="B49" s="487"/>
      <c r="C49" s="118"/>
      <c r="D49" s="118"/>
      <c r="E49" s="710"/>
      <c r="F49" s="118"/>
      <c r="G49" s="118"/>
      <c r="H49" s="180" t="s">
        <v>743</v>
      </c>
      <c r="I49" s="1049">
        <f>IF(ISBLANK('Start Page'!$AB$22),"",Worksheet!H46)</f>
        <v>1143.6139133673478</v>
      </c>
      <c r="J49" s="1049"/>
      <c r="K49" s="1049"/>
      <c r="L49" s="1049"/>
      <c r="M49" s="557"/>
      <c r="N49" s="1050">
        <f>IF(OR(ISBLANK('Start Page'!$AB$22),ISBLANK(Worksheet!J76)),"",(SUM(Worksheet!H43+Worksheet!H39+Worksheet!X50)*Worksheet!H76)*INDEX(Sheet1!B2:D4,MATCH('Start Page'!AB22,Sheet1!A2:A4,0),MATCH(Worksheet!J76,Sheet1!B1:D1,0))+Worksheet!Y50*Worksheet!H77)</f>
        <v>13191945.717590839</v>
      </c>
      <c r="O49" s="1050"/>
      <c r="P49" s="1050"/>
      <c r="Q49" s="1050"/>
      <c r="R49" s="1048" t="s">
        <v>578</v>
      </c>
      <c r="S49" s="1048"/>
      <c r="T49" s="1048"/>
      <c r="U49" s="1048"/>
      <c r="V49" s="1048"/>
      <c r="W49" s="573"/>
      <c r="X49" s="193"/>
      <c r="Y49" s="193"/>
      <c r="Z49" s="193"/>
      <c r="AA49" s="193"/>
      <c r="AB49" s="193"/>
      <c r="AC49" s="193"/>
      <c r="AD49" s="193"/>
      <c r="AE49" s="193"/>
      <c r="AF49" s="193"/>
      <c r="AG49" s="193"/>
      <c r="AH49" s="193"/>
      <c r="AI49" s="193"/>
      <c r="AJ49" s="193"/>
      <c r="AK49" s="193"/>
      <c r="AL49" s="193"/>
      <c r="AM49" s="563"/>
      <c r="AN49" s="563"/>
      <c r="AO49" s="563"/>
      <c r="AP49" s="563"/>
      <c r="AQ49" s="563"/>
      <c r="AR49" s="563"/>
      <c r="AS49" s="563"/>
      <c r="AT49" s="563"/>
      <c r="AU49" s="563"/>
      <c r="AV49" s="193"/>
      <c r="AW49" s="193"/>
      <c r="AX49" s="193"/>
      <c r="AY49" s="193"/>
      <c r="AZ49" s="193"/>
      <c r="BA49" s="193"/>
      <c r="BB49" s="266"/>
      <c r="BC49" s="89"/>
      <c r="BD49" s="176"/>
      <c r="BO49" s="590"/>
      <c r="BP49" s="590"/>
      <c r="BQ49" s="590"/>
      <c r="BR49" s="590"/>
      <c r="BS49" s="590"/>
      <c r="BT49" s="590"/>
      <c r="BU49" s="591"/>
      <c r="BV49" s="591"/>
      <c r="BW49" s="591"/>
      <c r="BX49" s="600" t="s">
        <v>950</v>
      </c>
    </row>
    <row r="50" spans="1:78" ht="15" customHeight="1">
      <c r="A50" s="89"/>
      <c r="B50" s="487"/>
      <c r="C50" s="118"/>
      <c r="D50" s="118"/>
      <c r="E50" s="710"/>
      <c r="F50" s="118"/>
      <c r="G50" s="118"/>
      <c r="H50" s="180" t="s">
        <v>951</v>
      </c>
      <c r="I50" s="1049">
        <f>IF(ISBLANK('Start Page'!$AB$22),"",Worksheet!H51)</f>
        <v>17333.50682041658</v>
      </c>
      <c r="J50" s="1049"/>
      <c r="K50" s="1049"/>
      <c r="L50" s="1049"/>
      <c r="M50" s="557"/>
      <c r="N50" s="1050">
        <f>IFERROR(IF(Worksheet!H41="Select under/over","",IF(ISBLANK('Start Page'!AB22),"",Worksheet!H51*(IF(BD29=FALSE,Worksheet!H77,IF(BD29=TRUE,Worksheet!H76*INDEX(Sheet1!B2:D4,MATCH('Start Page'!AB22,Sheet1!A2:A4,0),MATCH(Worksheet!J76,Sheet1!B1:D1,0)),""))))),"")</f>
        <v>15263192.765786022</v>
      </c>
      <c r="O50" s="1050"/>
      <c r="P50" s="1050"/>
      <c r="Q50" s="1050"/>
      <c r="R50" s="1048" t="str">
        <f>IF(BD29=FALSE,"VPC",R49)</f>
        <v>VPC</v>
      </c>
      <c r="S50" s="1048"/>
      <c r="T50" s="1048"/>
      <c r="U50" s="1048"/>
      <c r="V50" s="1048"/>
      <c r="W50" s="193"/>
      <c r="X50" s="193"/>
      <c r="Y50" s="193"/>
      <c r="Z50" s="193"/>
      <c r="AA50" s="193"/>
      <c r="AB50" s="193"/>
      <c r="AC50" s="193"/>
      <c r="AD50" s="193"/>
      <c r="AE50" s="193"/>
      <c r="AF50" s="193"/>
      <c r="AG50" s="193"/>
      <c r="AH50" s="193"/>
      <c r="AI50" s="193"/>
      <c r="AJ50" s="193"/>
      <c r="AK50" s="193"/>
      <c r="AL50" s="193"/>
      <c r="AM50" s="563"/>
      <c r="AN50" s="563"/>
      <c r="AO50" s="563"/>
      <c r="AP50" s="563"/>
      <c r="AQ50" s="563"/>
      <c r="AR50" s="563"/>
      <c r="AS50" s="563"/>
      <c r="AT50" s="563"/>
      <c r="AU50" s="563"/>
      <c r="AV50" s="193"/>
      <c r="AW50" s="193"/>
      <c r="AX50" s="193"/>
      <c r="AY50" s="193"/>
      <c r="AZ50" s="193"/>
      <c r="BA50" s="193"/>
      <c r="BB50" s="270"/>
      <c r="BC50" s="89"/>
      <c r="BU50" s="50"/>
      <c r="BV50" s="591"/>
      <c r="BW50" s="50"/>
      <c r="BX50" s="612" t="s">
        <v>931</v>
      </c>
    </row>
    <row r="51" spans="1:78" ht="15" customHeight="1">
      <c r="A51" s="89"/>
      <c r="B51" s="487"/>
      <c r="C51" s="118"/>
      <c r="D51" s="118"/>
      <c r="E51" s="710"/>
      <c r="F51" s="118"/>
      <c r="G51" s="118"/>
      <c r="H51" s="180" t="s">
        <v>958</v>
      </c>
      <c r="I51" s="1049">
        <f>IF(ISBLANK('Start Page'!$AB$22),"",SUM(Worksheet!H25:H26))</f>
        <v>5966.96</v>
      </c>
      <c r="J51" s="1049"/>
      <c r="K51" s="1049"/>
      <c r="L51" s="1049"/>
      <c r="M51" s="557"/>
      <c r="N51" s="1050">
        <f>IFERROR(IF(SUM(Sheet1!D90:D91)=0,"",SUM(Sheet1!D90:D91)),"")</f>
        <v>5254266.2976000002</v>
      </c>
      <c r="O51" s="1050"/>
      <c r="P51" s="1050"/>
      <c r="Q51" s="1050"/>
      <c r="R51" s="1048" t="str">
        <f>IF(BD29=FALSE,"VPC",R49)</f>
        <v>VPC</v>
      </c>
      <c r="S51" s="1048"/>
      <c r="T51" s="1048"/>
      <c r="U51" s="1048"/>
      <c r="V51" s="1048"/>
      <c r="W51" s="193"/>
      <c r="X51" s="193"/>
      <c r="Y51" s="193"/>
      <c r="Z51" s="193"/>
      <c r="AA51" s="193"/>
      <c r="AB51" s="193"/>
      <c r="AC51" s="193"/>
      <c r="AD51" s="193"/>
      <c r="AE51" s="193"/>
      <c r="AF51" s="193"/>
      <c r="AG51" s="193"/>
      <c r="AH51" s="193"/>
      <c r="AI51" s="193"/>
      <c r="AJ51" s="193"/>
      <c r="AK51" s="193"/>
      <c r="AL51" s="193"/>
      <c r="AM51" s="563"/>
      <c r="AN51" s="563"/>
      <c r="AO51" s="563"/>
      <c r="AP51" s="563"/>
      <c r="AQ51" s="563"/>
      <c r="AR51" s="563"/>
      <c r="AS51" s="563"/>
      <c r="AT51" s="563"/>
      <c r="AU51" s="563"/>
      <c r="AV51" s="193"/>
      <c r="AW51" s="193"/>
      <c r="AX51" s="193"/>
      <c r="AY51" s="193"/>
      <c r="AZ51" s="193"/>
      <c r="BA51" s="193"/>
      <c r="BB51" s="270"/>
      <c r="BC51" s="89"/>
      <c r="BU51" s="50"/>
      <c r="BV51" s="591"/>
      <c r="BW51" s="50"/>
      <c r="BX51" s="540"/>
    </row>
    <row r="52" spans="1:78" ht="15" customHeight="1">
      <c r="A52" s="89"/>
      <c r="B52" s="487"/>
      <c r="C52" s="118"/>
      <c r="D52" s="118"/>
      <c r="E52" s="710"/>
      <c r="F52" s="118"/>
      <c r="G52" s="118"/>
      <c r="H52" s="180" t="s">
        <v>959</v>
      </c>
      <c r="I52" s="1049">
        <f>IF(SUM(I49:I51)=0,"",SUM(I49:I51))</f>
        <v>24444.080733783929</v>
      </c>
      <c r="J52" s="1049"/>
      <c r="K52" s="1049"/>
      <c r="L52" s="1049"/>
      <c r="M52" s="557"/>
      <c r="N52" s="1050">
        <f>IF(SUM(N49:N51)=0,"",SUM(N49:N51))</f>
        <v>33709404.780976862</v>
      </c>
      <c r="O52" s="1050"/>
      <c r="P52" s="1050"/>
      <c r="Q52" s="1050"/>
      <c r="R52" s="1048" t="str">
        <f>IF(BD29=FALSE,"Blended",R49)</f>
        <v>Blended</v>
      </c>
      <c r="S52" s="1048"/>
      <c r="T52" s="1048"/>
      <c r="U52" s="1048"/>
      <c r="V52" s="1048"/>
      <c r="W52" s="193"/>
      <c r="X52" s="193"/>
      <c r="Y52" s="193"/>
      <c r="Z52" s="193"/>
      <c r="AA52" s="193"/>
      <c r="AB52" s="193"/>
      <c r="AC52" s="193"/>
      <c r="AD52" s="193"/>
      <c r="AE52" s="193"/>
      <c r="AF52" s="193"/>
      <c r="AG52" s="193"/>
      <c r="AH52" s="193"/>
      <c r="AI52" s="193"/>
      <c r="AJ52" s="193"/>
      <c r="AK52" s="193"/>
      <c r="AL52" s="193"/>
      <c r="AM52" s="563"/>
      <c r="AN52" s="563"/>
      <c r="AO52" s="563"/>
      <c r="AP52" s="563"/>
      <c r="AQ52" s="563"/>
      <c r="AR52" s="563"/>
      <c r="AS52" s="563"/>
      <c r="AT52" s="563"/>
      <c r="AU52" s="563"/>
      <c r="AV52" s="193"/>
      <c r="AW52" s="193"/>
      <c r="AX52" s="193"/>
      <c r="AY52" s="193"/>
      <c r="AZ52" s="193"/>
      <c r="BA52" s="193"/>
      <c r="BB52" s="266"/>
      <c r="BC52" s="89"/>
      <c r="BU52" s="50"/>
      <c r="BV52" s="591"/>
      <c r="BW52" s="50"/>
      <c r="BX52" s="540"/>
    </row>
    <row r="53" spans="1:78" ht="12.95" customHeight="1" thickBot="1">
      <c r="A53" s="89"/>
      <c r="B53" s="267"/>
      <c r="C53" s="268"/>
      <c r="D53" s="565"/>
      <c r="E53" s="712"/>
      <c r="F53" s="565"/>
      <c r="G53" s="565"/>
      <c r="H53" s="565"/>
      <c r="I53" s="565"/>
      <c r="J53" s="565"/>
      <c r="K53" s="565"/>
      <c r="L53" s="565"/>
      <c r="M53" s="565"/>
      <c r="N53" s="565"/>
      <c r="O53" s="565"/>
      <c r="P53" s="565"/>
      <c r="Q53" s="565"/>
      <c r="R53" s="565"/>
      <c r="S53" s="565"/>
      <c r="T53" s="565"/>
      <c r="U53" s="565"/>
      <c r="V53" s="565"/>
      <c r="W53" s="565"/>
      <c r="X53" s="565"/>
      <c r="Y53" s="565"/>
      <c r="Z53" s="565"/>
      <c r="AA53" s="565"/>
      <c r="AB53" s="565"/>
      <c r="AC53" s="565"/>
      <c r="AD53" s="565"/>
      <c r="AE53" s="565"/>
      <c r="AF53" s="566"/>
      <c r="AG53" s="567"/>
      <c r="AH53" s="568"/>
      <c r="AI53" s="568"/>
      <c r="AJ53" s="567"/>
      <c r="AK53" s="565"/>
      <c r="AL53" s="565"/>
      <c r="AM53" s="565"/>
      <c r="AN53" s="565"/>
      <c r="AO53" s="565"/>
      <c r="AP53" s="565"/>
      <c r="AQ53" s="565"/>
      <c r="AR53" s="565"/>
      <c r="AS53" s="565"/>
      <c r="AT53" s="565"/>
      <c r="AU53" s="565"/>
      <c r="AV53" s="565"/>
      <c r="AW53" s="569"/>
      <c r="AX53" s="570"/>
      <c r="AY53" s="565"/>
      <c r="AZ53" s="565"/>
      <c r="BA53" s="565"/>
      <c r="BB53" s="269"/>
      <c r="BC53" s="89"/>
      <c r="BP53" s="610" t="s">
        <v>907</v>
      </c>
      <c r="BQ53" s="611" t="s">
        <v>908</v>
      </c>
      <c r="BU53" s="50"/>
      <c r="BV53" s="591"/>
      <c r="BW53" s="50"/>
      <c r="BX53" s="540"/>
    </row>
    <row r="54" spans="1:78" ht="6.75" customHeight="1" thickTop="1">
      <c r="A54" s="89">
        <v>0</v>
      </c>
      <c r="B54" s="89"/>
      <c r="C54" s="89"/>
      <c r="D54" s="89"/>
      <c r="E54" s="707"/>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0"/>
      <c r="BQ54" s="611"/>
      <c r="BU54" s="50"/>
      <c r="BV54" s="591"/>
      <c r="BW54" s="50"/>
      <c r="BX54" s="540"/>
    </row>
    <row r="55" spans="1:78" ht="12.95" customHeight="1">
      <c r="A55" s="50"/>
      <c r="B55" s="50"/>
      <c r="C55" s="50"/>
      <c r="D55" s="50"/>
      <c r="E55" s="713"/>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89" t="s">
        <v>960</v>
      </c>
      <c r="BP55" s="589"/>
      <c r="BQ55" s="589"/>
      <c r="BR55" s="578" t="s">
        <v>914</v>
      </c>
      <c r="BS55" s="606">
        <f>IF($BO$2&gt;0,"",IF(Worksheet!H51="","",IF(ISERROR(1/Worksheet!H62),"",IF('Start Page'!$AB$22="Megalitres (thousand cubic metres)",Worksheet!H51*1000000/365/Worksheet!H62,IF('Start Page'!$AB$22="Million gallons (US)",Worksheet!H51*1000000,Worksheet!H51*325851)/365/Worksheet!H62))))</f>
        <v>69.405213432875883</v>
      </c>
      <c r="BT55" s="590"/>
      <c r="BU55" s="663" t="s">
        <v>908</v>
      </c>
      <c r="BV55" s="591"/>
      <c r="BW55" s="591"/>
      <c r="BX55" s="540"/>
      <c r="BY55" s="50" t="s">
        <v>940</v>
      </c>
      <c r="BZ55" s="50" t="str">
        <f>IF(OR(Worksheet!S91=0,Worksheet!S91="",BO2&gt;0),"",Worksheet!S91)</f>
        <v/>
      </c>
    </row>
    <row r="56" spans="1:78" ht="12.95" customHeight="1">
      <c r="A56" s="50"/>
      <c r="B56" s="50"/>
      <c r="C56" s="50"/>
      <c r="D56" s="50"/>
      <c r="E56" s="713"/>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8" t="s">
        <v>916</v>
      </c>
      <c r="BO56" s="590" t="s">
        <v>917</v>
      </c>
      <c r="BP56" s="591">
        <f>SUM(BP57:BP60)</f>
        <v>115.43298001472428</v>
      </c>
      <c r="BQ56" s="612">
        <f>IF($BD$7="ML/Yr",BW56,BU56)</f>
        <v>16.277522142556361</v>
      </c>
      <c r="BR56" s="578" t="s">
        <v>918</v>
      </c>
      <c r="BS56" s="614">
        <f>IF(BS55="","",IF(BS55&lt;BQ56,0,IF(BS55&gt;BQ60,BQ60,BS55)))</f>
        <v>69.405213432875883</v>
      </c>
      <c r="BT56" s="590" t="s">
        <v>917</v>
      </c>
      <c r="BU56" s="602">
        <v>16.277522142556361</v>
      </c>
      <c r="BV56" s="591"/>
      <c r="BW56" s="596">
        <f t="shared" ref="BW56:BW60" si="7">BU56*3.78541</f>
        <v>61.617095093654278</v>
      </c>
      <c r="BX56" s="540"/>
      <c r="BY56" s="50" t="s">
        <v>941</v>
      </c>
      <c r="BZ56" s="50" t="str">
        <f>IF(BZ55="","",IF(BZ55&lt;BQ56,0,IF(BZ55&gt;BQ60,BQ60,BZ55)))</f>
        <v/>
      </c>
    </row>
    <row r="57" spans="1:78" ht="12.95" customHeight="1">
      <c r="A57" s="50"/>
      <c r="B57" s="50"/>
      <c r="C57" s="50"/>
      <c r="D57" s="50"/>
      <c r="E57" s="713"/>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0" t="s">
        <v>923</v>
      </c>
      <c r="BP57" s="587">
        <f>BQ57</f>
        <v>22.721688432860574</v>
      </c>
      <c r="BQ57" s="612">
        <f t="shared" ref="BQ57:BQ60" si="8">IF($BD$7="ML/Yr",BW57,BU57)</f>
        <v>22.721688432860574</v>
      </c>
      <c r="BR57" s="590" t="s">
        <v>924</v>
      </c>
      <c r="BS57" s="594">
        <f>SUM(BP56:BP60)/125</f>
        <v>1.8469276802355887</v>
      </c>
      <c r="BT57" s="590" t="s">
        <v>923</v>
      </c>
      <c r="BU57" s="602">
        <v>22.721688432860574</v>
      </c>
      <c r="BV57" s="591"/>
      <c r="BW57" s="596">
        <f t="shared" si="7"/>
        <v>86.010906610634748</v>
      </c>
      <c r="BX57" s="50" t="s">
        <v>942</v>
      </c>
      <c r="BY57" s="590" t="s">
        <v>924</v>
      </c>
      <c r="BZ57" s="594" t="str">
        <f>IF(BZ56="","",SUM(BP56:BP60)/250)</f>
        <v/>
      </c>
    </row>
    <row r="58" spans="1:78" ht="12.95" customHeight="1">
      <c r="A58" s="50"/>
      <c r="B58" s="50"/>
      <c r="C58" s="50"/>
      <c r="D58" s="50"/>
      <c r="E58" s="713"/>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0" t="s">
        <v>926</v>
      </c>
      <c r="BP58" s="587">
        <f>BQ58-BQ57</f>
        <v>14.053484230273789</v>
      </c>
      <c r="BQ58" s="612">
        <f t="shared" si="8"/>
        <v>36.775172663134363</v>
      </c>
      <c r="BR58" s="590" t="s">
        <v>898</v>
      </c>
      <c r="BS58" s="594">
        <f>SUM(BP56:BP60)-SUM(BS56,BS57)</f>
        <v>159.6138189163371</v>
      </c>
      <c r="BT58" s="590" t="s">
        <v>926</v>
      </c>
      <c r="BU58" s="602">
        <v>36.775172663134363</v>
      </c>
      <c r="BV58" s="591"/>
      <c r="BW58" s="596">
        <f t="shared" si="7"/>
        <v>139.20910635075546</v>
      </c>
      <c r="BX58" s="50" t="s">
        <v>943</v>
      </c>
      <c r="BY58" s="590" t="s">
        <v>898</v>
      </c>
      <c r="BZ58" s="594" t="str">
        <f>IF(BZ57="","",SUM(BP56:BP60)-SUM(BZ56,BZ57))</f>
        <v/>
      </c>
    </row>
    <row r="59" spans="1:78" ht="12.95" customHeight="1">
      <c r="A59" s="50"/>
      <c r="B59" s="50"/>
      <c r="C59" s="50"/>
      <c r="D59" s="50"/>
      <c r="E59" s="713"/>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0" t="s">
        <v>929</v>
      </c>
      <c r="BP59" s="587">
        <f>BQ59-BQ58</f>
        <v>29.603369869319486</v>
      </c>
      <c r="BQ59" s="612">
        <f t="shared" si="8"/>
        <v>66.378542532453849</v>
      </c>
      <c r="BR59" s="590"/>
      <c r="BS59" s="590"/>
      <c r="BT59" s="590" t="s">
        <v>929</v>
      </c>
      <c r="BU59" s="602">
        <v>66.378542532453849</v>
      </c>
      <c r="BV59" s="591"/>
      <c r="BW59" s="596">
        <f t="shared" si="7"/>
        <v>251.26999868777614</v>
      </c>
      <c r="BX59" s="50" t="s">
        <v>946</v>
      </c>
    </row>
    <row r="60" spans="1:78" ht="12.95" customHeight="1">
      <c r="A60" s="50"/>
      <c r="B60" s="50"/>
      <c r="C60" s="50"/>
      <c r="D60" s="50"/>
      <c r="E60" s="713"/>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0" t="s">
        <v>930</v>
      </c>
      <c r="BP60" s="587">
        <f>BQ60-BQ59</f>
        <v>49.05443748227043</v>
      </c>
      <c r="BQ60" s="612">
        <f t="shared" si="8"/>
        <v>115.43298001472428</v>
      </c>
      <c r="BR60" s="590"/>
      <c r="BS60" s="590"/>
      <c r="BT60" s="590" t="s">
        <v>930</v>
      </c>
      <c r="BU60" s="602">
        <v>115.43298001472428</v>
      </c>
      <c r="BV60" s="591"/>
      <c r="BW60" s="596">
        <f t="shared" si="7"/>
        <v>436.96115687753746</v>
      </c>
      <c r="BX60" s="50" t="s">
        <v>948</v>
      </c>
    </row>
    <row r="61" spans="1:78" ht="12.95" customHeight="1">
      <c r="A61" s="50"/>
      <c r="B61" s="50"/>
      <c r="C61" s="50"/>
      <c r="D61" s="50"/>
      <c r="E61" s="713"/>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5"/>
      <c r="BP61" s="610" t="s">
        <v>907</v>
      </c>
      <c r="BQ61" s="611" t="s">
        <v>908</v>
      </c>
      <c r="BR61" s="575"/>
      <c r="BS61" s="575"/>
      <c r="BT61" s="575"/>
      <c r="BU61" s="593"/>
      <c r="BV61" s="591"/>
      <c r="BW61" s="593"/>
      <c r="BX61" s="600" t="s">
        <v>950</v>
      </c>
    </row>
    <row r="62" spans="1:78" ht="12.95" customHeight="1">
      <c r="A62" s="50"/>
      <c r="B62" s="50"/>
      <c r="C62" s="50"/>
      <c r="D62" s="50"/>
      <c r="E62" s="713"/>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89" t="s">
        <v>961</v>
      </c>
      <c r="BP62" s="589"/>
      <c r="BQ62" s="589"/>
      <c r="BR62" s="578" t="s">
        <v>914</v>
      </c>
      <c r="BS62" s="606">
        <f>IF($BO$2&gt;0,"",IFERROR(IF(ISERROR(1/AK43),"",I50/AK43),""))</f>
        <v>3.2948312174463821</v>
      </c>
      <c r="BT62" s="575"/>
      <c r="BU62" s="663" t="s">
        <v>908</v>
      </c>
      <c r="BV62" s="593"/>
      <c r="BW62" s="593"/>
      <c r="BX62" s="612" t="s">
        <v>931</v>
      </c>
    </row>
    <row r="63" spans="1:78" ht="15.75">
      <c r="A63" s="50"/>
      <c r="B63" s="50"/>
      <c r="C63" s="50"/>
      <c r="D63" s="50"/>
      <c r="E63" s="713"/>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8" t="s">
        <v>916</v>
      </c>
      <c r="BO63" s="590" t="s">
        <v>917</v>
      </c>
      <c r="BP63" s="591">
        <f>SUM(BP64:BP67)</f>
        <v>5.6785169995812712</v>
      </c>
      <c r="BQ63" s="591">
        <f>BU63</f>
        <v>0.88524096981003719</v>
      </c>
      <c r="BR63" s="578" t="s">
        <v>918</v>
      </c>
      <c r="BS63" s="614">
        <f>IF(BS62="","",IF(BS62&lt;BQ63,0,IF(BS62&gt;BQ67,BQ67,BS62)))</f>
        <v>3.2948312174463821</v>
      </c>
      <c r="BT63" s="590" t="s">
        <v>917</v>
      </c>
      <c r="BU63" s="602">
        <v>0.88524096981003719</v>
      </c>
      <c r="BV63" s="593"/>
      <c r="BW63" s="593"/>
      <c r="BX63" s="540"/>
    </row>
    <row r="64" spans="1:78" ht="15.75">
      <c r="A64" s="50"/>
      <c r="B64" s="50"/>
      <c r="C64" s="50"/>
      <c r="D64" s="50"/>
      <c r="E64" s="713"/>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0" t="s">
        <v>923</v>
      </c>
      <c r="BP64" s="591">
        <f>BQ64</f>
        <v>1.1802115431372406</v>
      </c>
      <c r="BQ64" s="591">
        <f t="shared" ref="BQ64:BQ67" si="9">BU64</f>
        <v>1.1802115431372406</v>
      </c>
      <c r="BR64" s="590" t="s">
        <v>924</v>
      </c>
      <c r="BS64" s="594">
        <f>SUM(BP63:BP67)/125</f>
        <v>9.0856271993300333E-2</v>
      </c>
      <c r="BT64" s="590" t="s">
        <v>923</v>
      </c>
      <c r="BU64" s="602">
        <v>1.1802115431372406</v>
      </c>
      <c r="BV64" s="593"/>
      <c r="BW64" s="593"/>
      <c r="BX64" s="50" t="s">
        <v>962</v>
      </c>
      <c r="BY64" s="590"/>
      <c r="BZ64" s="594"/>
    </row>
    <row r="65" spans="1:78" ht="15.75">
      <c r="A65" s="50"/>
      <c r="B65" s="50"/>
      <c r="C65" s="50"/>
      <c r="D65" s="50"/>
      <c r="E65" s="713"/>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2"/>
      <c r="BF65" s="582"/>
      <c r="BG65" s="582"/>
      <c r="BH65" s="582"/>
      <c r="BI65" s="582"/>
      <c r="BJ65" s="582"/>
      <c r="BK65" s="582"/>
      <c r="BL65" s="582"/>
      <c r="BM65" s="118"/>
      <c r="BO65" s="590" t="s">
        <v>926</v>
      </c>
      <c r="BP65" s="591">
        <f>BQ65-BQ64</f>
        <v>0.66786196495481698</v>
      </c>
      <c r="BQ65" s="591">
        <f t="shared" si="9"/>
        <v>1.8480735080920576</v>
      </c>
      <c r="BR65" s="590" t="s">
        <v>898</v>
      </c>
      <c r="BS65" s="594">
        <f>SUM(BP63:BP67)-SUM(BS63,BS64)</f>
        <v>7.97134650972286</v>
      </c>
      <c r="BT65" s="590" t="s">
        <v>926</v>
      </c>
      <c r="BU65" s="602">
        <v>1.8480735080920576</v>
      </c>
      <c r="BV65" s="593"/>
      <c r="BW65" s="593"/>
      <c r="BY65" s="590"/>
      <c r="BZ65" s="594"/>
    </row>
    <row r="66" spans="1:78" ht="15.75">
      <c r="A66" s="50"/>
      <c r="B66" s="50"/>
      <c r="C66" s="50"/>
      <c r="D66" s="50"/>
      <c r="E66" s="713"/>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0" t="s">
        <v>929</v>
      </c>
      <c r="BP66" s="591">
        <f>BQ66-BQ65</f>
        <v>1.3196245561942783</v>
      </c>
      <c r="BQ66" s="591">
        <f t="shared" si="9"/>
        <v>3.1676980642863359</v>
      </c>
      <c r="BR66" s="590"/>
      <c r="BS66" s="590"/>
      <c r="BT66" s="590" t="s">
        <v>929</v>
      </c>
      <c r="BU66" s="602">
        <v>3.1676980642863359</v>
      </c>
      <c r="BV66" s="593"/>
      <c r="BW66" s="593"/>
    </row>
    <row r="67" spans="1:78" ht="15.75">
      <c r="A67" s="50"/>
      <c r="B67" s="50"/>
      <c r="C67" s="50"/>
      <c r="D67" s="50"/>
      <c r="E67" s="713"/>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0" t="s">
        <v>930</v>
      </c>
      <c r="BP67" s="591">
        <f>BQ67-BQ66</f>
        <v>2.5108189352949353</v>
      </c>
      <c r="BQ67" s="591">
        <f t="shared" si="9"/>
        <v>5.6785169995812712</v>
      </c>
      <c r="BR67" s="590"/>
      <c r="BS67" s="590"/>
      <c r="BT67" s="590" t="s">
        <v>930</v>
      </c>
      <c r="BU67" s="602">
        <v>5.6785169995812712</v>
      </c>
      <c r="BV67" s="593"/>
      <c r="BW67" s="593"/>
    </row>
    <row r="68" spans="1:78" ht="15.75" customHeight="1">
      <c r="A68" s="50"/>
      <c r="B68" s="50"/>
      <c r="C68" s="50"/>
      <c r="D68" s="50"/>
      <c r="E68" s="713"/>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5"/>
      <c r="BP68" s="610" t="s">
        <v>907</v>
      </c>
      <c r="BQ68" s="611" t="s">
        <v>908</v>
      </c>
      <c r="BR68" s="575"/>
      <c r="BS68" s="575"/>
      <c r="BT68" s="575"/>
      <c r="BU68" s="593"/>
      <c r="BV68" s="593"/>
      <c r="BW68" s="593"/>
      <c r="BX68" s="540"/>
    </row>
    <row r="69" spans="1:78" ht="14.1" customHeight="1">
      <c r="A69" s="50"/>
      <c r="B69" s="50"/>
      <c r="C69" s="50"/>
      <c r="D69" s="50"/>
      <c r="E69" s="713"/>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89" t="s">
        <v>963</v>
      </c>
      <c r="BP69" s="589"/>
      <c r="BQ69" s="589"/>
      <c r="BR69" s="578" t="s">
        <v>914</v>
      </c>
      <c r="BS69" s="607">
        <f>IF($BO$2&gt;0,"",IF(Worksheet!H51="","",IF(ISERROR(1/Worksheet!H61),"",IF('Start Page'!$AB$22="Acre-feet",Worksheet!H51*325851/1000000,Worksheet!H51)*1000000/365/Worksheet!H61)))</f>
        <v>4590.9763903676758</v>
      </c>
      <c r="BT69" s="575"/>
      <c r="BU69" s="663" t="s">
        <v>908</v>
      </c>
      <c r="BV69" s="593"/>
      <c r="BW69" s="593"/>
      <c r="BX69" s="540"/>
      <c r="BY69" s="50" t="s">
        <v>940</v>
      </c>
      <c r="BZ69" s="717" t="str">
        <f>IF(OR(Worksheet!S92=0,Worksheet!S92="",BO2&gt;0),"",Worksheet!S92)</f>
        <v/>
      </c>
    </row>
    <row r="70" spans="1:78" ht="14.1" customHeight="1">
      <c r="A70" s="50"/>
      <c r="B70" s="50"/>
      <c r="C70" s="50"/>
      <c r="D70" s="50"/>
      <c r="E70" s="713"/>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8" t="s">
        <v>916</v>
      </c>
      <c r="BO70" s="590" t="s">
        <v>917</v>
      </c>
      <c r="BP70" s="599">
        <f>SUM(BP71:BP74)</f>
        <v>6074.127474647431</v>
      </c>
      <c r="BQ70" s="612">
        <f>IF($BD$7="ML/Yr",BW70,BU70)</f>
        <v>879.72156275907298</v>
      </c>
      <c r="BR70" s="578" t="s">
        <v>918</v>
      </c>
      <c r="BS70" s="615">
        <f>IF(BS69="","",IF(BS69&lt;BQ70,0,IF(BS69&gt;BQ74,BQ74,BS69)))</f>
        <v>4590.9763903676758</v>
      </c>
      <c r="BT70" s="590" t="s">
        <v>917</v>
      </c>
      <c r="BU70" s="601">
        <v>879.72156275907298</v>
      </c>
      <c r="BV70" s="593"/>
      <c r="BW70" s="597">
        <f>BU70*3.78541/1.60934</f>
        <v>2069.2375762013139</v>
      </c>
      <c r="BX70" s="540"/>
      <c r="BY70" s="50" t="s">
        <v>941</v>
      </c>
      <c r="BZ70" s="50" t="str">
        <f>IF(BZ69="","",IF(BZ69&lt;BQ70,0,IF(BZ69&gt;BQ74,BQ74,BZ69)))</f>
        <v/>
      </c>
    </row>
    <row r="71" spans="1:78" ht="14.1" customHeight="1">
      <c r="A71" s="50"/>
      <c r="B71" s="50"/>
      <c r="C71" s="50"/>
      <c r="D71" s="50"/>
      <c r="E71" s="713"/>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0" t="s">
        <v>923</v>
      </c>
      <c r="BP71" s="615">
        <f>BQ71</f>
        <v>1289.3731309804823</v>
      </c>
      <c r="BQ71" s="612">
        <f t="shared" ref="BQ71:BQ74" si="10">IF($BD$7="ML/Yr",BW71,BU71)</f>
        <v>1289.3731309804823</v>
      </c>
      <c r="BR71" s="590" t="s">
        <v>924</v>
      </c>
      <c r="BS71" s="594">
        <f>SUM(BP70:BP74)/125</f>
        <v>97.186039594358903</v>
      </c>
      <c r="BT71" s="590" t="s">
        <v>923</v>
      </c>
      <c r="BU71" s="601">
        <v>1289.3731309804823</v>
      </c>
      <c r="BV71" s="593"/>
      <c r="BW71" s="597">
        <f>BU71*3.78541/1.60934</f>
        <v>3032.799746321366</v>
      </c>
      <c r="BX71" s="50" t="s">
        <v>964</v>
      </c>
      <c r="BY71" s="590" t="s">
        <v>924</v>
      </c>
      <c r="BZ71" s="594" t="str">
        <f>IF(BZ70="","",SUM(BP70:BP74)/250)</f>
        <v/>
      </c>
    </row>
    <row r="72" spans="1:78" ht="14.1" customHeight="1">
      <c r="A72" s="50"/>
      <c r="B72" s="50"/>
      <c r="C72" s="50"/>
      <c r="D72" s="50"/>
      <c r="E72" s="713"/>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0" t="s">
        <v>926</v>
      </c>
      <c r="BP72" s="615">
        <f>BQ72-BQ71</f>
        <v>759.55275547112319</v>
      </c>
      <c r="BQ72" s="612">
        <f t="shared" si="10"/>
        <v>2048.9258864516055</v>
      </c>
      <c r="BR72" s="590" t="s">
        <v>898</v>
      </c>
      <c r="BS72" s="599">
        <f>SUM(BP70:BP74)-SUM(BS70,BS71)</f>
        <v>7460.0925193328276</v>
      </c>
      <c r="BT72" s="590" t="s">
        <v>926</v>
      </c>
      <c r="BU72" s="601">
        <v>2048.9258864516055</v>
      </c>
      <c r="BV72" s="593"/>
      <c r="BW72" s="597">
        <f t="shared" ref="BW72:BW74" si="11">BU72*3.78541/1.60934</f>
        <v>4819.3821938389483</v>
      </c>
      <c r="BX72" s="50" t="s">
        <v>943</v>
      </c>
      <c r="BY72" s="590" t="s">
        <v>898</v>
      </c>
      <c r="BZ72" s="594" t="str">
        <f>IF(BZ71="","",SUM(BP70:BP74)-SUM(BZ70,BZ71))</f>
        <v/>
      </c>
    </row>
    <row r="73" spans="1:78" ht="14.1" customHeight="1">
      <c r="A73" s="50"/>
      <c r="B73" s="50"/>
      <c r="C73" s="50"/>
      <c r="D73" s="50"/>
      <c r="E73" s="713"/>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0" t="s">
        <v>929</v>
      </c>
      <c r="BP73" s="615">
        <f>BQ73-BQ72</f>
        <v>1590.6845140948462</v>
      </c>
      <c r="BQ73" s="612">
        <f t="shared" si="10"/>
        <v>3639.6104005464517</v>
      </c>
      <c r="BR73" s="590"/>
      <c r="BS73" s="590"/>
      <c r="BT73" s="590" t="s">
        <v>929</v>
      </c>
      <c r="BU73" s="601">
        <v>3639.6104005464517</v>
      </c>
      <c r="BV73" s="593"/>
      <c r="BW73" s="597">
        <f t="shared" si="11"/>
        <v>8560.9116820140825</v>
      </c>
      <c r="BX73" s="50" t="s">
        <v>946</v>
      </c>
    </row>
    <row r="74" spans="1:78" ht="14.1" customHeight="1">
      <c r="A74" s="50"/>
      <c r="B74" s="50"/>
      <c r="C74" s="50"/>
      <c r="D74" s="50"/>
      <c r="E74" s="713"/>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0" t="s">
        <v>930</v>
      </c>
      <c r="BP74" s="615">
        <f>BQ74-BQ73</f>
        <v>2434.5170741009792</v>
      </c>
      <c r="BQ74" s="612">
        <f t="shared" si="10"/>
        <v>6074.127474647431</v>
      </c>
      <c r="BR74" s="590"/>
      <c r="BS74" s="590"/>
      <c r="BT74" s="590" t="s">
        <v>930</v>
      </c>
      <c r="BU74" s="601">
        <v>6074.127474647431</v>
      </c>
      <c r="BV74" s="593"/>
      <c r="BW74" s="597">
        <f t="shared" si="11"/>
        <v>14287.262408071094</v>
      </c>
      <c r="BX74" s="50" t="s">
        <v>965</v>
      </c>
    </row>
    <row r="75" spans="1:78" ht="14.1" customHeight="1">
      <c r="A75" s="50"/>
      <c r="B75" s="50"/>
      <c r="C75" s="50"/>
      <c r="D75" s="50"/>
      <c r="E75" s="713"/>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5"/>
      <c r="BU75" s="593"/>
      <c r="BV75" s="593"/>
      <c r="BW75" s="593"/>
      <c r="BX75" s="600" t="s">
        <v>966</v>
      </c>
    </row>
    <row r="76" spans="1:78" ht="14.1" customHeight="1">
      <c r="A76" s="50"/>
      <c r="B76" s="50"/>
      <c r="C76" s="50"/>
      <c r="D76" s="50"/>
      <c r="E76" s="713"/>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5"/>
      <c r="BP76" s="610" t="s">
        <v>907</v>
      </c>
      <c r="BQ76" s="611" t="s">
        <v>908</v>
      </c>
      <c r="BR76" s="575"/>
      <c r="BS76" s="575"/>
      <c r="BT76" s="575"/>
      <c r="BU76" s="593"/>
      <c r="BV76" s="593"/>
      <c r="BW76" s="593"/>
      <c r="BX76" s="612" t="s">
        <v>931</v>
      </c>
    </row>
    <row r="77" spans="1:78" ht="14.1" customHeight="1">
      <c r="A77" s="50"/>
      <c r="B77" s="50"/>
      <c r="C77" s="50"/>
      <c r="D77" s="50"/>
      <c r="E77" s="713"/>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89" t="s">
        <v>967</v>
      </c>
      <c r="BP77" s="589"/>
      <c r="BT77" s="575"/>
      <c r="BU77" s="663" t="s">
        <v>908</v>
      </c>
      <c r="BV77" s="593"/>
      <c r="BW77" s="593"/>
      <c r="BX77" s="540"/>
    </row>
    <row r="78" spans="1:78" ht="14.1" customHeight="1">
      <c r="A78" s="50"/>
      <c r="B78" s="50"/>
      <c r="C78" s="50"/>
      <c r="D78" s="50"/>
      <c r="E78" s="713"/>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8" t="s">
        <v>916</v>
      </c>
      <c r="BO78" s="590" t="s">
        <v>917</v>
      </c>
      <c r="BP78" s="599">
        <v>0</v>
      </c>
      <c r="BQ78" s="766">
        <f>IF($BD$7="ML/Yr",BW78,BU78)</f>
        <v>52.334191473572488</v>
      </c>
      <c r="BS78" s="615"/>
      <c r="BT78" s="590" t="s">
        <v>917</v>
      </c>
      <c r="BU78" s="601">
        <v>52.334191473572488</v>
      </c>
      <c r="BV78" s="593"/>
      <c r="BW78" s="597">
        <f>BU78*0.70324961490205</f>
        <v>36.804000000000002</v>
      </c>
    </row>
    <row r="79" spans="1:78" ht="14.1" customHeight="1">
      <c r="A79" s="50"/>
      <c r="B79" s="50"/>
      <c r="C79" s="50"/>
      <c r="D79" s="50"/>
      <c r="E79" s="713"/>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0" t="s">
        <v>923</v>
      </c>
      <c r="BP79" s="615">
        <f>BQ79-BQ78</f>
        <v>7.6622700288460379</v>
      </c>
      <c r="BQ79" s="766">
        <f>IF($BD$7="ML/Yr",BW79,BU79)</f>
        <v>59.996461502418526</v>
      </c>
      <c r="BS79" s="594"/>
      <c r="BT79" s="590" t="s">
        <v>923</v>
      </c>
      <c r="BU79" s="601">
        <v>59.996461502418526</v>
      </c>
      <c r="BV79" s="593"/>
      <c r="BW79" s="597">
        <f t="shared" ref="BW79:BW82" si="12">BU79*0.70324961490205</f>
        <v>42.192488447061493</v>
      </c>
      <c r="BX79" s="50" t="s">
        <v>968</v>
      </c>
    </row>
    <row r="80" spans="1:78" ht="14.1" customHeight="1">
      <c r="A80" s="50"/>
      <c r="B80" s="50"/>
      <c r="C80" s="50"/>
      <c r="D80" s="50"/>
      <c r="E80" s="713"/>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0" t="s">
        <v>926</v>
      </c>
      <c r="BP80" s="615">
        <f>BQ80-BQ79</f>
        <v>10.003538497581474</v>
      </c>
      <c r="BQ80" s="766">
        <f>IF($BD$7="ML/Yr",BW80,BU80)</f>
        <v>70</v>
      </c>
      <c r="BS80" s="599"/>
      <c r="BT80" s="590" t="s">
        <v>926</v>
      </c>
      <c r="BU80" s="601">
        <v>70</v>
      </c>
      <c r="BV80" s="593"/>
      <c r="BW80" s="597">
        <f t="shared" si="12"/>
        <v>49.227473043143497</v>
      </c>
      <c r="BX80" s="50" t="s">
        <v>946</v>
      </c>
    </row>
    <row r="81" spans="1:76" ht="14.1" customHeight="1">
      <c r="A81" s="50"/>
      <c r="B81" s="50"/>
      <c r="C81" s="50"/>
      <c r="D81" s="50"/>
      <c r="E81" s="713"/>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0" t="s">
        <v>929</v>
      </c>
      <c r="BP81" s="615">
        <f>BQ81-BQ80</f>
        <v>11.988291197308087</v>
      </c>
      <c r="BQ81" s="766">
        <f>IF($BD$7="ML/Yr",BW81,BU81)</f>
        <v>81.988291197308087</v>
      </c>
      <c r="BS81" s="590"/>
      <c r="BT81" s="590" t="s">
        <v>929</v>
      </c>
      <c r="BU81" s="601">
        <v>81.988291197308087</v>
      </c>
      <c r="BV81" s="593"/>
      <c r="BW81" s="597">
        <f t="shared" si="12"/>
        <v>57.658234210984041</v>
      </c>
      <c r="BX81" s="50" t="s">
        <v>969</v>
      </c>
    </row>
    <row r="82" spans="1:76" ht="14.1" customHeight="1">
      <c r="A82" s="50"/>
      <c r="B82" s="50"/>
      <c r="C82" s="50"/>
      <c r="D82" s="50"/>
      <c r="E82" s="713"/>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0" t="s">
        <v>930</v>
      </c>
      <c r="BP82" s="615">
        <f>BQ82-BQ81</f>
        <v>15.011708802691913</v>
      </c>
      <c r="BQ82" s="766">
        <f>IF($BD$7="ML/Yr",BW82,BU82)</f>
        <v>97</v>
      </c>
      <c r="BS82" s="590"/>
      <c r="BT82" s="590" t="s">
        <v>930</v>
      </c>
      <c r="BU82" s="601">
        <v>97</v>
      </c>
      <c r="BV82" s="593"/>
      <c r="BW82" s="597">
        <f t="shared" si="12"/>
        <v>68.215212645498852</v>
      </c>
      <c r="BX82" s="600" t="s">
        <v>970</v>
      </c>
    </row>
    <row r="83" spans="1:76" ht="14.1" customHeight="1">
      <c r="A83" s="50"/>
      <c r="B83" s="50"/>
      <c r="C83" s="50"/>
      <c r="D83" s="50"/>
      <c r="E83" s="713"/>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7" t="s">
        <v>576</v>
      </c>
      <c r="BP83" s="615">
        <f>input_AOP-BQ78</f>
        <v>28.205808526427518</v>
      </c>
      <c r="BQ83" s="607">
        <f>BP83+BQ78</f>
        <v>80.540000000000006</v>
      </c>
      <c r="BX83" s="612" t="s">
        <v>931</v>
      </c>
    </row>
    <row r="84" spans="1:76" ht="14.1" customHeight="1">
      <c r="A84" s="50"/>
      <c r="B84" s="50"/>
      <c r="C84" s="50"/>
      <c r="D84" s="50"/>
      <c r="E84" s="713"/>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3"/>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3"/>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3"/>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3"/>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3"/>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3"/>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3"/>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3"/>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3"/>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3"/>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3"/>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3"/>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3"/>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3"/>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3"/>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3"/>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3"/>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3"/>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3"/>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3"/>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3"/>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3"/>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3"/>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3"/>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3"/>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3"/>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3"/>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3"/>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3"/>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3"/>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3"/>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3"/>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3"/>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3"/>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3"/>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3"/>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3"/>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3"/>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3"/>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3"/>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3"/>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3"/>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3"/>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3"/>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3"/>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3"/>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3"/>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3"/>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3"/>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3"/>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3"/>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3"/>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3"/>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3"/>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3"/>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3"/>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3"/>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3"/>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7" t="s">
        <v>971</v>
      </c>
      <c r="C2" s="1087"/>
      <c r="D2" s="1087"/>
      <c r="E2" s="1087"/>
      <c r="F2" s="1087"/>
      <c r="G2" s="1087"/>
      <c r="H2" s="1087"/>
    </row>
    <row r="3" spans="2:21" ht="6.6" customHeight="1">
      <c r="F3" s="496"/>
      <c r="G3" s="496"/>
      <c r="H3" s="496"/>
    </row>
    <row r="4" spans="2:21" ht="13.35" customHeight="1">
      <c r="F4" s="200" t="s">
        <v>703</v>
      </c>
      <c r="G4" s="746" t="str">
        <f>IF(ISBLANK('Start Page'!AB9),"&lt;&lt; Please enter system details on the Start Page &gt;&gt;",'Start Page'!AB9&amp;IF(ISBLANK('Start Page'!AM28),"","  ("&amp;'Start Page'!AM28&amp;")"))</f>
        <v>Pennsylvania American Water</v>
      </c>
      <c r="H4" s="747" t="str">
        <f>IF(ISBLANK('Start Page'!AB19),"",'Start Page'!AB19)</f>
        <v>Calendar</v>
      </c>
    </row>
    <row r="5" spans="2:21" ht="13.35" customHeight="1">
      <c r="F5" s="200" t="s">
        <v>704</v>
      </c>
      <c r="G5" s="747">
        <f>IF(ISBLANK('Start Page'!AB18),"",'Start Page'!AB18)</f>
        <v>2023</v>
      </c>
      <c r="H5" s="747" t="str">
        <f>IF(ISBLANK('Start Page'!AB20),"",TEXT('Start Page'!AB20,"mmm dd yyyy")&amp;" - "&amp;TEXT('Start Page'!AB21,"mmm dd yyyy"))</f>
        <v>Jan 01 2023 - Dec 31 2023</v>
      </c>
    </row>
    <row r="6" spans="2:21" ht="7.35" customHeight="1">
      <c r="F6" s="497"/>
      <c r="G6" s="497"/>
      <c r="H6" s="497"/>
    </row>
    <row r="7" spans="2:21" ht="56.45" customHeight="1">
      <c r="F7" s="402" t="s">
        <v>972</v>
      </c>
      <c r="G7" s="1086"/>
      <c r="H7" s="1086"/>
    </row>
    <row r="8" spans="2:21" ht="5.45" customHeight="1">
      <c r="F8" s="809"/>
      <c r="G8" s="809"/>
      <c r="H8" s="809"/>
    </row>
    <row r="9" spans="2:21" ht="16.350000000000001" customHeight="1">
      <c r="F9" s="403" t="s">
        <v>973</v>
      </c>
      <c r="G9" s="403" t="s">
        <v>974</v>
      </c>
      <c r="H9" s="403" t="s">
        <v>975</v>
      </c>
    </row>
    <row r="10" spans="2:21" ht="28.9" customHeight="1">
      <c r="B10" s="427"/>
      <c r="C10" s="411"/>
      <c r="D10" s="427"/>
      <c r="F10" s="1083" t="s">
        <v>976</v>
      </c>
      <c r="G10" s="1080"/>
      <c r="H10" s="1080"/>
    </row>
    <row r="11" spans="2:21" ht="28.9" customHeight="1">
      <c r="B11" s="703" t="s">
        <v>873</v>
      </c>
      <c r="C11" s="411"/>
      <c r="D11" s="703" t="s">
        <v>874</v>
      </c>
      <c r="F11" s="1084"/>
      <c r="G11" s="1081"/>
      <c r="H11" s="1081"/>
      <c r="J11" s="865"/>
      <c r="K11" s="865"/>
      <c r="L11" s="865"/>
      <c r="M11" s="865"/>
      <c r="N11" s="865"/>
      <c r="O11" s="865"/>
      <c r="P11" s="865"/>
      <c r="Q11" s="865"/>
      <c r="R11" s="865"/>
      <c r="S11" s="865"/>
      <c r="T11" s="865"/>
      <c r="U11" s="273"/>
    </row>
    <row r="12" spans="2:21" ht="28.9" customHeight="1">
      <c r="B12" s="427"/>
      <c r="C12" s="411"/>
      <c r="D12" s="427"/>
      <c r="F12" s="1085"/>
      <c r="G12" s="1082"/>
      <c r="H12" s="1082"/>
      <c r="J12" s="696"/>
      <c r="K12" s="696"/>
      <c r="L12" s="696"/>
      <c r="M12" s="696"/>
      <c r="N12" s="696"/>
      <c r="O12" s="696"/>
      <c r="P12" s="696"/>
      <c r="Q12" s="696"/>
      <c r="R12" s="696"/>
      <c r="S12" s="696"/>
      <c r="T12" s="696"/>
      <c r="U12" s="696"/>
    </row>
    <row r="13" spans="2:21" ht="28.9" customHeight="1">
      <c r="B13" s="427"/>
      <c r="C13" s="411"/>
      <c r="D13" s="427"/>
      <c r="F13" s="1083" t="s">
        <v>977</v>
      </c>
      <c r="G13" s="1080"/>
      <c r="H13" s="1080"/>
      <c r="J13" s="696"/>
      <c r="K13" s="696"/>
      <c r="L13" s="696"/>
      <c r="M13" s="696"/>
      <c r="N13" s="696"/>
      <c r="O13" s="696"/>
      <c r="P13" s="696"/>
      <c r="Q13" s="696"/>
      <c r="R13" s="696"/>
      <c r="S13" s="696"/>
      <c r="T13" s="696"/>
      <c r="U13" s="696"/>
    </row>
    <row r="14" spans="2:21" ht="28.9" customHeight="1">
      <c r="B14" s="703" t="s">
        <v>873</v>
      </c>
      <c r="C14" s="411"/>
      <c r="D14" s="703" t="s">
        <v>874</v>
      </c>
      <c r="F14" s="1084"/>
      <c r="G14" s="1081"/>
      <c r="H14" s="1081"/>
    </row>
    <row r="15" spans="2:21" ht="28.9" customHeight="1">
      <c r="B15" s="704"/>
      <c r="C15" s="411"/>
      <c r="D15" s="704"/>
      <c r="F15" s="1085"/>
      <c r="G15" s="1082"/>
      <c r="H15" s="1082"/>
    </row>
    <row r="16" spans="2:21" ht="28.9" customHeight="1">
      <c r="B16" s="427"/>
      <c r="C16" s="411"/>
      <c r="D16" s="427"/>
      <c r="F16" s="1083" t="s">
        <v>978</v>
      </c>
      <c r="G16" s="1080"/>
      <c r="H16" s="1080"/>
    </row>
    <row r="17" spans="2:8" ht="28.9" customHeight="1">
      <c r="B17" s="703" t="s">
        <v>873</v>
      </c>
      <c r="C17" s="411"/>
      <c r="D17" s="703" t="s">
        <v>874</v>
      </c>
      <c r="F17" s="1084"/>
      <c r="G17" s="1081"/>
      <c r="H17" s="1081"/>
    </row>
    <row r="18" spans="2:8" ht="28.9" customHeight="1">
      <c r="B18" s="427"/>
      <c r="C18" s="411"/>
      <c r="D18" s="427"/>
      <c r="F18" s="1085"/>
      <c r="G18" s="1082"/>
      <c r="H18" s="1082"/>
    </row>
    <row r="19" spans="2:8" ht="28.9" customHeight="1">
      <c r="B19" s="427"/>
      <c r="C19" s="411"/>
      <c r="D19" s="427"/>
      <c r="F19" s="1083" t="s">
        <v>979</v>
      </c>
      <c r="G19" s="1080"/>
      <c r="H19" s="1080"/>
    </row>
    <row r="20" spans="2:8" ht="28.9" customHeight="1">
      <c r="B20" s="703" t="s">
        <v>873</v>
      </c>
      <c r="C20" s="411"/>
      <c r="D20" s="703" t="s">
        <v>874</v>
      </c>
      <c r="F20" s="1084"/>
      <c r="G20" s="1081"/>
      <c r="H20" s="1081"/>
    </row>
    <row r="21" spans="2:8" ht="28.9" customHeight="1">
      <c r="B21" s="427"/>
      <c r="C21" s="411"/>
      <c r="D21" s="427"/>
      <c r="F21" s="1085"/>
      <c r="G21" s="1082"/>
      <c r="H21" s="1082"/>
    </row>
    <row r="22" spans="2:8" ht="28.9" customHeight="1">
      <c r="B22" s="427"/>
      <c r="C22" s="411"/>
      <c r="D22" s="427"/>
      <c r="F22" s="1083" t="s">
        <v>980</v>
      </c>
      <c r="G22" s="1080"/>
      <c r="H22" s="1080"/>
    </row>
    <row r="23" spans="2:8" ht="28.9" customHeight="1">
      <c r="B23" s="703" t="s">
        <v>873</v>
      </c>
      <c r="C23" s="411"/>
      <c r="D23" s="703" t="s">
        <v>874</v>
      </c>
      <c r="F23" s="1084"/>
      <c r="G23" s="1081"/>
      <c r="H23" s="1081"/>
    </row>
    <row r="24" spans="2:8" ht="28.9" customHeight="1">
      <c r="B24" s="427"/>
      <c r="C24" s="411"/>
      <c r="D24" s="427"/>
      <c r="F24" s="1085"/>
      <c r="G24" s="1082"/>
      <c r="H24" s="1082"/>
    </row>
    <row r="25" spans="2:8" ht="28.9" customHeight="1">
      <c r="B25" s="427"/>
      <c r="C25" s="411"/>
      <c r="D25" s="427"/>
      <c r="F25" s="1083" t="s">
        <v>981</v>
      </c>
      <c r="G25" s="1077"/>
      <c r="H25" s="1077"/>
    </row>
    <row r="26" spans="2:8" ht="28.9" customHeight="1">
      <c r="B26" s="703" t="s">
        <v>873</v>
      </c>
      <c r="C26" s="411"/>
      <c r="D26" s="703" t="s">
        <v>874</v>
      </c>
      <c r="F26" s="1084"/>
      <c r="G26" s="1078"/>
      <c r="H26" s="1078"/>
    </row>
    <row r="27" spans="2:8" ht="28.9" customHeight="1">
      <c r="B27" s="427"/>
      <c r="C27" s="411"/>
      <c r="D27" s="427"/>
      <c r="F27" s="1085"/>
      <c r="G27" s="1079"/>
      <c r="H27" s="1079"/>
    </row>
    <row r="28" spans="2:8" ht="28.9" customHeight="1">
      <c r="B28" s="427"/>
      <c r="C28" s="411"/>
      <c r="D28" s="427"/>
      <c r="F28" s="1083" t="s">
        <v>982</v>
      </c>
      <c r="G28" s="1080"/>
      <c r="H28" s="1080"/>
    </row>
    <row r="29" spans="2:8" ht="28.9" customHeight="1">
      <c r="B29" s="703" t="s">
        <v>873</v>
      </c>
      <c r="C29" s="411"/>
      <c r="D29" s="703" t="s">
        <v>874</v>
      </c>
      <c r="F29" s="1084"/>
      <c r="G29" s="1081"/>
      <c r="H29" s="1081"/>
    </row>
    <row r="30" spans="2:8" ht="28.9" customHeight="1">
      <c r="B30" s="427"/>
      <c r="C30" s="411"/>
      <c r="D30" s="427"/>
      <c r="F30" s="1085"/>
      <c r="G30" s="1082"/>
      <c r="H30" s="1082"/>
    </row>
    <row r="31" spans="2:8" ht="28.9" customHeight="1">
      <c r="B31" s="427"/>
      <c r="C31" s="411"/>
      <c r="D31" s="427"/>
      <c r="F31" s="1083" t="s">
        <v>983</v>
      </c>
      <c r="G31" s="1080"/>
      <c r="H31" s="1080"/>
    </row>
    <row r="32" spans="2:8" ht="28.9" customHeight="1">
      <c r="B32" s="703" t="s">
        <v>873</v>
      </c>
      <c r="C32" s="411"/>
      <c r="D32" s="703" t="s">
        <v>874</v>
      </c>
      <c r="F32" s="1084"/>
      <c r="G32" s="1081"/>
      <c r="H32" s="1081"/>
    </row>
    <row r="33" spans="2:8" ht="28.9" customHeight="1">
      <c r="B33" s="427"/>
      <c r="C33" s="411"/>
      <c r="D33" s="427"/>
      <c r="F33" s="1085"/>
      <c r="G33" s="1082"/>
      <c r="H33" s="1082"/>
    </row>
    <row r="34" spans="2:8" ht="28.9" customHeight="1">
      <c r="B34" s="427"/>
      <c r="C34" s="411"/>
      <c r="D34" s="427"/>
      <c r="F34" s="1083" t="s">
        <v>984</v>
      </c>
      <c r="G34" s="1077"/>
      <c r="H34" s="1077"/>
    </row>
    <row r="35" spans="2:8" ht="28.9" customHeight="1">
      <c r="B35" s="703" t="s">
        <v>873</v>
      </c>
      <c r="C35" s="411"/>
      <c r="D35" s="703" t="s">
        <v>874</v>
      </c>
      <c r="F35" s="1084"/>
      <c r="G35" s="1078"/>
      <c r="H35" s="1078"/>
    </row>
    <row r="36" spans="2:8" ht="28.9" customHeight="1">
      <c r="B36" s="427"/>
      <c r="C36" s="411"/>
      <c r="D36" s="427"/>
      <c r="F36" s="1085"/>
      <c r="G36" s="1079"/>
      <c r="H36" s="1079"/>
    </row>
    <row r="37" spans="2:8" ht="28.9" customHeight="1">
      <c r="B37" s="427"/>
      <c r="C37" s="411"/>
      <c r="D37" s="427"/>
      <c r="F37" s="1083" t="s">
        <v>985</v>
      </c>
      <c r="G37" s="1077"/>
      <c r="H37" s="1077"/>
    </row>
    <row r="38" spans="2:8" ht="28.9" customHeight="1">
      <c r="B38" s="703" t="s">
        <v>873</v>
      </c>
      <c r="C38" s="411"/>
      <c r="D38" s="703" t="s">
        <v>874</v>
      </c>
      <c r="F38" s="1084"/>
      <c r="G38" s="1078"/>
      <c r="H38" s="1078"/>
    </row>
    <row r="39" spans="2:8" ht="28.9" customHeight="1">
      <c r="B39" s="427"/>
      <c r="C39" s="411"/>
      <c r="D39" s="427"/>
      <c r="F39" s="1085"/>
      <c r="G39" s="1079"/>
      <c r="H39" s="1079"/>
    </row>
    <row r="40" spans="2:8" ht="28.9" customHeight="1">
      <c r="B40" s="427"/>
      <c r="C40" s="411"/>
      <c r="D40" s="427"/>
      <c r="F40" s="1083" t="s">
        <v>986</v>
      </c>
      <c r="G40" s="1077"/>
      <c r="H40" s="1077"/>
    </row>
    <row r="41" spans="2:8" ht="28.9" customHeight="1">
      <c r="B41" s="703" t="s">
        <v>873</v>
      </c>
      <c r="C41" s="411"/>
      <c r="D41" s="703" t="s">
        <v>874</v>
      </c>
      <c r="F41" s="1084"/>
      <c r="G41" s="1078"/>
      <c r="H41" s="1078"/>
    </row>
    <row r="42" spans="2:8" ht="28.9" customHeight="1">
      <c r="B42" s="427"/>
      <c r="C42" s="411"/>
      <c r="D42" s="427"/>
      <c r="F42" s="1085"/>
      <c r="G42" s="1079"/>
      <c r="H42" s="1079"/>
    </row>
    <row r="43" spans="2:8" ht="28.9" customHeight="1">
      <c r="B43" s="427"/>
      <c r="C43" s="411"/>
      <c r="D43" s="427"/>
      <c r="F43" s="1083" t="s">
        <v>987</v>
      </c>
      <c r="G43" s="1077"/>
      <c r="H43" s="1077"/>
    </row>
    <row r="44" spans="2:8" ht="28.9" customHeight="1">
      <c r="B44" s="703" t="s">
        <v>873</v>
      </c>
      <c r="C44" s="411"/>
      <c r="D44" s="703" t="s">
        <v>874</v>
      </c>
      <c r="F44" s="1084"/>
      <c r="G44" s="1078"/>
      <c r="H44" s="1078"/>
    </row>
    <row r="45" spans="2:8" ht="28.9" customHeight="1">
      <c r="B45" s="427"/>
      <c r="C45" s="411"/>
      <c r="D45" s="427"/>
      <c r="F45" s="1085"/>
      <c r="G45" s="1079"/>
      <c r="H45" s="1079"/>
    </row>
    <row r="46" spans="2:8" ht="28.9" customHeight="1">
      <c r="B46" s="427"/>
      <c r="C46" s="411"/>
      <c r="D46" s="427"/>
      <c r="F46" s="1083" t="s">
        <v>988</v>
      </c>
      <c r="G46" s="1077"/>
      <c r="H46" s="1077"/>
    </row>
    <row r="47" spans="2:8" ht="28.9" customHeight="1">
      <c r="B47" s="703" t="s">
        <v>873</v>
      </c>
      <c r="C47" s="411"/>
      <c r="D47" s="703" t="s">
        <v>874</v>
      </c>
      <c r="F47" s="1084"/>
      <c r="G47" s="1078"/>
      <c r="H47" s="1078"/>
    </row>
    <row r="48" spans="2:8" ht="28.9" customHeight="1">
      <c r="B48" s="427"/>
      <c r="C48" s="411"/>
      <c r="D48" s="427"/>
      <c r="F48" s="1085"/>
      <c r="G48" s="1079"/>
      <c r="H48" s="1079"/>
    </row>
    <row r="49" spans="2:8" ht="28.9" customHeight="1">
      <c r="B49" s="427"/>
      <c r="C49" s="411"/>
      <c r="D49" s="427"/>
      <c r="F49" s="1083" t="s">
        <v>989</v>
      </c>
      <c r="G49" s="1077"/>
      <c r="H49" s="1077"/>
    </row>
    <row r="50" spans="2:8" ht="28.9" customHeight="1">
      <c r="B50" s="703" t="s">
        <v>873</v>
      </c>
      <c r="C50" s="411"/>
      <c r="D50" s="703" t="s">
        <v>874</v>
      </c>
      <c r="F50" s="1084"/>
      <c r="G50" s="1078"/>
      <c r="H50" s="1078"/>
    </row>
    <row r="51" spans="2:8" ht="28.9" customHeight="1">
      <c r="B51" s="427"/>
      <c r="C51" s="411"/>
      <c r="D51" s="427"/>
      <c r="F51" s="1085"/>
      <c r="G51" s="1079"/>
      <c r="H51" s="1079"/>
    </row>
    <row r="52" spans="2:8" ht="28.9" customHeight="1">
      <c r="B52" s="427"/>
      <c r="C52" s="411"/>
      <c r="D52" s="427"/>
      <c r="F52" s="1083" t="s">
        <v>990</v>
      </c>
      <c r="G52" s="1077"/>
      <c r="H52" s="1077"/>
    </row>
    <row r="53" spans="2:8" ht="28.9" customHeight="1">
      <c r="B53" s="703" t="s">
        <v>873</v>
      </c>
      <c r="C53" s="411"/>
      <c r="D53" s="703" t="s">
        <v>874</v>
      </c>
      <c r="F53" s="1084"/>
      <c r="G53" s="1078"/>
      <c r="H53" s="1078"/>
    </row>
    <row r="54" spans="2:8" ht="28.9" customHeight="1">
      <c r="B54" s="427"/>
      <c r="C54" s="411"/>
      <c r="D54" s="427"/>
      <c r="F54" s="1085"/>
      <c r="G54" s="1079"/>
      <c r="H54" s="1079"/>
    </row>
    <row r="55" spans="2:8" ht="28.9" customHeight="1">
      <c r="B55" s="427"/>
      <c r="C55" s="411"/>
      <c r="D55" s="427"/>
      <c r="F55" s="1083" t="s">
        <v>991</v>
      </c>
      <c r="G55" s="1077"/>
      <c r="H55" s="1077"/>
    </row>
    <row r="56" spans="2:8" ht="28.9" customHeight="1">
      <c r="B56" s="703" t="s">
        <v>873</v>
      </c>
      <c r="C56" s="411"/>
      <c r="D56" s="703" t="s">
        <v>874</v>
      </c>
      <c r="F56" s="1084"/>
      <c r="G56" s="1078"/>
      <c r="H56" s="1078"/>
    </row>
    <row r="57" spans="2:8" ht="28.9" customHeight="1">
      <c r="B57" s="427"/>
      <c r="C57" s="411"/>
      <c r="D57" s="427"/>
      <c r="F57" s="1085"/>
      <c r="G57" s="1079"/>
      <c r="H57" s="1079"/>
    </row>
    <row r="58" spans="2:8" ht="28.9" customHeight="1">
      <c r="B58" s="427"/>
      <c r="C58" s="411"/>
      <c r="D58" s="427"/>
      <c r="F58" s="1083" t="s">
        <v>992</v>
      </c>
      <c r="G58" s="1077"/>
      <c r="H58" s="1077"/>
    </row>
    <row r="59" spans="2:8" ht="28.9" customHeight="1">
      <c r="B59" s="703" t="s">
        <v>873</v>
      </c>
      <c r="C59" s="411"/>
      <c r="D59" s="703" t="s">
        <v>874</v>
      </c>
      <c r="F59" s="1084"/>
      <c r="G59" s="1078"/>
      <c r="H59" s="1078"/>
    </row>
    <row r="60" spans="2:8" ht="28.9" customHeight="1">
      <c r="B60" s="427"/>
      <c r="C60" s="411"/>
      <c r="D60" s="427"/>
      <c r="F60" s="1085"/>
      <c r="G60" s="1079"/>
      <c r="H60" s="1079"/>
    </row>
    <row r="61" spans="2:8" ht="28.9" customHeight="1">
      <c r="B61" s="427"/>
      <c r="C61" s="411"/>
      <c r="D61" s="427"/>
      <c r="F61" s="1083" t="s">
        <v>993</v>
      </c>
      <c r="G61" s="1077"/>
      <c r="H61" s="1077"/>
    </row>
    <row r="62" spans="2:8" ht="28.9" customHeight="1">
      <c r="B62" s="703" t="s">
        <v>873</v>
      </c>
      <c r="C62" s="411"/>
      <c r="D62" s="703" t="s">
        <v>874</v>
      </c>
      <c r="F62" s="1084"/>
      <c r="G62" s="1078"/>
      <c r="H62" s="1078"/>
    </row>
    <row r="63" spans="2:8" ht="28.9" customHeight="1">
      <c r="B63" s="427"/>
      <c r="C63" s="411"/>
      <c r="D63" s="427"/>
      <c r="F63" s="1085"/>
      <c r="G63" s="1079"/>
      <c r="H63" s="1079"/>
    </row>
    <row r="64" spans="2:8" ht="28.9" customHeight="1">
      <c r="B64" s="427"/>
      <c r="C64" s="411"/>
      <c r="D64" s="427"/>
      <c r="F64" s="1083" t="s">
        <v>994</v>
      </c>
      <c r="G64" s="1077"/>
      <c r="H64" s="1077"/>
    </row>
    <row r="65" spans="2:8" ht="28.9" customHeight="1">
      <c r="B65" s="703" t="s">
        <v>873</v>
      </c>
      <c r="C65" s="411"/>
      <c r="D65" s="703" t="s">
        <v>874</v>
      </c>
      <c r="F65" s="1084"/>
      <c r="G65" s="1078"/>
      <c r="H65" s="1078"/>
    </row>
    <row r="66" spans="2:8" ht="28.9" customHeight="1">
      <c r="B66" s="427"/>
      <c r="C66" s="411"/>
      <c r="D66" s="427"/>
      <c r="F66" s="1085"/>
      <c r="G66" s="1079"/>
      <c r="H66" s="1079"/>
    </row>
    <row r="67" spans="2:8">
      <c r="B67" s="697"/>
      <c r="C67" s="698"/>
      <c r="D67" s="697"/>
    </row>
    <row r="68" spans="2:8">
      <c r="B68" s="697"/>
      <c r="C68" s="698"/>
      <c r="D68" s="697"/>
    </row>
    <row r="69" spans="2:8">
      <c r="B69" s="697"/>
      <c r="C69" s="698"/>
      <c r="D69" s="697"/>
    </row>
    <row r="70" spans="2:8">
      <c r="B70" s="697"/>
      <c r="C70" s="698"/>
      <c r="D70" s="697"/>
    </row>
    <row r="71" spans="2:8">
      <c r="B71" s="697"/>
      <c r="C71" s="698"/>
      <c r="D71" s="697"/>
    </row>
    <row r="72" spans="2:8">
      <c r="B72" s="697"/>
      <c r="C72" s="698"/>
      <c r="D72" s="697"/>
    </row>
    <row r="73" spans="2:8">
      <c r="B73" s="697"/>
      <c r="C73" s="698"/>
      <c r="D73" s="697"/>
    </row>
    <row r="74" spans="2:8">
      <c r="B74" s="697"/>
      <c r="C74" s="698"/>
      <c r="D74" s="697"/>
    </row>
    <row r="75" spans="2:8">
      <c r="B75" s="697"/>
      <c r="C75" s="698"/>
      <c r="D75" s="697"/>
    </row>
    <row r="76" spans="2:8">
      <c r="B76" s="697"/>
      <c r="C76" s="698"/>
      <c r="D76" s="697"/>
    </row>
    <row r="77" spans="2:8">
      <c r="B77" s="697"/>
      <c r="C77" s="698"/>
      <c r="D77" s="697"/>
    </row>
    <row r="78" spans="2:8">
      <c r="B78" s="697"/>
      <c r="C78" s="698"/>
      <c r="D78" s="697"/>
    </row>
    <row r="79" spans="2:8">
      <c r="B79" s="697"/>
      <c r="C79" s="698"/>
      <c r="D79" s="697"/>
    </row>
    <row r="80" spans="2:8">
      <c r="B80" s="697"/>
      <c r="C80" s="698"/>
      <c r="D80" s="697"/>
    </row>
    <row r="81" spans="2:4">
      <c r="B81" s="697"/>
      <c r="C81" s="698"/>
      <c r="D81" s="697"/>
    </row>
    <row r="82" spans="2:4">
      <c r="B82" s="697"/>
      <c r="C82" s="698"/>
      <c r="D82" s="697"/>
    </row>
    <row r="83" spans="2:4">
      <c r="B83" s="697"/>
      <c r="C83" s="698"/>
      <c r="D83" s="697"/>
    </row>
    <row r="84" spans="2:4">
      <c r="B84" s="697"/>
      <c r="C84" s="698"/>
      <c r="D84" s="697"/>
    </row>
    <row r="85" spans="2:4">
      <c r="B85" s="697"/>
      <c r="C85" s="698"/>
      <c r="D85" s="697"/>
    </row>
    <row r="86" spans="2:4">
      <c r="B86" s="697"/>
      <c r="C86" s="698"/>
      <c r="D86" s="697"/>
    </row>
    <row r="87" spans="2:4">
      <c r="B87" s="697"/>
      <c r="C87" s="698"/>
      <c r="D87" s="697"/>
    </row>
    <row r="88" spans="2:4">
      <c r="B88" s="697"/>
      <c r="C88" s="698"/>
      <c r="D88" s="697"/>
    </row>
    <row r="89" spans="2:4">
      <c r="B89" s="697"/>
      <c r="C89" s="698"/>
      <c r="D89" s="697"/>
    </row>
    <row r="90" spans="2:4">
      <c r="B90" s="697"/>
      <c r="C90" s="698"/>
      <c r="D90" s="697"/>
    </row>
    <row r="91" spans="2:4">
      <c r="B91" s="697"/>
      <c r="C91" s="698"/>
      <c r="D91" s="697"/>
    </row>
    <row r="92" spans="2:4">
      <c r="B92" s="697"/>
      <c r="C92" s="698"/>
      <c r="D92" s="697"/>
    </row>
    <row r="93" spans="2:4">
      <c r="B93" s="697"/>
      <c r="C93" s="698"/>
      <c r="D93" s="697"/>
    </row>
    <row r="94" spans="2:4">
      <c r="B94" s="697"/>
      <c r="C94" s="698"/>
      <c r="D94" s="697"/>
    </row>
    <row r="95" spans="2:4">
      <c r="B95" s="697"/>
      <c r="C95" s="698"/>
      <c r="D95" s="697"/>
    </row>
    <row r="96" spans="2:4">
      <c r="B96" s="697"/>
      <c r="C96" s="698"/>
      <c r="D96" s="697"/>
    </row>
    <row r="97" spans="2:4">
      <c r="B97" s="697"/>
      <c r="C97" s="698"/>
      <c r="D97" s="697"/>
    </row>
    <row r="98" spans="2:4">
      <c r="B98" s="697"/>
      <c r="C98" s="698"/>
      <c r="D98" s="697"/>
    </row>
    <row r="99" spans="2:4">
      <c r="B99" s="697"/>
      <c r="C99" s="698"/>
      <c r="D99" s="697"/>
    </row>
    <row r="100" spans="2:4">
      <c r="B100" s="697"/>
      <c r="C100" s="698"/>
      <c r="D100" s="697"/>
    </row>
    <row r="101" spans="2:4">
      <c r="B101" s="697"/>
      <c r="C101" s="698"/>
      <c r="D101" s="697"/>
    </row>
    <row r="102" spans="2:4">
      <c r="B102" s="697"/>
      <c r="C102" s="698"/>
      <c r="D102" s="697"/>
    </row>
    <row r="103" spans="2:4">
      <c r="B103" s="697"/>
      <c r="C103" s="698"/>
      <c r="D103" s="697"/>
    </row>
    <row r="104" spans="2:4">
      <c r="B104" s="697"/>
      <c r="C104" s="698"/>
      <c r="D104" s="697"/>
    </row>
    <row r="105" spans="2:4">
      <c r="B105" s="697"/>
      <c r="C105" s="698"/>
      <c r="D105" s="697"/>
    </row>
    <row r="106" spans="2:4">
      <c r="B106" s="697"/>
      <c r="C106" s="698"/>
      <c r="D106" s="697"/>
    </row>
    <row r="107" spans="2:4">
      <c r="B107" s="697"/>
      <c r="C107" s="698"/>
      <c r="D107" s="697"/>
    </row>
    <row r="108" spans="2:4">
      <c r="B108" s="697"/>
      <c r="C108" s="698"/>
      <c r="D108" s="697"/>
    </row>
    <row r="109" spans="2:4">
      <c r="B109" s="697"/>
      <c r="C109" s="698"/>
      <c r="D109" s="697"/>
    </row>
    <row r="110" spans="2:4">
      <c r="B110" s="697"/>
      <c r="C110" s="698"/>
      <c r="D110" s="697"/>
    </row>
    <row r="111" spans="2:4">
      <c r="B111" s="697"/>
      <c r="C111" s="698"/>
      <c r="D111" s="697"/>
    </row>
    <row r="112" spans="2:4">
      <c r="B112" s="697"/>
      <c r="C112" s="698"/>
      <c r="D112" s="697"/>
    </row>
    <row r="113" spans="2:4">
      <c r="B113" s="697"/>
      <c r="C113" s="698"/>
      <c r="D113" s="697"/>
    </row>
    <row r="114" spans="2:4">
      <c r="B114" s="697"/>
      <c r="C114" s="698"/>
      <c r="D114" s="697"/>
    </row>
    <row r="115" spans="2:4">
      <c r="B115" s="697"/>
      <c r="C115" s="698"/>
      <c r="D115" s="697"/>
    </row>
    <row r="116" spans="2:4">
      <c r="B116" s="697"/>
      <c r="C116" s="698"/>
      <c r="D116" s="697"/>
    </row>
    <row r="117" spans="2:4">
      <c r="B117" s="697"/>
      <c r="C117" s="698"/>
      <c r="D117" s="697"/>
    </row>
    <row r="118" spans="2:4">
      <c r="B118" s="697"/>
      <c r="C118" s="698"/>
      <c r="D118" s="697"/>
    </row>
    <row r="119" spans="2:4">
      <c r="B119" s="697"/>
      <c r="C119" s="698"/>
      <c r="D119" s="697"/>
    </row>
    <row r="120" spans="2:4">
      <c r="B120" s="697"/>
      <c r="C120" s="698"/>
      <c r="D120" s="697"/>
    </row>
    <row r="121" spans="2:4">
      <c r="B121" s="697"/>
      <c r="C121" s="698"/>
      <c r="D121" s="697"/>
    </row>
    <row r="122" spans="2:4">
      <c r="B122" s="697"/>
      <c r="C122" s="698"/>
      <c r="D122" s="697"/>
    </row>
    <row r="123" spans="2:4">
      <c r="B123" s="697"/>
      <c r="C123" s="698"/>
      <c r="D123" s="697"/>
    </row>
    <row r="124" spans="2:4">
      <c r="B124" s="697"/>
      <c r="C124" s="698"/>
      <c r="D124" s="697"/>
    </row>
    <row r="125" spans="2:4">
      <c r="B125" s="697"/>
      <c r="C125" s="698"/>
      <c r="D125" s="697"/>
    </row>
    <row r="126" spans="2:4">
      <c r="B126" s="697"/>
      <c r="C126" s="698"/>
      <c r="D126" s="697"/>
    </row>
    <row r="127" spans="2:4">
      <c r="B127" s="697"/>
      <c r="C127" s="698"/>
      <c r="D127" s="697"/>
    </row>
    <row r="128" spans="2:4">
      <c r="B128" s="697"/>
      <c r="C128" s="698"/>
      <c r="D128" s="697"/>
    </row>
    <row r="129" spans="2:4">
      <c r="B129" s="697"/>
      <c r="C129" s="698"/>
      <c r="D129" s="697"/>
    </row>
    <row r="130" spans="2:4">
      <c r="B130" s="697"/>
      <c r="C130" s="698"/>
      <c r="D130" s="697"/>
    </row>
    <row r="131" spans="2:4">
      <c r="B131" s="697"/>
      <c r="C131" s="698"/>
      <c r="D131" s="697"/>
    </row>
    <row r="132" spans="2:4">
      <c r="B132" s="697"/>
      <c r="C132" s="698"/>
      <c r="D132" s="697"/>
    </row>
    <row r="133" spans="2:4">
      <c r="B133" s="697"/>
      <c r="C133" s="698"/>
      <c r="D133" s="697"/>
    </row>
    <row r="134" spans="2:4">
      <c r="B134" s="697"/>
      <c r="C134" s="698"/>
      <c r="D134" s="697"/>
    </row>
    <row r="135" spans="2:4">
      <c r="B135" s="697"/>
      <c r="C135" s="698"/>
      <c r="D135" s="697"/>
    </row>
    <row r="136" spans="2:4">
      <c r="B136" s="697"/>
      <c r="C136" s="698"/>
      <c r="D136" s="697"/>
    </row>
    <row r="137" spans="2:4">
      <c r="B137" s="697"/>
      <c r="C137" s="698"/>
      <c r="D137" s="697"/>
    </row>
    <row r="138" spans="2:4">
      <c r="B138" s="697"/>
      <c r="C138" s="698"/>
      <c r="D138" s="697"/>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995</v>
      </c>
      <c r="C1" s="7" t="s">
        <v>773</v>
      </c>
      <c r="D1" s="7" t="s">
        <v>996</v>
      </c>
      <c r="F1" s="17" t="s">
        <v>997</v>
      </c>
      <c r="G1" s="18"/>
      <c r="M1" s="28" t="s">
        <v>998</v>
      </c>
      <c r="N1" s="7" t="s">
        <v>562</v>
      </c>
      <c r="O1" s="7" t="s">
        <v>999</v>
      </c>
      <c r="P1" s="7" t="s">
        <v>1000</v>
      </c>
    </row>
    <row r="2" spans="1:16">
      <c r="A2" s="7" t="s">
        <v>562</v>
      </c>
      <c r="B2" s="19">
        <f>1000000/(F2*100)</f>
        <v>1336.8055610095364</v>
      </c>
      <c r="C2" s="19">
        <v>1000</v>
      </c>
      <c r="D2" s="19">
        <f>1000/F5</f>
        <v>3785.4117999999999</v>
      </c>
      <c r="E2" s="9"/>
      <c r="F2" s="866">
        <v>7.4805194500000001</v>
      </c>
      <c r="G2" s="15" t="s">
        <v>1001</v>
      </c>
      <c r="H2" s="8" t="s">
        <v>1002</v>
      </c>
      <c r="M2" s="7" t="s">
        <v>562</v>
      </c>
      <c r="N2" s="19">
        <v>1</v>
      </c>
      <c r="O2" s="19">
        <f>F4</f>
        <v>3.7854117999999999</v>
      </c>
      <c r="P2" s="29">
        <v>3.068883289737228</v>
      </c>
    </row>
    <row r="3" spans="1:16">
      <c r="A3" s="7" t="s">
        <v>999</v>
      </c>
      <c r="B3" s="19">
        <f>1000000/F4/(F2*100)</f>
        <v>353.14666716301156</v>
      </c>
      <c r="C3" s="19">
        <f>1000/F4</f>
        <v>264.17205124155845</v>
      </c>
      <c r="D3" s="19">
        <v>1000</v>
      </c>
      <c r="F3" s="20">
        <v>43560</v>
      </c>
      <c r="G3" s="15" t="s">
        <v>1003</v>
      </c>
      <c r="H3" s="10"/>
      <c r="M3" s="7" t="s">
        <v>999</v>
      </c>
      <c r="N3" s="19">
        <f>1/O2</f>
        <v>0.26417205124155846</v>
      </c>
      <c r="O3" s="19">
        <v>1</v>
      </c>
      <c r="P3" s="19">
        <v>0.8107131936708255</v>
      </c>
    </row>
    <row r="4" spans="1:16">
      <c r="A4" s="7" t="s">
        <v>1000</v>
      </c>
      <c r="B4" s="19">
        <f>F3/100</f>
        <v>435.6</v>
      </c>
      <c r="C4" s="19">
        <f>F3*F2/1000</f>
        <v>325.851427242</v>
      </c>
      <c r="D4" s="19">
        <f>F3*F2*F4/1000</f>
        <v>1233.4818377287083</v>
      </c>
      <c r="F4" s="26">
        <v>3.7854117999999999</v>
      </c>
      <c r="G4" s="15" t="s">
        <v>1004</v>
      </c>
      <c r="H4" s="10"/>
      <c r="M4" s="7" t="s">
        <v>1000</v>
      </c>
      <c r="N4" s="29">
        <f>325851.427242/1000000</f>
        <v>0.325851427242</v>
      </c>
      <c r="O4" s="19">
        <v>1.2334818377287082</v>
      </c>
      <c r="P4" s="19">
        <v>1</v>
      </c>
    </row>
    <row r="5" spans="1:16">
      <c r="F5" s="25">
        <f>1/F4</f>
        <v>0.26417205124155846</v>
      </c>
      <c r="G5" s="16" t="s">
        <v>1005</v>
      </c>
      <c r="H5" s="10"/>
    </row>
    <row r="6" spans="1:16" ht="13.5" thickBot="1">
      <c r="H6" s="10"/>
    </row>
    <row r="7" spans="1:16" ht="13.5" thickBot="1">
      <c r="A7" s="10" t="s">
        <v>1006</v>
      </c>
      <c r="B7" s="11">
        <v>1</v>
      </c>
      <c r="C7" s="8" t="s">
        <v>1007</v>
      </c>
      <c r="D7" s="8">
        <f>MATCH(C7,A2:A4,0)</f>
        <v>1</v>
      </c>
      <c r="H7" s="10"/>
    </row>
    <row r="8" spans="1:16" ht="13.5" thickBot="1">
      <c r="A8" s="10"/>
      <c r="E8" s="8">
        <f>INDEX($B$2:$D$4,MATCH(C7,A2:A4,0),MATCH(C9,B1:D1,0))</f>
        <v>1336.8055610095364</v>
      </c>
      <c r="H8" s="10"/>
    </row>
    <row r="9" spans="1:16" ht="13.5" thickBot="1">
      <c r="A9" s="10" t="s">
        <v>1008</v>
      </c>
      <c r="B9" s="12">
        <v>10</v>
      </c>
      <c r="C9" s="8" t="s">
        <v>995</v>
      </c>
      <c r="D9" s="8">
        <f>MATCH(C9,B1:D1,0)</f>
        <v>1</v>
      </c>
      <c r="H9" s="10"/>
    </row>
    <row r="11" spans="1:16">
      <c r="B11" s="10" t="s">
        <v>1009</v>
      </c>
      <c r="C11" s="13">
        <f>B7*B9*E8</f>
        <v>13368.055610095364</v>
      </c>
      <c r="I11" s="8" t="s">
        <v>1010</v>
      </c>
    </row>
    <row r="12" spans="1:16">
      <c r="G12" s="8" t="s">
        <v>1011</v>
      </c>
      <c r="I12" s="27" t="s">
        <v>1012</v>
      </c>
      <c r="J12" s="27"/>
      <c r="K12" s="7"/>
      <c r="L12" s="27" t="s">
        <v>1013</v>
      </c>
    </row>
    <row r="13" spans="1:16" ht="14.25">
      <c r="G13" s="8" t="s">
        <v>1014</v>
      </c>
      <c r="H13" s="867">
        <v>547500</v>
      </c>
      <c r="I13" s="868" t="s">
        <v>1015</v>
      </c>
      <c r="J13" s="30" t="s">
        <v>1016</v>
      </c>
      <c r="K13" s="8">
        <f>H13*INDEX(N2:P4,MATCH(I13,M2:M4,0),MATCH(L13,N1:P1,0))</f>
        <v>2072512.9605</v>
      </c>
      <c r="L13" s="868" t="s">
        <v>999</v>
      </c>
    </row>
    <row r="14" spans="1:16">
      <c r="K14" s="9"/>
    </row>
    <row r="15" spans="1:16">
      <c r="B15" s="8" t="s">
        <v>1017</v>
      </c>
      <c r="H15" s="788"/>
    </row>
    <row r="16" spans="1:16">
      <c r="B16" s="7" t="s">
        <v>995</v>
      </c>
      <c r="C16" s="7" t="s">
        <v>773</v>
      </c>
      <c r="D16" s="7" t="s">
        <v>996</v>
      </c>
      <c r="H16" s="8">
        <f>1500000000/1000000*365</f>
        <v>547500</v>
      </c>
      <c r="I16" s="788" t="s">
        <v>1018</v>
      </c>
    </row>
    <row r="17" spans="1:5">
      <c r="A17" s="7" t="s">
        <v>1007</v>
      </c>
      <c r="B17" s="8">
        <f>1000000/(7.48*100)</f>
        <v>1336.8983957219252</v>
      </c>
      <c r="C17" s="8">
        <v>1000</v>
      </c>
      <c r="D17" s="8">
        <f>1000000/CONVERT(1000,"l","gal")</f>
        <v>3785.4117839999994</v>
      </c>
    </row>
    <row r="18" spans="1:5">
      <c r="A18" s="7" t="s">
        <v>1019</v>
      </c>
      <c r="B18" s="8">
        <f>1000000/CONVERT((7.48*100),"gal","l")</f>
        <v>353.171192992177</v>
      </c>
      <c r="C18" s="8">
        <f>1000000/CONVERT(1000,"gal","l")</f>
        <v>264.17205235814845</v>
      </c>
      <c r="D18" s="8">
        <v>1000</v>
      </c>
    </row>
    <row r="19" spans="1:5">
      <c r="A19" s="7" t="s">
        <v>1020</v>
      </c>
      <c r="B19" s="8">
        <f>43560/100</f>
        <v>435.6</v>
      </c>
      <c r="C19" s="8">
        <f>43560/(1000/7.48)</f>
        <v>325.8288</v>
      </c>
      <c r="D19" s="8">
        <f>F3/(CONVERT(1000,"l","gal")/F2)</f>
        <v>1233.4818325150852</v>
      </c>
    </row>
    <row r="21" spans="1:5" ht="13.5" thickBot="1"/>
    <row r="22" spans="1:5" ht="13.5" thickBot="1">
      <c r="A22" s="10" t="s">
        <v>1017</v>
      </c>
      <c r="B22" s="11">
        <v>5</v>
      </c>
      <c r="C22" s="8" t="s">
        <v>773</v>
      </c>
      <c r="D22" s="8">
        <f>MATCH(C22,B16:D16,0)</f>
        <v>2</v>
      </c>
    </row>
    <row r="23" spans="1:5" ht="13.5" thickBot="1">
      <c r="A23" s="10"/>
      <c r="E23" s="8">
        <f>INDEX($B$2:$D$4,MATCH(C24,A2:A4,0),MATCH(C22,B1:D1,0))</f>
        <v>1000</v>
      </c>
    </row>
    <row r="24" spans="1:5" ht="13.5" thickBot="1">
      <c r="A24" s="10" t="s">
        <v>1021</v>
      </c>
      <c r="B24" s="12">
        <v>5000</v>
      </c>
      <c r="C24" s="8" t="s">
        <v>1007</v>
      </c>
      <c r="D24" s="8">
        <f>MATCH(C24,A17:A19,0)</f>
        <v>1</v>
      </c>
    </row>
    <row r="26" spans="1:5">
      <c r="B26" s="10" t="s">
        <v>1009</v>
      </c>
      <c r="C26" s="14">
        <f>(B22*E23)/B24</f>
        <v>1</v>
      </c>
    </row>
    <row r="27" spans="1:5">
      <c r="C27" s="8" t="s">
        <v>1022</v>
      </c>
    </row>
    <row r="28" spans="1:5">
      <c r="C28" s="8" t="s">
        <v>1023</v>
      </c>
    </row>
    <row r="31" spans="1:5">
      <c r="A31" s="9" t="s">
        <v>1024</v>
      </c>
    </row>
    <row r="33" spans="1:2">
      <c r="B33" s="8" t="s">
        <v>1025</v>
      </c>
    </row>
    <row r="37" spans="1:2">
      <c r="A37" s="9" t="s">
        <v>1026</v>
      </c>
    </row>
    <row r="38" spans="1:2">
      <c r="A38" s="21" t="s">
        <v>1027</v>
      </c>
    </row>
    <row r="39" spans="1:2">
      <c r="A39" s="8" t="s">
        <v>1028</v>
      </c>
    </row>
    <row r="40" spans="1:2">
      <c r="A40" s="8" t="s">
        <v>1029</v>
      </c>
    </row>
    <row r="42" spans="1:2">
      <c r="A42" s="24" t="s">
        <v>1030</v>
      </c>
    </row>
    <row r="43" spans="1:2">
      <c r="A43" s="24" t="s">
        <v>1031</v>
      </c>
    </row>
    <row r="44" spans="1:2">
      <c r="A44" s="24" t="s">
        <v>1032</v>
      </c>
    </row>
    <row r="45" spans="1:2">
      <c r="A45" s="24" t="s">
        <v>1033</v>
      </c>
    </row>
    <row r="47" spans="1:2">
      <c r="A47" s="22" t="s">
        <v>1034</v>
      </c>
    </row>
    <row r="48" spans="1:2">
      <c r="A48" s="22" t="s">
        <v>1035</v>
      </c>
    </row>
    <row r="49" spans="1:1">
      <c r="A49" s="22" t="s">
        <v>1036</v>
      </c>
    </row>
    <row r="50" spans="1:1">
      <c r="A50" s="22" t="s">
        <v>1033</v>
      </c>
    </row>
    <row r="52" spans="1:1">
      <c r="A52" s="23" t="s">
        <v>1037</v>
      </c>
    </row>
    <row r="53" spans="1:1">
      <c r="A53" s="23" t="s">
        <v>1035</v>
      </c>
    </row>
    <row r="54" spans="1:1">
      <c r="A54" s="23" t="s">
        <v>1036</v>
      </c>
    </row>
    <row r="55" spans="1:1">
      <c r="A55" s="23" t="s">
        <v>1033</v>
      </c>
    </row>
    <row r="78" spans="1:6">
      <c r="A78" s="788" t="s">
        <v>1038</v>
      </c>
      <c r="E78" s="8" t="str">
        <f>"Total Volume of NRW = "&amp;TEXT(SUM(C90,C91,C94,C95,C97,C99),"#,###")&amp;" "&amp;Worksheet!J15</f>
        <v>Total Volume of NRW = 24,436 MG/Yr</v>
      </c>
    </row>
    <row r="79" spans="1:6" ht="16.5">
      <c r="B79" s="46"/>
      <c r="C79" s="46"/>
      <c r="D79" s="46"/>
      <c r="E79" s="8" t="str">
        <f>IFERROR("Total Cost of NRW = $"&amp;TEXT(SUM(D90,D91,D94,D95,D96,D97,D99),"#,###")&amp;"/Yr","")</f>
        <v>Total Cost of NRW = $33,709,405/Yr</v>
      </c>
      <c r="F79" s="46"/>
    </row>
    <row r="80" spans="1:6">
      <c r="A80"/>
      <c r="B80"/>
      <c r="C80" s="47" t="str">
        <f>"Volume ("&amp;Worksheet!J15&amp;")"</f>
        <v>Volume (MG/Yr)</v>
      </c>
      <c r="D80" s="47" t="s">
        <v>1039</v>
      </c>
      <c r="E80" s="79" t="s">
        <v>1040</v>
      </c>
      <c r="F80"/>
    </row>
    <row r="81" spans="1:6">
      <c r="A81" s="118" t="s">
        <v>1041</v>
      </c>
      <c r="B81" s="118"/>
      <c r="C81" s="100">
        <f>IF(Dashboard!BO$2&gt;0,"",Worksheet!H15)</f>
        <v>68521.929999999993</v>
      </c>
      <c r="D81" s="869">
        <f>IF(Dashboard!BO$2&gt;0,"",C81*(Worksheet!$H$77))</f>
        <v>60337670.680799991</v>
      </c>
      <c r="E81" s="488">
        <f>D81</f>
        <v>60337670.680799991</v>
      </c>
      <c r="F81" s="75" t="s">
        <v>1042</v>
      </c>
    </row>
    <row r="82" spans="1:6">
      <c r="A82" s="118" t="str">
        <f>A81&amp;" MA"</f>
        <v>Vol. from own sources: MA</v>
      </c>
      <c r="B82" s="118"/>
      <c r="C82" s="100">
        <f>IF(Dashboard!BO$2&gt;0,"",Worksheet!X15)</f>
        <v>596.14079099999992</v>
      </c>
      <c r="D82" s="869">
        <f>IF(Dashboard!BO$2&gt;0,"",C82*(Worksheet!$H$77))</f>
        <v>524937.73492295993</v>
      </c>
      <c r="E82" s="488">
        <f t="shared" ref="E82:E100" si="0">D82</f>
        <v>524937.73492295993</v>
      </c>
      <c r="F82"/>
    </row>
    <row r="83" spans="1:6">
      <c r="A83" t="s">
        <v>1043</v>
      </c>
      <c r="B83"/>
      <c r="C83" s="100">
        <f>IF(Dashboard!BO$2&gt;0,"",Worksheet!H16)</f>
        <v>790.78499999999997</v>
      </c>
      <c r="D83" s="869">
        <f>IF(Dashboard!BO$2&gt;0,"",C83*(Worksheet!$H$77))</f>
        <v>696333.63959999988</v>
      </c>
      <c r="E83" s="488">
        <f t="shared" si="0"/>
        <v>696333.63959999988</v>
      </c>
      <c r="F83"/>
    </row>
    <row r="84" spans="1:6">
      <c r="A84" t="str">
        <f>A83&amp;" MA"</f>
        <v>Water imported: MA</v>
      </c>
      <c r="B84"/>
      <c r="C84" s="100">
        <f>IF(Dashboard!BO$2&gt;0,"",Worksheet!X16)</f>
        <v>0</v>
      </c>
      <c r="D84" s="869">
        <f>IF(Dashboard!BO$2&gt;0,"",C84*(Worksheet!$H$77))</f>
        <v>0</v>
      </c>
      <c r="E84" s="488">
        <f t="shared" si="0"/>
        <v>0</v>
      </c>
      <c r="F84"/>
    </row>
    <row r="85" spans="1:6">
      <c r="A85" t="s">
        <v>1044</v>
      </c>
      <c r="B85"/>
      <c r="C85" s="100">
        <f>IF(Dashboard!BO$2&gt;0,"",Worksheet!H17)</f>
        <v>773.60799999999995</v>
      </c>
      <c r="D85" s="869">
        <f>IF(Dashboard!BO$2&gt;0,"",C85*(Worksheet!$H$77))</f>
        <v>681208.26047999994</v>
      </c>
      <c r="E85" s="488">
        <f t="shared" si="0"/>
        <v>681208.26047999994</v>
      </c>
      <c r="F85"/>
    </row>
    <row r="86" spans="1:6">
      <c r="A86" t="str">
        <f>A85&amp;" MA"</f>
        <v>Water exported: MA</v>
      </c>
      <c r="B86"/>
      <c r="C86" s="100">
        <f>IF(Dashboard!BO$2&gt;0,"",Worksheet!X17)</f>
        <v>0</v>
      </c>
      <c r="D86" s="869">
        <f>IF(Dashboard!BO$2&gt;0,"",C86*(Worksheet!$H$77))</f>
        <v>0</v>
      </c>
      <c r="E86" s="488">
        <f t="shared" si="0"/>
        <v>0</v>
      </c>
      <c r="F86"/>
    </row>
    <row r="87" spans="1:6">
      <c r="A87" t="s">
        <v>730</v>
      </c>
      <c r="B87"/>
      <c r="C87" s="100">
        <f>IF(Dashboard!BO$2&gt;0,"",Worksheet!H19)</f>
        <v>69140.479733783926</v>
      </c>
      <c r="D87" s="869">
        <f>IF(Dashboard!BO$2&gt;0,"",C87*(Worksheet!$H$77))</f>
        <v>60882340.834380768</v>
      </c>
      <c r="E87" s="488">
        <f t="shared" si="0"/>
        <v>60882340.834380768</v>
      </c>
      <c r="F87"/>
    </row>
    <row r="88" spans="1:6">
      <c r="A88" s="118" t="s">
        <v>1045</v>
      </c>
      <c r="B88"/>
      <c r="C88" s="100">
        <f>IF(Dashboard!BO$2&gt;0,"",Worksheet!H23)</f>
        <v>44696.398999999998</v>
      </c>
      <c r="D88" s="869">
        <f>IF(Dashboard!BO$2&gt;0,"",C88*(Worksheet!$H$76*1000))</f>
        <v>518925192.38999999</v>
      </c>
      <c r="E88" s="488">
        <f t="shared" si="0"/>
        <v>518925192.38999999</v>
      </c>
      <c r="F88"/>
    </row>
    <row r="89" spans="1:6">
      <c r="A89" s="118" t="s">
        <v>1046</v>
      </c>
      <c r="B89"/>
      <c r="C89" s="100">
        <f>IF(Dashboard!BO$2&gt;0,"",Worksheet!H24)</f>
        <v>0</v>
      </c>
      <c r="D89" s="869">
        <f>IF(Dashboard!BO$2&gt;0,"",C89*(Worksheet!$H$76*1000))</f>
        <v>0</v>
      </c>
      <c r="E89" s="488">
        <f t="shared" si="0"/>
        <v>0</v>
      </c>
      <c r="F89"/>
    </row>
    <row r="90" spans="1:6">
      <c r="A90" s="796" t="str">
        <f>"Unbilled Metered (UMAC) valued at "&amp;A76&amp;""</f>
        <v xml:space="preserve">Unbilled Metered (UMAC) valued at </v>
      </c>
      <c r="B90" s="793"/>
      <c r="C90" s="794">
        <f>IF(Dashboard!BO$2&gt;0,"",Worksheet!H25)</f>
        <v>390.065</v>
      </c>
      <c r="D90" s="870">
        <f>IF(Dashboard!BO$2&gt;0,"",IF(ISBLANK('Start Page'!AB22),"",IF(AND(ISBLANK(Worksheet!H77),Worksheet!Z77&lt;&gt;1),"",Worksheet!H25*(IF(Dashboard!BD29=FALSE,Worksheet!H77,IF(Dashboard!BD29=TRUE,Worksheet!H76*INDEX(Sheet1!B2:D4,MATCH('Start Page'!AB22,Sheet1!A2:A4,0),MATCH(Worksheet!J76,Sheet1!B1:D1,0)),""))))))</f>
        <v>343475.63639999996</v>
      </c>
      <c r="E90" s="795">
        <f t="shared" si="0"/>
        <v>343475.63639999996</v>
      </c>
      <c r="F90"/>
    </row>
    <row r="91" spans="1:6">
      <c r="A91" s="796" t="str">
        <f>"Unbilled Unmetered (UUAC) valued at "&amp;A76&amp;""</f>
        <v xml:space="preserve">Unbilled Unmetered (UUAC) valued at </v>
      </c>
      <c r="B91" s="793"/>
      <c r="C91" s="794">
        <f>IF(Dashboard!BO$2&gt;0,"",Worksheet!H26)</f>
        <v>5576.8950000000004</v>
      </c>
      <c r="D91" s="870">
        <f>IF(Dashboard!BO$2&gt;0,"",IF(ISBLANK('Start Page'!AB22),"",IF(AND(ISBLANK(Worksheet!H77),Worksheet!Z77&lt;&gt;1),"",Worksheet!H26*(IF(Dashboard!BD29=FALSE,Worksheet!H77,IF(Dashboard!BD29=TRUE,Worksheet!H76*INDEX(Sheet1!B2:D4,MATCH('Start Page'!AB22,Sheet1!A2:A4,0),MATCH(Worksheet!J76,Sheet1!B1:D1,0)),""))))))</f>
        <v>4910790.6612</v>
      </c>
      <c r="E91" s="795">
        <f t="shared" si="0"/>
        <v>4910790.6612</v>
      </c>
      <c r="F91"/>
    </row>
    <row r="92" spans="1:6">
      <c r="A92" s="118" t="s">
        <v>1047</v>
      </c>
      <c r="B92" s="871" t="s">
        <v>1048</v>
      </c>
      <c r="C92" s="100">
        <f>IF(Dashboard!BO$2&gt;0,"",Worksheet!H30)</f>
        <v>50663.358999999997</v>
      </c>
      <c r="D92" s="869">
        <f>IF(Dashboard!BO$2&gt;0,"",C92*(Worksheet!$H$76*1000))</f>
        <v>588201597.99000001</v>
      </c>
      <c r="E92" s="488">
        <f t="shared" si="0"/>
        <v>588201597.99000001</v>
      </c>
      <c r="F92"/>
    </row>
    <row r="93" spans="1:6">
      <c r="A93" t="s">
        <v>1049</v>
      </c>
      <c r="B93"/>
      <c r="C93" s="100">
        <f>IF(Dashboard!BO$2&gt;0,"",Worksheet!H35)</f>
        <v>18477.12073378393</v>
      </c>
      <c r="D93" s="869"/>
      <c r="E93" s="488">
        <f t="shared" si="0"/>
        <v>0</v>
      </c>
      <c r="F93"/>
    </row>
    <row r="94" spans="1:6">
      <c r="A94" s="171" t="s">
        <v>1050</v>
      </c>
      <c r="B94" s="118"/>
      <c r="C94" s="102">
        <f>IF(Dashboard!BO$2&gt;0,"",Worksheet!H43)</f>
        <v>111.74099749999999</v>
      </c>
      <c r="D94" s="872">
        <f>IF(Dashboard!BO$2&gt;0,"",IF(ISBLANK('Start Page'!AB22),"",IF(AND(ISBLANK(Worksheet!H77),Worksheet!Z77&lt;&gt;1),"",C94*Worksheet!H76*INDEX(Sheet1!B2:D4,MATCH('Start Page'!AB22,Sheet1!A2:A4,0),MATCH(Worksheet!J76,Sheet1!B1:D1,0)))))</f>
        <v>1297312.980975</v>
      </c>
      <c r="E94" s="489">
        <f t="shared" si="0"/>
        <v>1297312.980975</v>
      </c>
      <c r="F94" s="103"/>
    </row>
    <row r="95" spans="1:6">
      <c r="A95" s="784" t="s">
        <v>1051</v>
      </c>
      <c r="B95" s="784"/>
      <c r="C95" s="785">
        <f>Worksheet!X50</f>
        <v>912.17140816326719</v>
      </c>
      <c r="D95" s="873">
        <f>IF(Dashboard!BO$2&gt;0,"",IF(ISBLANK('Start Page'!AB22),"",IF(AND(ISBLANK(Worksheet!H77),Worksheet!Z77&lt;&gt;1),"",C95*Worksheet!H76*INDEX(Sheet1!B2:D4,MATCH('Start Page'!AB22,Sheet1!A2:A4,0),MATCH(Worksheet!J76,Sheet1!B1:D1,0)))))</f>
        <v>10590310.048775531</v>
      </c>
      <c r="E95" s="786">
        <f t="shared" si="0"/>
        <v>10590310.048775531</v>
      </c>
      <c r="F95" s="103"/>
    </row>
    <row r="96" spans="1:6">
      <c r="A96" s="784" t="s">
        <v>1052</v>
      </c>
      <c r="B96" s="784"/>
      <c r="C96" s="785">
        <f>Worksheet!Y50</f>
        <v>7.9605102040816291</v>
      </c>
      <c r="D96" s="873">
        <f>C96*input_VPC</f>
        <v>7009.7068653061187</v>
      </c>
      <c r="E96" s="786">
        <f t="shared" si="0"/>
        <v>7009.7068653061187</v>
      </c>
      <c r="F96" s="787" t="s">
        <v>1053</v>
      </c>
    </row>
    <row r="97" spans="1:7">
      <c r="A97" s="171" t="s">
        <v>1054</v>
      </c>
      <c r="B97" s="118"/>
      <c r="C97" s="102">
        <f>IF(Dashboard!BO$2&gt;0,"",Worksheet!H39)</f>
        <v>111.74099749999999</v>
      </c>
      <c r="D97" s="872">
        <f>IF(Dashboard!BO$2&gt;0,"",IF(ISBLANK('Start Page'!AB22),"",IF(AND(ISBLANK(Worksheet!H77),Worksheet!Z77&lt;&gt;1),"",C97*Worksheet!H76*INDEX(Sheet1!B2:D4,MATCH('Start Page'!AB22,Sheet1!A2:A4,0),MATCH(Worksheet!J76,Sheet1!B1:D1,0)))))</f>
        <v>1297312.980975</v>
      </c>
      <c r="E97" s="489">
        <f t="shared" si="0"/>
        <v>1297312.980975</v>
      </c>
      <c r="F97" s="103"/>
    </row>
    <row r="98" spans="1:7">
      <c r="A98" s="791" t="s">
        <v>747</v>
      </c>
      <c r="B98" s="791"/>
      <c r="C98" s="792">
        <f>IF(Dashboard!BO$2&gt;0,"",Worksheet!H46)</f>
        <v>1143.6139133673478</v>
      </c>
      <c r="D98" s="874">
        <f>IF(Dashboard!BO$2&gt;0,"",SUM(D94:D97))</f>
        <v>13191945.717590839</v>
      </c>
      <c r="E98" s="488">
        <f t="shared" si="0"/>
        <v>13191945.717590839</v>
      </c>
      <c r="F98"/>
    </row>
    <row r="99" spans="1:7">
      <c r="A99" s="171" t="str">
        <f>"Real Losses valued at "&amp;A76&amp;""</f>
        <v xml:space="preserve">Real Losses valued at </v>
      </c>
      <c r="B99" s="118"/>
      <c r="C99" s="102">
        <f>IF(Dashboard!BO$2&gt;0,"",Worksheet!H51)</f>
        <v>17333.50682041658</v>
      </c>
      <c r="D99" s="875">
        <f>IF(Dashboard!BO$2&gt;0,"",Dashboard!N50)</f>
        <v>15263192.765786022</v>
      </c>
      <c r="E99" s="489">
        <f t="shared" si="0"/>
        <v>15263192.765786022</v>
      </c>
      <c r="F99" s="488"/>
    </row>
    <row r="100" spans="1:7">
      <c r="A100" t="s">
        <v>755</v>
      </c>
      <c r="B100"/>
      <c r="C100" s="100">
        <f>IF(Dashboard!BO$2&gt;0,"",Worksheet!H57)</f>
        <v>24444.080733783929</v>
      </c>
      <c r="D100" s="101">
        <f>IF(Dashboard!BO$2&gt;0,"",D98+D99+D90+D91)</f>
        <v>33709404.780976862</v>
      </c>
      <c r="E100" s="488">
        <f t="shared" si="0"/>
        <v>33709404.780976862</v>
      </c>
      <c r="F100"/>
      <c r="G100" s="104"/>
    </row>
    <row r="101" spans="1:7">
      <c r="A101" s="788"/>
    </row>
    <row r="102" spans="1:7">
      <c r="A102" s="788" t="s">
        <v>1055</v>
      </c>
      <c r="C102" s="789">
        <f>C95+C96</f>
        <v>920.13191836734882</v>
      </c>
      <c r="D102" s="104">
        <f>D95+D96</f>
        <v>10597319.755640838</v>
      </c>
      <c r="E102" s="104">
        <f>E95+E96</f>
        <v>10597319.755640838</v>
      </c>
    </row>
    <row r="104" spans="1:7">
      <c r="D104" s="104"/>
    </row>
    <row r="113" spans="7:15">
      <c r="G113" s="790"/>
    </row>
    <row r="122" spans="7:15" ht="75.599999999999994" customHeight="1">
      <c r="L122" s="780" t="s">
        <v>1056</v>
      </c>
      <c r="M122" s="778"/>
      <c r="N122" s="780" t="str">
        <f>Dashboard!BO3</f>
        <v>ok</v>
      </c>
      <c r="O122" s="778"/>
    </row>
    <row r="123" spans="7:15" ht="75.599999999999994" customHeight="1">
      <c r="L123" s="780" t="s">
        <v>1057</v>
      </c>
      <c r="M123" s="778"/>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1058</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1059</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3" t="s">
        <v>579</v>
      </c>
      <c r="C5" s="373"/>
      <c r="D5" s="373"/>
      <c r="E5" s="649" t="s">
        <v>703</v>
      </c>
      <c r="F5" s="1102" t="str">
        <f>IF(ISBLANK('Start Page'!AB9),"&lt;&lt; Please enter system details on the Start Page &gt;&gt;",'Start Page'!AB9&amp;IF(ISBLANK('Start Page'!AM28),"","  ("&amp;'Start Page'!AM28&amp;")"))</f>
        <v>Pennsylvania American Water</v>
      </c>
      <c r="G5" s="1103"/>
      <c r="H5" s="375"/>
      <c r="I5" s="4"/>
    </row>
    <row r="6" spans="2:16" ht="18" customHeight="1">
      <c r="B6" s="372"/>
      <c r="C6" s="381"/>
      <c r="D6" s="373"/>
      <c r="E6" s="649" t="s">
        <v>704</v>
      </c>
      <c r="F6" s="650">
        <f>IF(ISBLANK('Start Page'!AB18),"",'Start Page'!AB18)</f>
        <v>2023</v>
      </c>
      <c r="G6" s="651" t="str">
        <f>IF(ISBLANK('Start Page'!AB20),"",TEXT('Start Page'!AB20,"mmm dd yyyy")&amp;" - "&amp;TEXT('Start Page'!AB21,"mmm dd yyyy"))</f>
        <v>Jan 01 2023 - Dec 31 2023</v>
      </c>
      <c r="H6" s="376"/>
      <c r="I6" s="4"/>
    </row>
    <row r="7" spans="2:16" ht="18" customHeight="1">
      <c r="B7" s="372"/>
      <c r="C7" s="373"/>
      <c r="D7" s="373"/>
      <c r="E7" s="649" t="s">
        <v>886</v>
      </c>
      <c r="F7" s="650" t="str">
        <f>Dashboard!BR4</f>
        <v>Tier IV (71-90)</v>
      </c>
      <c r="G7" s="652" t="str">
        <f>IF(F7="N/A*","* Confirm Units and Data Grading are Complete","")</f>
        <v/>
      </c>
      <c r="H7" s="375"/>
      <c r="I7" s="4"/>
    </row>
    <row r="8" spans="2:16" ht="6.75" customHeight="1" thickBot="1">
      <c r="B8" s="377"/>
      <c r="C8" s="378"/>
      <c r="D8" s="378"/>
      <c r="E8" s="378"/>
      <c r="F8" s="378"/>
      <c r="G8" s="379"/>
      <c r="H8" s="380"/>
      <c r="I8" s="4"/>
    </row>
    <row r="9" spans="2:16" ht="52.9" customHeight="1" thickTop="1">
      <c r="B9" s="876"/>
      <c r="C9" s="877"/>
      <c r="D9" s="275" t="s">
        <v>1060</v>
      </c>
      <c r="E9" s="1104" t="s">
        <v>1061</v>
      </c>
      <c r="F9" s="1105"/>
      <c r="G9" s="1106"/>
      <c r="H9" s="276" t="s">
        <v>1062</v>
      </c>
      <c r="I9" s="4"/>
    </row>
    <row r="10" spans="2:16" ht="16.5" customHeight="1" thickBot="1">
      <c r="B10" s="876"/>
      <c r="C10" s="118"/>
      <c r="D10" s="277">
        <f>Worksheet!AG17</f>
        <v>773.60799999999995</v>
      </c>
      <c r="E10" s="1107"/>
      <c r="F10" s="1108"/>
      <c r="G10" s="1109"/>
      <c r="H10" s="278">
        <f>D10</f>
        <v>773.60799999999995</v>
      </c>
      <c r="I10" s="4"/>
    </row>
    <row r="11" spans="2:16" ht="30" customHeight="1">
      <c r="B11" s="279"/>
      <c r="C11" s="280"/>
      <c r="D11" s="281"/>
      <c r="E11" s="282"/>
      <c r="F11" s="1098" t="s">
        <v>1063</v>
      </c>
      <c r="G11" s="283" t="s">
        <v>1064</v>
      </c>
      <c r="H11" s="284" t="s">
        <v>1065</v>
      </c>
      <c r="I11" s="4"/>
      <c r="K11" s="754"/>
      <c r="L11" s="99"/>
      <c r="M11" s="99"/>
      <c r="N11" s="99"/>
      <c r="O11" s="99"/>
      <c r="P11" s="99"/>
    </row>
    <row r="12" spans="2:16" ht="15.75" customHeight="1">
      <c r="B12" s="1089" t="s">
        <v>1066</v>
      </c>
      <c r="C12" s="285"/>
      <c r="D12" s="286"/>
      <c r="E12" s="1098" t="s">
        <v>1047</v>
      </c>
      <c r="F12" s="1098"/>
      <c r="G12" s="287">
        <f>Worksheet!H23</f>
        <v>44696.398999999998</v>
      </c>
      <c r="H12" s="878"/>
      <c r="I12" s="4"/>
      <c r="K12" s="755"/>
    </row>
    <row r="13" spans="2:16" ht="22.5" customHeight="1">
      <c r="B13" s="1089"/>
      <c r="C13" s="288"/>
      <c r="D13" s="286"/>
      <c r="E13" s="1098"/>
      <c r="F13" s="290">
        <f>Worksheet!H23+Worksheet!H24</f>
        <v>44696.398999999998</v>
      </c>
      <c r="G13" s="880" t="s">
        <v>1067</v>
      </c>
      <c r="H13" s="291">
        <f>SUM(G12+G14)</f>
        <v>44696.398999999998</v>
      </c>
      <c r="I13" s="4"/>
      <c r="K13" s="118"/>
      <c r="L13" s="99"/>
      <c r="M13" s="99"/>
      <c r="N13" s="99"/>
      <c r="O13" s="99"/>
      <c r="P13" s="99"/>
    </row>
    <row r="14" spans="2:16" ht="15.75" customHeight="1">
      <c r="B14" s="1100" t="s">
        <v>1068</v>
      </c>
      <c r="C14" s="292"/>
      <c r="D14" s="286"/>
      <c r="E14" s="293"/>
      <c r="F14" s="294"/>
      <c r="G14" s="295">
        <f>Worksheet!H24</f>
        <v>0</v>
      </c>
      <c r="H14" s="879"/>
      <c r="I14" s="4"/>
      <c r="K14" s="118"/>
    </row>
    <row r="15" spans="2:16" ht="15.75" customHeight="1">
      <c r="B15" s="1101"/>
      <c r="C15" s="292"/>
      <c r="D15" s="286"/>
      <c r="E15" s="296">
        <f>Worksheet!H30</f>
        <v>50663.358999999997</v>
      </c>
      <c r="F15" s="1099" t="s">
        <v>1069</v>
      </c>
      <c r="G15" s="881" t="s">
        <v>1070</v>
      </c>
      <c r="H15" s="1096" t="s">
        <v>1071</v>
      </c>
      <c r="I15" s="4"/>
      <c r="K15" s="118"/>
      <c r="L15" s="99"/>
      <c r="M15" s="99"/>
      <c r="N15" s="99"/>
      <c r="O15" s="99"/>
      <c r="P15" s="99"/>
    </row>
    <row r="16" spans="2:16" ht="15.75" customHeight="1">
      <c r="B16" s="297"/>
      <c r="C16" s="285"/>
      <c r="D16" s="286"/>
      <c r="E16" s="194"/>
      <c r="F16" s="1098"/>
      <c r="G16" s="298">
        <f>Worksheet!H25</f>
        <v>390.065</v>
      </c>
      <c r="H16" s="1097"/>
      <c r="I16" s="4"/>
      <c r="K16" s="118"/>
    </row>
    <row r="17" spans="2:16" ht="22.5" customHeight="1">
      <c r="B17" s="299">
        <f>Worksheet!AG15</f>
        <v>69123.302733783916</v>
      </c>
      <c r="C17" s="300"/>
      <c r="D17" s="301"/>
      <c r="E17" s="194"/>
      <c r="F17" s="302">
        <f>Worksheet!H25+Worksheet!H26</f>
        <v>5966.96</v>
      </c>
      <c r="G17" s="289" t="s">
        <v>1072</v>
      </c>
      <c r="H17" s="878"/>
      <c r="I17" s="4"/>
      <c r="K17" s="118"/>
      <c r="L17" s="99"/>
      <c r="M17" s="99"/>
      <c r="N17" s="99"/>
      <c r="O17" s="99"/>
      <c r="P17" s="99"/>
    </row>
    <row r="18" spans="2:16" ht="15.75" customHeight="1">
      <c r="B18" s="297"/>
      <c r="C18" s="1110" t="s">
        <v>1073</v>
      </c>
      <c r="D18" s="286"/>
      <c r="E18" s="303"/>
      <c r="F18" s="294"/>
      <c r="G18" s="304">
        <f>Worksheet!H26</f>
        <v>5576.8950000000004</v>
      </c>
      <c r="H18" s="878"/>
      <c r="I18" s="4"/>
      <c r="K18" s="118"/>
    </row>
    <row r="19" spans="2:16" ht="22.5" customHeight="1">
      <c r="B19" s="297"/>
      <c r="C19" s="1110"/>
      <c r="D19" s="814" t="s">
        <v>1074</v>
      </c>
      <c r="E19" s="282"/>
      <c r="F19" s="882"/>
      <c r="G19" s="880" t="s">
        <v>1075</v>
      </c>
      <c r="H19" s="305">
        <f>Worksheet!H25+Worksheet!H26+Worksheet!H46+Worksheet!H51</f>
        <v>24444.080733783929</v>
      </c>
      <c r="I19" s="4"/>
      <c r="K19" s="118"/>
      <c r="L19" s="99"/>
      <c r="M19" s="99"/>
      <c r="N19" s="99"/>
      <c r="O19" s="99"/>
      <c r="P19" s="99"/>
    </row>
    <row r="20" spans="2:16" ht="15.75" customHeight="1">
      <c r="B20" s="297"/>
      <c r="C20" s="306">
        <f>B17+B27</f>
        <v>69914.087733783919</v>
      </c>
      <c r="D20" s="286"/>
      <c r="E20" s="194"/>
      <c r="F20" s="307" t="s">
        <v>743</v>
      </c>
      <c r="G20" s="298">
        <f>Worksheet!H39</f>
        <v>111.74099749999999</v>
      </c>
      <c r="H20" s="878"/>
      <c r="I20" s="4"/>
      <c r="K20" s="118"/>
    </row>
    <row r="21" spans="2:16" ht="14.25" customHeight="1">
      <c r="B21" s="308"/>
      <c r="C21" s="309"/>
      <c r="D21" s="306">
        <f>Worksheet!H19</f>
        <v>69140.479733783926</v>
      </c>
      <c r="E21" s="310"/>
      <c r="F21" s="302">
        <f>Worksheet!H46</f>
        <v>1143.6139133673478</v>
      </c>
      <c r="G21" s="289" t="s">
        <v>1076</v>
      </c>
      <c r="H21" s="878"/>
      <c r="I21" s="4"/>
      <c r="K21" s="118"/>
      <c r="L21" s="99"/>
      <c r="M21" s="99"/>
      <c r="N21" s="99"/>
      <c r="O21" s="99"/>
      <c r="P21" s="99"/>
    </row>
    <row r="22" spans="2:16" ht="15.75" customHeight="1">
      <c r="B22" s="297"/>
      <c r="C22" s="285"/>
      <c r="D22" s="286"/>
      <c r="E22" s="194"/>
      <c r="F22" s="310"/>
      <c r="G22" s="311">
        <f>Worksheet!H41</f>
        <v>920.13191836734768</v>
      </c>
      <c r="H22" s="878"/>
      <c r="I22" s="4"/>
      <c r="K22" s="118"/>
    </row>
    <row r="23" spans="2:16" ht="23.25" customHeight="1">
      <c r="B23" s="297"/>
      <c r="C23" s="285"/>
      <c r="D23" s="286"/>
      <c r="E23" s="194"/>
      <c r="F23" s="310"/>
      <c r="G23" s="880" t="s">
        <v>1077</v>
      </c>
      <c r="H23" s="878"/>
      <c r="I23" s="4"/>
      <c r="K23" s="118"/>
      <c r="L23" s="99"/>
      <c r="M23" s="99"/>
      <c r="N23" s="99"/>
      <c r="O23" s="99"/>
      <c r="P23" s="99"/>
    </row>
    <row r="24" spans="2:16" ht="15.75" customHeight="1">
      <c r="B24" s="297"/>
      <c r="C24" s="285"/>
      <c r="D24" s="286"/>
      <c r="E24" s="312" t="s">
        <v>1049</v>
      </c>
      <c r="F24" s="294"/>
      <c r="G24" s="298">
        <f>Worksheet!H43</f>
        <v>111.74099749999999</v>
      </c>
      <c r="H24" s="878"/>
      <c r="I24" s="4"/>
      <c r="K24" s="118"/>
    </row>
    <row r="25" spans="2:16" ht="26.25" customHeight="1">
      <c r="B25" s="1088" t="s">
        <v>1078</v>
      </c>
      <c r="C25" s="288"/>
      <c r="D25" s="286"/>
      <c r="E25" s="313">
        <f>Worksheet!H53</f>
        <v>18477.12073378393</v>
      </c>
      <c r="F25" s="310"/>
      <c r="G25" s="289" t="s">
        <v>1079</v>
      </c>
      <c r="H25" s="878"/>
      <c r="I25" s="4"/>
      <c r="K25" s="118"/>
      <c r="L25" s="99"/>
      <c r="M25" s="99"/>
      <c r="N25" s="99"/>
      <c r="O25" s="99"/>
      <c r="P25" s="99"/>
    </row>
    <row r="26" spans="2:16" ht="15.75" customHeight="1">
      <c r="B26" s="1089"/>
      <c r="C26" s="285"/>
      <c r="D26" s="286"/>
      <c r="E26" s="194"/>
      <c r="F26" s="307" t="s">
        <v>951</v>
      </c>
      <c r="G26" s="314" t="s">
        <v>1080</v>
      </c>
      <c r="H26" s="878"/>
      <c r="I26" s="4"/>
    </row>
    <row r="27" spans="2:16" ht="24.75" customHeight="1">
      <c r="B27" s="299">
        <f>Worksheet!AG16</f>
        <v>790.78499999999997</v>
      </c>
      <c r="C27" s="300"/>
      <c r="D27" s="286"/>
      <c r="E27" s="194"/>
      <c r="F27" s="302">
        <f>Worksheet!H51</f>
        <v>17333.50682041658</v>
      </c>
      <c r="G27" s="880" t="s">
        <v>1081</v>
      </c>
      <c r="H27" s="878"/>
      <c r="I27" s="4"/>
      <c r="L27" s="99"/>
      <c r="M27" s="99"/>
      <c r="N27" s="99"/>
      <c r="O27" s="99"/>
      <c r="P27" s="99"/>
    </row>
    <row r="28" spans="2:16" ht="16.5" customHeight="1">
      <c r="B28" s="297"/>
      <c r="C28" s="285"/>
      <c r="D28" s="286"/>
      <c r="E28" s="194"/>
      <c r="F28" s="310"/>
      <c r="G28" s="315" t="s">
        <v>1080</v>
      </c>
      <c r="H28" s="878"/>
      <c r="I28" s="4"/>
    </row>
    <row r="29" spans="2:16" ht="12.75" customHeight="1">
      <c r="B29" s="297"/>
      <c r="C29" s="285"/>
      <c r="D29" s="286"/>
      <c r="E29" s="194"/>
      <c r="F29" s="310"/>
      <c r="G29" s="289" t="s">
        <v>1082</v>
      </c>
      <c r="H29" s="878"/>
      <c r="I29" s="4"/>
      <c r="L29" s="99"/>
      <c r="M29" s="99"/>
      <c r="N29" s="99"/>
      <c r="O29" s="99"/>
      <c r="P29" s="99"/>
    </row>
    <row r="30" spans="2:16" ht="14.25" thickBot="1">
      <c r="B30" s="316"/>
      <c r="C30" s="317"/>
      <c r="D30" s="318"/>
      <c r="E30" s="319"/>
      <c r="F30" s="320"/>
      <c r="G30" s="321" t="s">
        <v>1080</v>
      </c>
      <c r="H30" s="883"/>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1" t="s">
        <v>1083</v>
      </c>
      <c r="C2" s="1142"/>
      <c r="D2" s="1142"/>
      <c r="E2" s="1142"/>
      <c r="F2" s="1142"/>
      <c r="G2" s="1142"/>
      <c r="H2" s="1142"/>
      <c r="I2" s="1142"/>
      <c r="J2" s="1142"/>
      <c r="K2" s="1142"/>
      <c r="L2" s="1142"/>
      <c r="M2" s="1142"/>
      <c r="N2" s="1142"/>
      <c r="O2" s="1142"/>
      <c r="P2" s="1142"/>
      <c r="Q2" s="1142"/>
      <c r="R2" s="1142"/>
      <c r="S2" s="1143"/>
      <c r="T2" s="91"/>
    </row>
    <row r="3" spans="1:20" ht="5.45" customHeight="1">
      <c r="A3" s="96"/>
      <c r="B3" s="322"/>
      <c r="S3" s="323"/>
      <c r="T3" s="91"/>
    </row>
    <row r="4" spans="1:20" ht="17.100000000000001" customHeight="1">
      <c r="A4" s="96"/>
      <c r="B4" s="322"/>
      <c r="E4" s="46"/>
      <c r="F4" s="274" t="s">
        <v>703</v>
      </c>
      <c r="G4" s="1111" t="str">
        <f>IF(ISBLANK('Start Page'!AB9),"&lt;&lt; Please enter system details on the Start Page &gt;&gt;",'Start Page'!AB9&amp;IF(ISBLANK('Start Page'!AM28),"","  ("&amp;'Start Page'!AM28&amp;")"))</f>
        <v>Pennsylvania American Water</v>
      </c>
      <c r="H4" s="1112"/>
      <c r="I4" s="1112"/>
      <c r="J4" s="1112"/>
      <c r="K4" s="1112"/>
      <c r="L4" s="1112"/>
      <c r="M4" s="1112"/>
      <c r="N4" s="1112"/>
      <c r="O4" s="1113"/>
      <c r="S4" s="323"/>
      <c r="T4" s="91"/>
    </row>
    <row r="5" spans="1:20" ht="17.100000000000001" customHeight="1">
      <c r="A5" s="96"/>
      <c r="B5" s="322"/>
      <c r="E5"/>
      <c r="F5" s="274" t="s">
        <v>704</v>
      </c>
      <c r="G5" s="324">
        <f>IF(ISBLANK('Start Page'!AB18),"",'Start Page'!AB18)</f>
        <v>2023</v>
      </c>
      <c r="H5" s="1130" t="str">
        <f>IF(ISBLANK('Start Page'!AB20),"",TEXT('Start Page'!AB20,"mmm dd yyyy")&amp;" - "&amp;TEXT('Start Page'!AB21,"mmm dd yyyy"))</f>
        <v>Jan 01 2023 - Dec 31 2023</v>
      </c>
      <c r="I5" s="1131"/>
      <c r="J5" s="1132"/>
      <c r="K5" s="751"/>
      <c r="L5" s="751"/>
      <c r="M5" s="751"/>
      <c r="N5" s="751"/>
      <c r="O5" s="751"/>
      <c r="S5" s="323"/>
      <c r="T5" s="91"/>
    </row>
    <row r="6" spans="1:20" ht="17.100000000000001" customHeight="1">
      <c r="A6" s="96"/>
      <c r="B6" s="322"/>
      <c r="E6"/>
      <c r="F6" s="274" t="s">
        <v>886</v>
      </c>
      <c r="G6" s="1127" t="str">
        <f>IF(OR(ISBLANK('Start Page'!AB22:AL22),'M36 Refs'!AN118&gt;0),"Additional data entry required",Dashboard!BR4)</f>
        <v>Tier IV (71-90)</v>
      </c>
      <c r="H6" s="1128"/>
      <c r="I6" s="1129"/>
      <c r="J6" s="751"/>
      <c r="K6" s="751"/>
      <c r="L6" s="751"/>
      <c r="M6" s="751"/>
      <c r="N6" s="751"/>
      <c r="O6" s="751"/>
      <c r="S6" s="323"/>
      <c r="T6" s="91"/>
    </row>
    <row r="7" spans="1:20" ht="6" customHeight="1" thickBot="1">
      <c r="A7" s="96"/>
      <c r="B7" s="322"/>
      <c r="S7" s="323"/>
      <c r="T7" s="91"/>
    </row>
    <row r="8" spans="1:20" ht="26.1" customHeight="1" thickBot="1">
      <c r="A8" s="96"/>
      <c r="B8" s="322"/>
      <c r="C8" s="1114" t="s">
        <v>1084</v>
      </c>
      <c r="D8" s="1115"/>
      <c r="E8" s="1115"/>
      <c r="F8" s="1115"/>
      <c r="G8" s="1115"/>
      <c r="H8" s="1115"/>
      <c r="I8" s="1115"/>
      <c r="J8" s="1115"/>
      <c r="K8" s="1115"/>
      <c r="L8" s="1115"/>
      <c r="M8" s="1115"/>
      <c r="N8" s="1115"/>
      <c r="O8" s="1115"/>
      <c r="P8" s="1115"/>
      <c r="Q8" s="1115"/>
      <c r="R8" s="1116"/>
      <c r="S8" s="323"/>
      <c r="T8" s="91"/>
    </row>
    <row r="9" spans="1:20" ht="18.75" customHeight="1" thickTop="1">
      <c r="A9" s="96"/>
      <c r="B9" s="322"/>
      <c r="C9" s="325"/>
      <c r="D9" s="1123" t="s">
        <v>1085</v>
      </c>
      <c r="E9" s="1124"/>
      <c r="F9" s="1124"/>
      <c r="G9" s="1124"/>
      <c r="H9" s="1124"/>
      <c r="I9" s="1124"/>
      <c r="J9" s="1124"/>
      <c r="K9" s="1124"/>
      <c r="L9" s="1124"/>
      <c r="M9" s="1124"/>
      <c r="N9" s="1124"/>
      <c r="O9" s="1124"/>
      <c r="P9" s="1124"/>
      <c r="Q9" s="1124"/>
      <c r="R9" s="1125"/>
      <c r="S9" s="323"/>
      <c r="T9" s="91"/>
    </row>
    <row r="10" spans="1:20" ht="34.5" customHeight="1" thickBot="1">
      <c r="A10" s="96"/>
      <c r="B10" s="322"/>
      <c r="C10" s="884" t="s">
        <v>1086</v>
      </c>
      <c r="D10" s="1126" t="s">
        <v>1087</v>
      </c>
      <c r="E10" s="1121"/>
      <c r="F10" s="1122"/>
      <c r="G10" s="1120" t="s">
        <v>895</v>
      </c>
      <c r="H10" s="1121"/>
      <c r="I10" s="1122"/>
      <c r="J10" s="1120" t="s">
        <v>896</v>
      </c>
      <c r="K10" s="1121"/>
      <c r="L10" s="1122"/>
      <c r="M10" s="1120" t="s">
        <v>903</v>
      </c>
      <c r="N10" s="1121"/>
      <c r="O10" s="1122"/>
      <c r="P10" s="1120" t="s">
        <v>915</v>
      </c>
      <c r="Q10" s="1121"/>
      <c r="R10" s="1155"/>
      <c r="S10" s="323"/>
      <c r="T10" s="91"/>
    </row>
    <row r="11" spans="1:20" ht="61.9" customHeight="1" thickTop="1">
      <c r="A11" s="96"/>
      <c r="B11" s="322"/>
      <c r="C11" s="326" t="s">
        <v>1088</v>
      </c>
      <c r="D11" s="1157" t="s">
        <v>1089</v>
      </c>
      <c r="E11" s="1118"/>
      <c r="F11" s="1156"/>
      <c r="G11" s="1117" t="s">
        <v>1090</v>
      </c>
      <c r="H11" s="1118"/>
      <c r="I11" s="1156"/>
      <c r="J11" s="1117" t="s">
        <v>1091</v>
      </c>
      <c r="K11" s="1118"/>
      <c r="L11" s="1119"/>
      <c r="M11" s="1117" t="s">
        <v>1092</v>
      </c>
      <c r="N11" s="1118"/>
      <c r="O11" s="1119"/>
      <c r="P11" s="1117" t="s">
        <v>1093</v>
      </c>
      <c r="Q11" s="1118"/>
      <c r="R11" s="1119"/>
      <c r="S11" s="323"/>
      <c r="T11" s="91"/>
    </row>
    <row r="12" spans="1:20" ht="78" customHeight="1">
      <c r="A12" s="96"/>
      <c r="B12" s="322"/>
      <c r="C12" s="327" t="s">
        <v>1094</v>
      </c>
      <c r="D12" s="1154" t="s">
        <v>1095</v>
      </c>
      <c r="E12" s="1134"/>
      <c r="F12" s="1139"/>
      <c r="G12" s="1133" t="s">
        <v>1096</v>
      </c>
      <c r="H12" s="1134"/>
      <c r="I12" s="1139"/>
      <c r="J12" s="1133" t="s">
        <v>1097</v>
      </c>
      <c r="K12" s="1134"/>
      <c r="L12" s="1135"/>
      <c r="M12" s="1133" t="s">
        <v>1098</v>
      </c>
      <c r="N12" s="1134"/>
      <c r="O12" s="1135"/>
      <c r="P12" s="1133" t="s">
        <v>1099</v>
      </c>
      <c r="Q12" s="1134"/>
      <c r="R12" s="1135"/>
      <c r="S12" s="323"/>
      <c r="T12" s="91"/>
    </row>
    <row r="13" spans="1:20" ht="105.75" customHeight="1">
      <c r="A13" s="96"/>
      <c r="B13" s="322"/>
      <c r="C13" s="327" t="s">
        <v>1100</v>
      </c>
      <c r="D13" s="1136"/>
      <c r="E13" s="1137"/>
      <c r="F13" s="1138"/>
      <c r="G13" s="1133" t="s">
        <v>1101</v>
      </c>
      <c r="H13" s="1134"/>
      <c r="I13" s="1139"/>
      <c r="J13" s="1133" t="s">
        <v>1102</v>
      </c>
      <c r="K13" s="1134"/>
      <c r="L13" s="1135"/>
      <c r="M13" s="1133" t="s">
        <v>1103</v>
      </c>
      <c r="N13" s="1134"/>
      <c r="O13" s="1135"/>
      <c r="P13" s="1133" t="s">
        <v>1104</v>
      </c>
      <c r="Q13" s="1134"/>
      <c r="R13" s="1135"/>
      <c r="S13" s="323"/>
      <c r="T13" s="91"/>
    </row>
    <row r="14" spans="1:20" ht="68.25" customHeight="1">
      <c r="A14" s="96"/>
      <c r="B14" s="322"/>
      <c r="C14" s="327" t="s">
        <v>1105</v>
      </c>
      <c r="D14" s="1136"/>
      <c r="E14" s="1137"/>
      <c r="F14" s="1138"/>
      <c r="G14" s="1140"/>
      <c r="H14" s="1137"/>
      <c r="I14" s="1138"/>
      <c r="J14" s="1133" t="s">
        <v>1106</v>
      </c>
      <c r="K14" s="1134"/>
      <c r="L14" s="1135"/>
      <c r="M14" s="1133" t="s">
        <v>1107</v>
      </c>
      <c r="N14" s="1134"/>
      <c r="O14" s="1135"/>
      <c r="P14" s="1133" t="s">
        <v>1108</v>
      </c>
      <c r="Q14" s="1134"/>
      <c r="R14" s="1135"/>
      <c r="S14" s="323"/>
      <c r="T14" s="91"/>
    </row>
    <row r="15" spans="1:20" ht="84" customHeight="1" thickBot="1">
      <c r="A15" s="96"/>
      <c r="B15" s="322"/>
      <c r="C15" s="328" t="s">
        <v>1109</v>
      </c>
      <c r="D15" s="1147"/>
      <c r="E15" s="1148"/>
      <c r="F15" s="1149"/>
      <c r="G15" s="1150"/>
      <c r="H15" s="1148"/>
      <c r="I15" s="1149"/>
      <c r="J15" s="1151" t="s">
        <v>1110</v>
      </c>
      <c r="K15" s="1152"/>
      <c r="L15" s="1153"/>
      <c r="M15" s="1151" t="s">
        <v>1111</v>
      </c>
      <c r="N15" s="1152"/>
      <c r="O15" s="1153"/>
      <c r="P15" s="1151" t="s">
        <v>1112</v>
      </c>
      <c r="Q15" s="1152"/>
      <c r="R15" s="1153"/>
      <c r="S15" s="323"/>
      <c r="T15" s="91"/>
    </row>
    <row r="16" spans="1:20" ht="21" customHeight="1" thickTop="1" thickBot="1">
      <c r="A16" s="96"/>
      <c r="B16" s="322"/>
      <c r="C16" s="1144" t="s">
        <v>1113</v>
      </c>
      <c r="D16" s="1145"/>
      <c r="E16" s="1145"/>
      <c r="F16" s="1145"/>
      <c r="G16" s="1145"/>
      <c r="H16" s="1145"/>
      <c r="I16" s="1145"/>
      <c r="J16" s="1145"/>
      <c r="K16" s="1145"/>
      <c r="L16" s="1145"/>
      <c r="M16" s="1145"/>
      <c r="N16" s="1145"/>
      <c r="O16" s="1145"/>
      <c r="P16" s="1145"/>
      <c r="Q16" s="1145"/>
      <c r="R16" s="114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3"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5" t="s">
        <v>1114</v>
      </c>
      <c r="B1" s="626" t="s">
        <v>1115</v>
      </c>
    </row>
    <row r="2" spans="1:2" ht="105">
      <c r="A2" s="623" t="s">
        <v>1116</v>
      </c>
      <c r="B2" s="618" t="s">
        <v>1117</v>
      </c>
    </row>
    <row r="3" spans="1:2" ht="28.35" customHeight="1">
      <c r="B3" s="619"/>
    </row>
    <row r="4" spans="1:2" ht="60">
      <c r="A4" s="623" t="s">
        <v>1118</v>
      </c>
      <c r="B4" s="618" t="s">
        <v>1119</v>
      </c>
    </row>
    <row r="5" spans="1:2" ht="13.5">
      <c r="B5" s="620"/>
    </row>
    <row r="6" spans="1:2" ht="75">
      <c r="A6" s="623" t="s">
        <v>1120</v>
      </c>
      <c r="B6" s="621" t="s">
        <v>1121</v>
      </c>
    </row>
    <row r="7" spans="1:2" ht="13.5">
      <c r="B7" s="620"/>
    </row>
    <row r="8" spans="1:2" ht="150">
      <c r="A8" s="623" t="s">
        <v>1122</v>
      </c>
      <c r="B8" s="618" t="s">
        <v>1123</v>
      </c>
    </row>
    <row r="9" spans="1:2" ht="13.5">
      <c r="B9" s="620"/>
    </row>
    <row r="10" spans="1:2" ht="255">
      <c r="A10" s="624" t="s">
        <v>1124</v>
      </c>
      <c r="B10" s="622" t="s">
        <v>1125</v>
      </c>
    </row>
    <row r="12" spans="1:2" ht="150">
      <c r="A12" s="623" t="s">
        <v>1126</v>
      </c>
      <c r="B12" s="618" t="s">
        <v>1127</v>
      </c>
    </row>
    <row r="13" spans="1:2">
      <c r="B13" s="619"/>
    </row>
    <row r="14" spans="1:2" ht="45">
      <c r="A14" s="623" t="s">
        <v>1128</v>
      </c>
      <c r="B14" s="621" t="s">
        <v>1129</v>
      </c>
    </row>
    <row r="15" spans="1:2" ht="13.5">
      <c r="B15" s="620"/>
    </row>
    <row r="16" spans="1:2" ht="60">
      <c r="A16" s="623" t="s">
        <v>1130</v>
      </c>
      <c r="B16" s="621" t="s">
        <v>1131</v>
      </c>
    </row>
    <row r="17" spans="1:2" ht="13.5">
      <c r="B17" s="620"/>
    </row>
    <row r="18" spans="1:2" ht="120">
      <c r="A18" s="623" t="s">
        <v>1132</v>
      </c>
      <c r="B18" s="621" t="s">
        <v>1133</v>
      </c>
    </row>
    <row r="19" spans="1:2" ht="13.5">
      <c r="B19" s="620"/>
    </row>
    <row r="20" spans="1:2" ht="75">
      <c r="A20" s="623" t="s">
        <v>1134</v>
      </c>
      <c r="B20" s="618" t="s">
        <v>1135</v>
      </c>
    </row>
    <row r="21" spans="1:2" ht="13.5">
      <c r="B21" s="620"/>
    </row>
    <row r="22" spans="1:2" ht="90">
      <c r="A22" s="623" t="s">
        <v>1136</v>
      </c>
      <c r="B22" s="618" t="s">
        <v>1137</v>
      </c>
    </row>
    <row r="23" spans="1:2" ht="13.5">
      <c r="B23" s="620"/>
    </row>
    <row r="24" spans="1:2" ht="90">
      <c r="A24" s="623" t="s">
        <v>1138</v>
      </c>
      <c r="B24" s="618" t="s">
        <v>1139</v>
      </c>
    </row>
    <row r="25" spans="1:2" ht="13.5">
      <c r="B25" s="620"/>
    </row>
    <row r="26" spans="1:2" ht="60">
      <c r="A26" s="623" t="s">
        <v>1140</v>
      </c>
      <c r="B26" s="618" t="s">
        <v>1141</v>
      </c>
    </row>
    <row r="96" spans="34:34">
      <c r="AH96" s="33" t="s">
        <v>1142</v>
      </c>
    </row>
    <row r="97" spans="28:40" ht="25.5">
      <c r="AD97" s="32" t="s">
        <v>1143</v>
      </c>
      <c r="AE97" s="32" t="s">
        <v>1144</v>
      </c>
      <c r="AF97" s="32" t="s">
        <v>1145</v>
      </c>
      <c r="AG97" s="32" t="s">
        <v>1146</v>
      </c>
      <c r="AH97" s="32" t="s">
        <v>1147</v>
      </c>
      <c r="AI97" s="32" t="s">
        <v>1148</v>
      </c>
      <c r="AJ97" s="32" t="s">
        <v>1149</v>
      </c>
      <c r="AK97" s="32"/>
      <c r="AL97" s="161" t="s">
        <v>1150</v>
      </c>
      <c r="AM97" s="161" t="s">
        <v>1151</v>
      </c>
      <c r="AN97" s="161" t="s">
        <v>1152</v>
      </c>
    </row>
    <row r="98" spans="28:40">
      <c r="AC98" s="164" t="s">
        <v>1066</v>
      </c>
      <c r="AD98" s="36">
        <f>IF(Worksheet!F15="n/a",0,Worksheet!F15)</f>
        <v>9</v>
      </c>
      <c r="AE98" s="56">
        <f>Worksheet!Y15</f>
        <v>33.930163457394528</v>
      </c>
      <c r="AF98" s="35">
        <f t="shared" ref="AF98:AF103" si="0">AE98</f>
        <v>33.930163457394528</v>
      </c>
      <c r="AG98" s="35">
        <f>IF(AE98&lt;&gt;0,AF98/10,0)</f>
        <v>3.3930163457394529</v>
      </c>
      <c r="AH98" s="35">
        <f>IFERROR(AD98*AG98,0)</f>
        <v>30.537147111655077</v>
      </c>
      <c r="AI98" s="35">
        <f t="shared" ref="AI98:AI117" si="1">IF(AG98=0,0,AF98-AH98)</f>
        <v>3.3930163457394507</v>
      </c>
      <c r="AJ98">
        <f t="array" aca="1" ref="AJ98" ca="1">SUM(1*(AI98&lt;$AI$98:$AI$117))+1+IF(ROW(AI98)-ROW($AI$98)=0,0,SUM(1*(AI98=OFFSET($AI$98,0,0,INDEX(ROW(AI98)-ROW($AI$98)+1,1)-1,1))))</f>
        <v>1</v>
      </c>
      <c r="AK98" s="118" t="str">
        <f>AC98</f>
        <v>Volume from Own Sources (VOS)</v>
      </c>
      <c r="AL98">
        <f>IFERROR(IF(AE98&lt;&gt;0,1,0),0)</f>
        <v>1</v>
      </c>
      <c r="AM98">
        <f>IF(AD98="",0,IF(AD98&lt;&gt;0,1,0))</f>
        <v>1</v>
      </c>
      <c r="AN98">
        <f t="shared" ref="AN98:AN117" si="2">IF(AND(AL98=1,AM98=0),1,0)</f>
        <v>0</v>
      </c>
    </row>
    <row r="99" spans="28:40">
      <c r="AC99" s="168" t="s">
        <v>1153</v>
      </c>
      <c r="AD99" s="36">
        <f>IF(Worksheet!M15="n/a",0,Worksheet!M15)</f>
        <v>10</v>
      </c>
      <c r="AE99" s="56">
        <f>Worksheet!Z15</f>
        <v>0.29519242207933238</v>
      </c>
      <c r="AF99" s="35">
        <f t="shared" si="0"/>
        <v>0.29519242207933238</v>
      </c>
      <c r="AG99" s="35">
        <f t="shared" ref="AG99:AG117" si="3">IF(AE99&lt;&gt;0,AF99/10,0)</f>
        <v>2.9519242207933238E-2</v>
      </c>
      <c r="AH99" s="35">
        <f t="shared" ref="AH99:AH106" si="4">IFERROR(AD99*AG99,0)</f>
        <v>0.29519242207933238</v>
      </c>
      <c r="AI99" s="35">
        <f t="shared" si="1"/>
        <v>0</v>
      </c>
      <c r="AJ99">
        <f t="array" aca="1" ref="AJ99" ca="1">SUM(1*(AI99&lt;$AI$98:$AI$117))+1+IF(ROW(AI99)-ROW($AI$98)=0,0,SUM(1*(AI99=OFFSET($AI$98,0,0,INDEX(ROW(AI99)-ROW($AI$98)+1,1)-1,1))))</f>
        <v>9</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1154</v>
      </c>
      <c r="AD100" s="36">
        <f>IF(Worksheet!F16="n/a",0,Worksheet!F16)</f>
        <v>9</v>
      </c>
      <c r="AE100" s="56">
        <f>Worksheet!Y16</f>
        <v>0.39157484778458129</v>
      </c>
      <c r="AF100" s="35">
        <f t="shared" si="0"/>
        <v>0.39157484778458129</v>
      </c>
      <c r="AG100" s="35">
        <f t="shared" si="3"/>
        <v>3.9157484778458131E-2</v>
      </c>
      <c r="AH100" s="35">
        <f t="shared" si="4"/>
        <v>0.3524173630061232</v>
      </c>
      <c r="AI100" s="35">
        <f t="shared" si="1"/>
        <v>3.9157484778458096E-2</v>
      </c>
      <c r="AJ100">
        <f t="array" aca="1" ref="AJ100" ca="1">SUM(1*(AI100&lt;$AI$98:$AI$117))+1+IF(ROW(AI100)-ROW($AI$98)=0,0,SUM(1*(AI100=OFFSET($AI$98,0,0,INDEX(ROW(AI100)-ROW($AI$98)+1,1)-1,1))))</f>
        <v>7</v>
      </c>
      <c r="AK100" s="118" t="str">
        <f t="shared" si="5"/>
        <v>Water Imported (WI)</v>
      </c>
      <c r="AL100">
        <f t="shared" si="6"/>
        <v>1</v>
      </c>
      <c r="AM100">
        <f t="shared" si="7"/>
        <v>1</v>
      </c>
      <c r="AN100">
        <f t="shared" si="2"/>
        <v>0</v>
      </c>
    </row>
    <row r="101" spans="28:40">
      <c r="AC101" s="168" t="s">
        <v>1155</v>
      </c>
      <c r="AD101" s="36">
        <f>IF(Worksheet!M16="n/a",0,Worksheet!M16)</f>
        <v>4</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10</v>
      </c>
      <c r="AK101" s="118" t="str">
        <f t="shared" si="5"/>
        <v>WI Error Adjustment (WIEA)</v>
      </c>
      <c r="AL101">
        <f t="shared" si="6"/>
        <v>0</v>
      </c>
      <c r="AM101">
        <f t="shared" si="7"/>
        <v>1</v>
      </c>
      <c r="AN101">
        <f t="shared" si="2"/>
        <v>0</v>
      </c>
    </row>
    <row r="102" spans="28:40">
      <c r="AC102" s="164" t="s">
        <v>1156</v>
      </c>
      <c r="AD102" s="36">
        <f>IF(Worksheet!F17="n/a",0,Worksheet!F17)</f>
        <v>9</v>
      </c>
      <c r="AE102" s="56">
        <f>Worksheet!Y17</f>
        <v>0.38306927274155977</v>
      </c>
      <c r="AF102" s="35">
        <f t="shared" si="0"/>
        <v>0.38306927274155977</v>
      </c>
      <c r="AG102" s="35">
        <f t="shared" si="3"/>
        <v>3.830692727415598E-2</v>
      </c>
      <c r="AH102" s="35">
        <f t="shared" si="4"/>
        <v>0.34476234546740381</v>
      </c>
      <c r="AI102" s="35">
        <f t="shared" si="1"/>
        <v>3.8306927274155966E-2</v>
      </c>
      <c r="AJ102">
        <f t="array" aca="1" ref="AJ102" ca="1">SUM(1*(AI102&lt;$AI$98:$AI$117))+1+IF(ROW(AI102)-ROW($AI$98)=0,0,SUM(1*(AI102=OFFSET($AI$98,0,0,INDEX(ROW(AI102)-ROW($AI$98)+1,1)-1,1))))</f>
        <v>8</v>
      </c>
      <c r="AK102" s="118" t="str">
        <f t="shared" si="5"/>
        <v>Water Exported (WE)</v>
      </c>
      <c r="AL102">
        <f t="shared" si="6"/>
        <v>1</v>
      </c>
      <c r="AM102">
        <f t="shared" si="7"/>
        <v>1</v>
      </c>
      <c r="AN102">
        <f t="shared" si="2"/>
        <v>0</v>
      </c>
    </row>
    <row r="103" spans="28:40">
      <c r="AC103" s="168" t="s">
        <v>1157</v>
      </c>
      <c r="AD103" s="57">
        <f>IF(Worksheet!M17="n/a",0,Worksheet!M17)</f>
        <v>6</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11</v>
      </c>
      <c r="AK103" s="858" t="str">
        <f t="shared" si="5"/>
        <v>WE Error Adjustment (WEEA)</v>
      </c>
      <c r="AL103">
        <f t="shared" si="6"/>
        <v>0</v>
      </c>
      <c r="AM103" s="60">
        <f t="shared" si="7"/>
        <v>1</v>
      </c>
      <c r="AN103" s="60">
        <f t="shared" si="2"/>
        <v>0</v>
      </c>
    </row>
    <row r="104" spans="28:40">
      <c r="AC104" s="165" t="s">
        <v>1158</v>
      </c>
      <c r="AD104" s="65">
        <f>IF(Worksheet!F23="n/a",0,Worksheet!F23)</f>
        <v>9</v>
      </c>
      <c r="AE104" s="169">
        <f>IF(Worksheet!H23&gt;0,Worksheet!Y23,0)</f>
        <v>13.878879168701276</v>
      </c>
      <c r="AF104" s="67">
        <f t="shared" ref="AF104:AF117" si="8">AE104/$AE$120</f>
        <v>17.021266905011</v>
      </c>
      <c r="AG104" s="67">
        <f t="shared" si="3"/>
        <v>1.7021266905011001</v>
      </c>
      <c r="AH104" s="67">
        <f t="shared" ref="AH104:AH117" si="9">AD104*AG104</f>
        <v>15.3191402145099</v>
      </c>
      <c r="AI104" s="67">
        <f t="shared" si="1"/>
        <v>1.7021266905010997</v>
      </c>
      <c r="AJ104" s="68">
        <f t="array" aca="1" ref="AJ104" ca="1">SUM(1*(AI104&lt;$AI$98:$AI$117))+1+IF(ROW(AI104)-ROW($AI$98)=0,0,SUM(1*(AI104=OFFSET($AI$98,0,0,INDEX(ROW(AI104)-ROW($AI$98)+1,1)-1,1))))</f>
        <v>5</v>
      </c>
      <c r="AK104" s="885" t="str">
        <f t="shared" si="5"/>
        <v>Billed Metered (BMAC)</v>
      </c>
      <c r="AL104" s="68">
        <f t="shared" ref="AL104:AL117" si="10">IF(AE104&lt;&gt;0,1,0)</f>
        <v>1</v>
      </c>
      <c r="AM104" s="68">
        <f t="shared" si="7"/>
        <v>1</v>
      </c>
      <c r="AN104" s="68">
        <f t="shared" si="2"/>
        <v>0</v>
      </c>
    </row>
    <row r="105" spans="28:40">
      <c r="AC105" s="166" t="s">
        <v>1159</v>
      </c>
      <c r="AD105" s="70">
        <f>IF(Worksheet!F24="n/a",0,Worksheet!F24)</f>
        <v>10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86" t="str">
        <f t="shared" si="5"/>
        <v>Billed Unmetered (BUAC)</v>
      </c>
      <c r="AL105" s="72">
        <f t="shared" si="10"/>
        <v>0</v>
      </c>
      <c r="AM105" s="72">
        <f t="shared" si="7"/>
        <v>1</v>
      </c>
      <c r="AN105" s="72">
        <f t="shared" si="2"/>
        <v>0</v>
      </c>
    </row>
    <row r="106" spans="28:40">
      <c r="AC106" s="166" t="s">
        <v>1160</v>
      </c>
      <c r="AD106" s="70">
        <f>IF(Worksheet!F25="n/a",0,Worksheet!F25)</f>
        <v>10</v>
      </c>
      <c r="AE106" s="170">
        <f>IF(Worksheet!H25&gt;0,Worksheet!Y24,0)</f>
        <v>0.12112083129872417</v>
      </c>
      <c r="AF106" s="71">
        <f t="shared" si="8"/>
        <v>0.14854441574371832</v>
      </c>
      <c r="AG106" s="71">
        <f t="shared" si="3"/>
        <v>1.4854441574371833E-2</v>
      </c>
      <c r="AH106" s="35">
        <f t="shared" si="4"/>
        <v>0.14854441574371832</v>
      </c>
      <c r="AI106" s="71">
        <f t="shared" si="1"/>
        <v>0</v>
      </c>
      <c r="AJ106" s="72">
        <f t="array" aca="1" ref="AJ106" ca="1">SUM(1*(AI106&lt;$AI$98:$AI$117))+1+IF(ROW(AI106)-ROW($AI$98)=0,0,SUM(1*(AI106=OFFSET($AI$98,0,0,INDEX(ROW(AI106)-ROW($AI$98)+1,1)-1,1))))</f>
        <v>13</v>
      </c>
      <c r="AK106" s="886" t="str">
        <f t="shared" si="5"/>
        <v>Unbilled Metered (UMAC)</v>
      </c>
      <c r="AL106" s="72">
        <f t="shared" si="10"/>
        <v>1</v>
      </c>
      <c r="AM106" s="72">
        <f t="shared" si="7"/>
        <v>1</v>
      </c>
      <c r="AN106" s="72">
        <f t="shared" si="2"/>
        <v>0</v>
      </c>
    </row>
    <row r="107" spans="28:40">
      <c r="AB107" t="s">
        <v>1161</v>
      </c>
      <c r="AC107" s="167" t="s">
        <v>1162</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14</v>
      </c>
      <c r="AK107" s="887" t="str">
        <f t="shared" si="5"/>
        <v>Unbilled Unmetered (UUAC)</v>
      </c>
      <c r="AL107" s="64">
        <f t="shared" si="10"/>
        <v>1</v>
      </c>
      <c r="AM107" s="64">
        <f t="shared" si="7"/>
        <v>1</v>
      </c>
      <c r="AN107" s="64">
        <f t="shared" si="2"/>
        <v>0</v>
      </c>
    </row>
    <row r="108" spans="28:40">
      <c r="AB108" t="s">
        <v>1161</v>
      </c>
      <c r="AC108" s="167" t="s">
        <v>1077</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2</v>
      </c>
      <c r="AK108" s="887" t="str">
        <f t="shared" si="5"/>
        <v>Unauthorized Consumption (UC)</v>
      </c>
      <c r="AL108" s="64">
        <f t="shared" si="10"/>
        <v>1</v>
      </c>
      <c r="AM108" s="64">
        <f t="shared" si="7"/>
        <v>1</v>
      </c>
      <c r="AN108" s="64">
        <f t="shared" si="2"/>
        <v>0</v>
      </c>
    </row>
    <row r="109" spans="28:40">
      <c r="AC109" s="165" t="s">
        <v>1076</v>
      </c>
      <c r="AD109" s="65">
        <f>IF(Worksheet!F41="n/a",0,Worksheet!F41)</f>
        <v>7</v>
      </c>
      <c r="AE109" s="66">
        <f>IF(AND(Worksheet!F41="n/a",Worksheet!H41=0),0,6)</f>
        <v>6</v>
      </c>
      <c r="AF109" s="67">
        <f t="shared" si="8"/>
        <v>7.3584905660377355</v>
      </c>
      <c r="AG109" s="67">
        <f t="shared" si="3"/>
        <v>0.73584905660377353</v>
      </c>
      <c r="AH109" s="67">
        <f t="shared" si="9"/>
        <v>5.1509433962264151</v>
      </c>
      <c r="AI109" s="67">
        <f t="shared" si="1"/>
        <v>2.2075471698113205</v>
      </c>
      <c r="AJ109" s="68">
        <f t="array" aca="1" ref="AJ109" ca="1">SUM(1*(AI109&lt;$AI$98:$AI$117))+1+IF(ROW(AI109)-ROW($AI$98)=0,0,SUM(1*(AI109=OFFSET($AI$98,0,0,INDEX(ROW(AI109)-ROW($AI$98)+1,1)-1,1))))</f>
        <v>4</v>
      </c>
      <c r="AK109" s="885" t="str">
        <f t="shared" si="5"/>
        <v>Customer Metering Inaccuracies (CMI)</v>
      </c>
      <c r="AL109" s="68">
        <f t="shared" si="10"/>
        <v>1</v>
      </c>
      <c r="AM109" s="68">
        <f t="shared" si="7"/>
        <v>1</v>
      </c>
      <c r="AN109" s="68">
        <f t="shared" si="2"/>
        <v>0</v>
      </c>
    </row>
    <row r="110" spans="28:40">
      <c r="AC110" s="167" t="s">
        <v>1075</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3</v>
      </c>
      <c r="AK110" s="887" t="str">
        <f t="shared" si="5"/>
        <v>Systematic Data Handling Errors (SDHE)</v>
      </c>
      <c r="AL110" s="64">
        <f t="shared" si="10"/>
        <v>1</v>
      </c>
      <c r="AM110" s="64">
        <f t="shared" si="7"/>
        <v>1</v>
      </c>
      <c r="AN110" s="64">
        <f t="shared" si="2"/>
        <v>0</v>
      </c>
    </row>
    <row r="111" spans="28:40">
      <c r="AC111" s="167" t="s">
        <v>1163</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87" t="str">
        <f t="shared" si="5"/>
        <v>Length of Mains (Lm)</v>
      </c>
      <c r="AL111" s="64">
        <f t="shared" si="10"/>
        <v>1</v>
      </c>
      <c r="AM111" s="64">
        <f t="shared" si="7"/>
        <v>1</v>
      </c>
      <c r="AN111" s="64">
        <f t="shared" si="2"/>
        <v>0</v>
      </c>
    </row>
    <row r="112" spans="28:40">
      <c r="AC112" s="167" t="s">
        <v>1164</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87" t="str">
        <f t="shared" si="5"/>
        <v>Number of Service Connections (Nc)</v>
      </c>
      <c r="AL112" s="64">
        <f t="shared" si="10"/>
        <v>1</v>
      </c>
      <c r="AM112" s="64">
        <f t="shared" si="7"/>
        <v>1</v>
      </c>
      <c r="AN112" s="64">
        <f t="shared" si="2"/>
        <v>0</v>
      </c>
    </row>
    <row r="113" spans="29:40">
      <c r="AC113" s="167" t="s">
        <v>1165</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87" t="str">
        <f t="shared" si="5"/>
        <v>Average Length of Customer Service Line (Lp)</v>
      </c>
      <c r="AL113" s="64">
        <f t="shared" si="10"/>
        <v>1</v>
      </c>
      <c r="AM113" s="64">
        <f t="shared" si="7"/>
        <v>1</v>
      </c>
      <c r="AN113" s="64">
        <f t="shared" si="2"/>
        <v>0</v>
      </c>
    </row>
    <row r="114" spans="29:40">
      <c r="AC114" s="167" t="s">
        <v>1166</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6</v>
      </c>
      <c r="AK114" s="887"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7"/>
      <c r="AL115" s="64"/>
      <c r="AM115" s="64"/>
      <c r="AN115" s="64"/>
    </row>
    <row r="116" spans="29:40">
      <c r="AC116" s="167" t="s">
        <v>1167</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7" t="str">
        <f t="shared" si="5"/>
        <v>Customer Retail Unit Charge (CRUC)</v>
      </c>
      <c r="AL116" s="64">
        <f t="shared" si="10"/>
        <v>1</v>
      </c>
      <c r="AM116" s="64">
        <f t="shared" si="7"/>
        <v>1</v>
      </c>
      <c r="AN116" s="64">
        <f t="shared" si="2"/>
        <v>0</v>
      </c>
    </row>
    <row r="117" spans="29:40">
      <c r="AC117" s="167" t="s">
        <v>1168</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7" t="str">
        <f t="shared" si="5"/>
        <v>Variable Production Cost (VPC)</v>
      </c>
      <c r="AL117" s="64">
        <f t="shared" si="10"/>
        <v>1</v>
      </c>
      <c r="AM117" s="64">
        <f t="shared" si="7"/>
        <v>1</v>
      </c>
      <c r="AN117" s="64">
        <f t="shared" si="2"/>
        <v>0</v>
      </c>
    </row>
    <row r="118" spans="29:40">
      <c r="AE118" s="73">
        <f>SUM(AE98:AE117)</f>
        <v>88</v>
      </c>
      <c r="AF118" s="34">
        <f>SUM(AF98:AF117)</f>
        <v>100.00000000000001</v>
      </c>
      <c r="AG118" s="34">
        <f>SUM(AG98:AG117)</f>
        <v>9.9999999999999982</v>
      </c>
      <c r="AH118" s="78">
        <f>SUM(AH98:AH117)</f>
        <v>86.11984538189553</v>
      </c>
      <c r="AN118" s="38">
        <f>SUM(AN98:AN117)</f>
        <v>0</v>
      </c>
    </row>
    <row r="119" spans="29:40">
      <c r="AE119" s="34">
        <f>SUM(AE104:AE117)</f>
        <v>53</v>
      </c>
      <c r="AK119" s="76"/>
      <c r="AN119" s="37"/>
    </row>
    <row r="120" spans="29:40">
      <c r="AE120" s="888">
        <f>AE119/(100-AE121)</f>
        <v>0.81538461538461537</v>
      </c>
    </row>
    <row r="121" spans="29:40">
      <c r="AD121" s="164" t="s">
        <v>1169</v>
      </c>
      <c r="AE121" s="74">
        <v>35</v>
      </c>
      <c r="AM121">
        <f>IF(SUM(Worksheet!W26,Worksheet!W43)=2,2,IF(SUM(Worksheet!W26,Worksheet!W43)=3,1,0))</f>
        <v>1</v>
      </c>
      <c r="AN121" t="s">
        <v>1170</v>
      </c>
    </row>
    <row r="122" spans="29:40">
      <c r="AN122" s="118" t="s">
        <v>1171</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89"/>
    </row>
    <row r="2" spans="1:14" ht="40.5" customHeight="1">
      <c r="A2" s="93"/>
      <c r="B2" s="1160" t="s">
        <v>1172</v>
      </c>
      <c r="C2" s="1161"/>
      <c r="D2" s="1161"/>
      <c r="E2" s="1161"/>
      <c r="F2" s="1161"/>
      <c r="G2" s="1161"/>
      <c r="H2" s="1161"/>
      <c r="I2" s="1161"/>
      <c r="J2" s="1161"/>
      <c r="K2" s="1161"/>
      <c r="L2" s="1161"/>
      <c r="M2" s="1162"/>
      <c r="N2" s="889"/>
    </row>
    <row r="3" spans="1:14" ht="4.3499999999999996" customHeight="1" thickBot="1">
      <c r="A3" s="93"/>
      <c r="B3" s="1160"/>
      <c r="C3" s="1161"/>
      <c r="D3" s="1161"/>
      <c r="E3" s="1161"/>
      <c r="F3" s="1161"/>
      <c r="G3" s="1161"/>
      <c r="H3" s="1161"/>
      <c r="I3" s="1161"/>
      <c r="J3" s="1161"/>
      <c r="K3" s="1161"/>
      <c r="L3" s="1161"/>
      <c r="M3" s="1162"/>
      <c r="N3" s="889"/>
    </row>
    <row r="4" spans="1:14" ht="15" customHeight="1" thickBot="1">
      <c r="A4" s="93"/>
      <c r="B4" s="335"/>
      <c r="C4" s="336" t="s">
        <v>1173</v>
      </c>
      <c r="D4" s="1163" t="s">
        <v>1174</v>
      </c>
      <c r="E4" s="1164"/>
      <c r="F4" s="1164"/>
      <c r="G4" s="1164"/>
      <c r="H4" s="1164"/>
      <c r="I4" s="1164"/>
      <c r="J4" s="1164"/>
      <c r="K4" s="1164"/>
      <c r="L4" s="1165"/>
      <c r="M4" s="890"/>
      <c r="N4" s="889"/>
    </row>
    <row r="5" spans="1:14" ht="4.3499999999999996" customHeight="1" thickBot="1">
      <c r="A5" s="93"/>
      <c r="B5" s="335"/>
      <c r="C5" s="337"/>
      <c r="D5" s="504"/>
      <c r="E5" s="504"/>
      <c r="F5" s="504"/>
      <c r="G5" s="815"/>
      <c r="H5" s="118"/>
      <c r="I5" s="118"/>
      <c r="J5" s="118"/>
      <c r="K5" s="118"/>
      <c r="L5" s="118"/>
      <c r="M5" s="890"/>
      <c r="N5" s="889"/>
    </row>
    <row r="6" spans="1:14" ht="99" customHeight="1" thickBot="1">
      <c r="A6" s="93"/>
      <c r="B6" s="335"/>
      <c r="C6" s="338" t="s">
        <v>1175</v>
      </c>
      <c r="D6" s="1166" t="s">
        <v>1176</v>
      </c>
      <c r="E6" s="1167"/>
      <c r="F6" s="1167"/>
      <c r="G6" s="1167"/>
      <c r="H6" s="1167"/>
      <c r="I6" s="1167"/>
      <c r="J6" s="1167"/>
      <c r="K6" s="1167"/>
      <c r="L6" s="1168"/>
      <c r="M6" s="890"/>
      <c r="N6" s="889"/>
    </row>
    <row r="7" spans="1:14" ht="4.3499999999999996" customHeight="1" thickBot="1">
      <c r="A7" s="93"/>
      <c r="B7" s="335"/>
      <c r="C7" s="337"/>
      <c r="D7" s="504"/>
      <c r="E7" s="504"/>
      <c r="F7" s="504"/>
      <c r="G7" s="815"/>
      <c r="H7" s="144"/>
      <c r="I7" s="144"/>
      <c r="J7" s="144"/>
      <c r="K7" s="144"/>
      <c r="L7" s="144"/>
      <c r="M7" s="890"/>
      <c r="N7" s="889"/>
    </row>
    <row r="8" spans="1:14" ht="229.15" customHeight="1" thickBot="1">
      <c r="A8" s="93"/>
      <c r="B8" s="335"/>
      <c r="C8" s="339" t="s">
        <v>733</v>
      </c>
      <c r="D8" s="1166" t="s">
        <v>1177</v>
      </c>
      <c r="E8" s="1167"/>
      <c r="F8" s="1167"/>
      <c r="G8" s="1167"/>
      <c r="H8" s="1167"/>
      <c r="I8" s="1167"/>
      <c r="J8" s="1167"/>
      <c r="K8" s="1167"/>
      <c r="L8" s="1168"/>
      <c r="M8" s="890"/>
      <c r="N8" s="889"/>
    </row>
    <row r="9" spans="1:14" ht="4.3499999999999996" customHeight="1" thickBot="1">
      <c r="A9" s="93"/>
      <c r="B9" s="335"/>
      <c r="C9" s="337"/>
      <c r="D9" s="504"/>
      <c r="E9" s="504"/>
      <c r="F9" s="504"/>
      <c r="G9" s="815"/>
      <c r="H9" s="144"/>
      <c r="I9" s="144"/>
      <c r="J9" s="144"/>
      <c r="K9" s="144"/>
      <c r="L9" s="144"/>
      <c r="M9" s="890"/>
      <c r="N9" s="889"/>
    </row>
    <row r="10" spans="1:14" ht="282.60000000000002" customHeight="1" thickBot="1">
      <c r="A10" s="93"/>
      <c r="B10" s="335"/>
      <c r="C10" s="338" t="s">
        <v>1178</v>
      </c>
      <c r="D10" s="1169" t="s">
        <v>1179</v>
      </c>
      <c r="E10" s="1170"/>
      <c r="F10" s="1170"/>
      <c r="G10" s="1170"/>
      <c r="H10" s="1170"/>
      <c r="I10" s="1170"/>
      <c r="J10" s="1170"/>
      <c r="K10" s="1170"/>
      <c r="L10" s="1171"/>
      <c r="M10" s="890"/>
      <c r="N10" s="889"/>
    </row>
    <row r="11" spans="1:14" ht="4.3499999999999996" customHeight="1" thickBot="1">
      <c r="A11" s="93"/>
      <c r="B11" s="335"/>
      <c r="C11" s="337"/>
      <c r="D11" s="504"/>
      <c r="E11" s="504"/>
      <c r="F11" s="504"/>
      <c r="G11" s="815"/>
      <c r="H11" s="144"/>
      <c r="I11" s="144"/>
      <c r="J11" s="144"/>
      <c r="K11" s="144"/>
      <c r="L11" s="144"/>
      <c r="M11" s="890"/>
      <c r="N11" s="889"/>
    </row>
    <row r="12" spans="1:14" ht="227.45" customHeight="1" thickBot="1">
      <c r="A12" s="93"/>
      <c r="B12" s="335"/>
      <c r="C12" s="340" t="s">
        <v>1180</v>
      </c>
      <c r="D12" s="1169" t="s">
        <v>1181</v>
      </c>
      <c r="E12" s="1172"/>
      <c r="F12" s="1172"/>
      <c r="G12" s="1172"/>
      <c r="H12" s="1172"/>
      <c r="I12" s="1172"/>
      <c r="J12" s="1172"/>
      <c r="K12" s="1172"/>
      <c r="L12" s="1173"/>
      <c r="M12" s="890"/>
      <c r="N12" s="889"/>
    </row>
    <row r="13" spans="1:14" ht="4.3499999999999996" customHeight="1" thickBot="1">
      <c r="A13" s="93"/>
      <c r="B13" s="335"/>
      <c r="C13" s="337"/>
      <c r="D13" s="504"/>
      <c r="E13" s="504"/>
      <c r="F13" s="504"/>
      <c r="G13" s="815"/>
      <c r="H13" s="144"/>
      <c r="I13" s="144"/>
      <c r="J13" s="144"/>
      <c r="K13" s="144"/>
      <c r="L13" s="144"/>
      <c r="M13" s="890"/>
      <c r="N13" s="889"/>
    </row>
    <row r="14" spans="1:14" ht="39.75" customHeight="1" thickBot="1">
      <c r="A14" s="93"/>
      <c r="B14" s="335"/>
      <c r="C14" s="338" t="s">
        <v>1063</v>
      </c>
      <c r="D14" s="1169" t="s">
        <v>1182</v>
      </c>
      <c r="E14" s="1172"/>
      <c r="F14" s="1172"/>
      <c r="G14" s="1172"/>
      <c r="H14" s="1172"/>
      <c r="I14" s="1172"/>
      <c r="J14" s="1172"/>
      <c r="K14" s="1172"/>
      <c r="L14" s="1173"/>
      <c r="M14" s="890"/>
      <c r="N14" s="889"/>
    </row>
    <row r="15" spans="1:14" ht="4.3499999999999996" customHeight="1" thickBot="1">
      <c r="A15" s="93"/>
      <c r="B15" s="335"/>
      <c r="C15" s="337"/>
      <c r="D15" s="504"/>
      <c r="E15" s="504"/>
      <c r="F15" s="504"/>
      <c r="G15" s="815"/>
      <c r="H15" s="144"/>
      <c r="I15" s="144"/>
      <c r="J15" s="144"/>
      <c r="K15" s="144"/>
      <c r="L15" s="144"/>
      <c r="M15" s="890"/>
      <c r="N15" s="889"/>
    </row>
    <row r="16" spans="1:14" ht="122.65" customHeight="1" thickBot="1">
      <c r="A16" s="93"/>
      <c r="B16" s="335"/>
      <c r="C16" s="340" t="s">
        <v>1183</v>
      </c>
      <c r="D16" s="1169" t="s">
        <v>1184</v>
      </c>
      <c r="E16" s="1172"/>
      <c r="F16" s="1172"/>
      <c r="G16" s="1172"/>
      <c r="H16" s="1172"/>
      <c r="I16" s="1172"/>
      <c r="J16" s="1172"/>
      <c r="K16" s="1172"/>
      <c r="L16" s="1173"/>
      <c r="M16" s="890"/>
      <c r="N16" s="889"/>
    </row>
    <row r="17" spans="1:14" ht="4.3499999999999996" customHeight="1" thickBot="1">
      <c r="A17" s="93"/>
      <c r="B17" s="335"/>
      <c r="C17" s="337"/>
      <c r="D17" s="504"/>
      <c r="E17" s="504"/>
      <c r="F17" s="504"/>
      <c r="G17" s="815"/>
      <c r="H17" s="144"/>
      <c r="I17" s="144"/>
      <c r="J17" s="144"/>
      <c r="K17" s="144"/>
      <c r="L17" s="144"/>
      <c r="M17" s="890"/>
      <c r="N17" s="889"/>
    </row>
    <row r="18" spans="1:14" ht="99" customHeight="1" thickBot="1">
      <c r="A18" s="93"/>
      <c r="B18" s="335"/>
      <c r="C18" s="340" t="s">
        <v>1185</v>
      </c>
      <c r="D18" s="1169" t="s">
        <v>1186</v>
      </c>
      <c r="E18" s="1172"/>
      <c r="F18" s="1172"/>
      <c r="G18" s="1172"/>
      <c r="H18" s="1172"/>
      <c r="I18" s="1172"/>
      <c r="J18" s="1172"/>
      <c r="K18" s="1172"/>
      <c r="L18" s="1173"/>
      <c r="M18" s="890"/>
      <c r="N18" s="889"/>
    </row>
    <row r="19" spans="1:14" ht="4.3499999999999996" customHeight="1" thickBot="1">
      <c r="A19" s="93"/>
      <c r="B19" s="335"/>
      <c r="C19" s="337"/>
      <c r="D19" s="504"/>
      <c r="E19" s="504"/>
      <c r="F19" s="504"/>
      <c r="G19" s="815"/>
      <c r="H19" s="144"/>
      <c r="I19" s="144"/>
      <c r="J19" s="144"/>
      <c r="K19" s="144"/>
      <c r="L19" s="144"/>
      <c r="M19" s="890"/>
      <c r="N19" s="889"/>
    </row>
    <row r="20" spans="1:14" s="87" customFormat="1" ht="276.60000000000002" customHeight="1" thickBot="1">
      <c r="A20" s="95"/>
      <c r="B20" s="341"/>
      <c r="C20" s="338" t="s">
        <v>1187</v>
      </c>
      <c r="D20" s="1169" t="s">
        <v>1188</v>
      </c>
      <c r="E20" s="1172"/>
      <c r="F20" s="1172"/>
      <c r="G20" s="1172"/>
      <c r="H20" s="1172"/>
      <c r="I20" s="1172"/>
      <c r="J20" s="1172"/>
      <c r="K20" s="1172"/>
      <c r="L20" s="1173"/>
      <c r="M20" s="891"/>
      <c r="N20" s="892"/>
    </row>
    <row r="21" spans="1:14" ht="4.3499999999999996" customHeight="1" thickBot="1">
      <c r="A21" s="93"/>
      <c r="B21" s="335"/>
      <c r="C21" s="337"/>
      <c r="D21" s="504"/>
      <c r="E21" s="504"/>
      <c r="F21" s="504"/>
      <c r="G21" s="815"/>
      <c r="H21" s="144"/>
      <c r="I21" s="144"/>
      <c r="J21" s="144"/>
      <c r="K21" s="144"/>
      <c r="L21" s="144"/>
      <c r="M21" s="890"/>
      <c r="N21" s="889"/>
    </row>
    <row r="22" spans="1:14" ht="193.35" customHeight="1" thickBot="1">
      <c r="A22" s="93"/>
      <c r="B22" s="335"/>
      <c r="C22" s="338" t="s">
        <v>1189</v>
      </c>
      <c r="D22" s="1169" t="s">
        <v>1190</v>
      </c>
      <c r="E22" s="1172"/>
      <c r="F22" s="1172"/>
      <c r="G22" s="1172"/>
      <c r="H22" s="1172"/>
      <c r="I22" s="1172"/>
      <c r="J22" s="1172"/>
      <c r="K22" s="1172"/>
      <c r="L22" s="1173"/>
      <c r="M22" s="890"/>
      <c r="N22" s="889"/>
    </row>
    <row r="23" spans="1:14" ht="4.3499999999999996" customHeight="1" thickBot="1">
      <c r="A23" s="93"/>
      <c r="B23" s="335"/>
      <c r="C23" s="337"/>
      <c r="D23" s="504"/>
      <c r="E23" s="504"/>
      <c r="F23" s="504"/>
      <c r="G23" s="815"/>
      <c r="H23" s="144"/>
      <c r="I23" s="144"/>
      <c r="J23" s="144"/>
      <c r="K23" s="144"/>
      <c r="L23" s="144"/>
      <c r="M23" s="890"/>
      <c r="N23" s="889"/>
    </row>
    <row r="24" spans="1:14" ht="198" customHeight="1" thickBot="1">
      <c r="A24" s="93"/>
      <c r="B24" s="335"/>
      <c r="C24" s="342" t="s">
        <v>944</v>
      </c>
      <c r="D24" s="1169" t="s">
        <v>1191</v>
      </c>
      <c r="E24" s="1172"/>
      <c r="F24" s="1172"/>
      <c r="G24" s="1172"/>
      <c r="H24" s="1172"/>
      <c r="I24" s="1172"/>
      <c r="J24" s="1172"/>
      <c r="K24" s="1172"/>
      <c r="L24" s="1173"/>
      <c r="M24" s="890"/>
      <c r="N24" s="889"/>
    </row>
    <row r="25" spans="1:14" ht="4.3499999999999996" customHeight="1" thickBot="1">
      <c r="A25" s="93"/>
      <c r="B25" s="335"/>
      <c r="C25" s="337"/>
      <c r="D25" s="504"/>
      <c r="E25" s="504"/>
      <c r="F25" s="504"/>
      <c r="G25" s="815"/>
      <c r="H25" s="144"/>
      <c r="I25" s="144"/>
      <c r="J25" s="144"/>
      <c r="K25" s="144"/>
      <c r="L25" s="144"/>
      <c r="M25" s="890"/>
      <c r="N25" s="889"/>
    </row>
    <row r="26" spans="1:14" ht="152.1" customHeight="1" thickBot="1">
      <c r="A26" s="93"/>
      <c r="B26" s="335"/>
      <c r="C26" s="338" t="s">
        <v>989</v>
      </c>
      <c r="D26" s="1169" t="s">
        <v>1192</v>
      </c>
      <c r="E26" s="1172"/>
      <c r="F26" s="1172"/>
      <c r="G26" s="1172"/>
      <c r="H26" s="1172"/>
      <c r="I26" s="1172"/>
      <c r="J26" s="1172"/>
      <c r="K26" s="1172"/>
      <c r="L26" s="1173"/>
      <c r="M26" s="890"/>
      <c r="N26" s="889"/>
    </row>
    <row r="27" spans="1:14" ht="4.3499999999999996" customHeight="1" thickBot="1">
      <c r="A27" s="93"/>
      <c r="B27" s="335"/>
      <c r="C27" s="337"/>
      <c r="D27" s="504"/>
      <c r="E27" s="504"/>
      <c r="F27" s="504"/>
      <c r="G27" s="815"/>
      <c r="H27" s="144"/>
      <c r="I27" s="144"/>
      <c r="J27" s="144"/>
      <c r="K27" s="144"/>
      <c r="L27" s="144"/>
      <c r="M27" s="890"/>
      <c r="N27" s="889"/>
    </row>
    <row r="28" spans="1:14" ht="54.75" customHeight="1" thickBot="1">
      <c r="A28" s="93"/>
      <c r="B28" s="335"/>
      <c r="C28" s="340" t="s">
        <v>754</v>
      </c>
      <c r="D28" s="1166" t="s">
        <v>1193</v>
      </c>
      <c r="E28" s="1167"/>
      <c r="F28" s="1167"/>
      <c r="G28" s="1167"/>
      <c r="H28" s="1167"/>
      <c r="I28" s="1167"/>
      <c r="J28" s="1167"/>
      <c r="K28" s="1167"/>
      <c r="L28" s="1168"/>
      <c r="M28" s="890"/>
      <c r="N28" s="889"/>
    </row>
    <row r="29" spans="1:14" ht="4.3499999999999996" customHeight="1" thickBot="1">
      <c r="A29" s="93"/>
      <c r="B29" s="335"/>
      <c r="C29" s="337"/>
      <c r="D29" s="504"/>
      <c r="E29" s="504"/>
      <c r="F29" s="504"/>
      <c r="G29" s="815"/>
      <c r="H29" s="144"/>
      <c r="I29" s="144"/>
      <c r="J29" s="144"/>
      <c r="K29" s="144"/>
      <c r="L29" s="144"/>
      <c r="M29" s="890"/>
      <c r="N29" s="889"/>
    </row>
    <row r="30" spans="1:14" ht="80.45" customHeight="1" thickBot="1">
      <c r="A30" s="93"/>
      <c r="B30" s="335"/>
      <c r="C30" s="340" t="s">
        <v>1194</v>
      </c>
      <c r="D30" s="1169" t="s">
        <v>1195</v>
      </c>
      <c r="E30" s="1172"/>
      <c r="F30" s="1172"/>
      <c r="G30" s="1172"/>
      <c r="H30" s="1172"/>
      <c r="I30" s="1172"/>
      <c r="J30" s="1172"/>
      <c r="K30" s="1172"/>
      <c r="L30" s="1173"/>
      <c r="M30" s="890"/>
      <c r="N30" s="889"/>
    </row>
    <row r="31" spans="1:14" ht="4.3499999999999996" customHeight="1" thickBot="1">
      <c r="A31" s="93"/>
      <c r="B31" s="335"/>
      <c r="C31" s="337"/>
      <c r="D31" s="504"/>
      <c r="E31" s="504"/>
      <c r="F31" s="504"/>
      <c r="G31" s="815"/>
      <c r="H31" s="144"/>
      <c r="I31" s="144"/>
      <c r="J31" s="144"/>
      <c r="K31" s="144"/>
      <c r="L31" s="144"/>
      <c r="M31" s="890"/>
      <c r="N31" s="889"/>
    </row>
    <row r="32" spans="1:14" ht="65.45" customHeight="1" thickBot="1">
      <c r="A32" s="93"/>
      <c r="B32" s="335"/>
      <c r="C32" s="340" t="s">
        <v>951</v>
      </c>
      <c r="D32" s="1169" t="s">
        <v>1196</v>
      </c>
      <c r="E32" s="1172"/>
      <c r="F32" s="1172"/>
      <c r="G32" s="1172"/>
      <c r="H32" s="1172"/>
      <c r="I32" s="1172"/>
      <c r="J32" s="1172"/>
      <c r="K32" s="1172"/>
      <c r="L32" s="1173"/>
      <c r="M32" s="890"/>
      <c r="N32" s="889"/>
    </row>
    <row r="33" spans="1:14" ht="4.3499999999999996" customHeight="1" thickBot="1">
      <c r="A33" s="93"/>
      <c r="B33" s="335"/>
      <c r="C33" s="337"/>
      <c r="D33" s="504"/>
      <c r="E33" s="504"/>
      <c r="F33" s="504"/>
      <c r="G33" s="815"/>
      <c r="H33" s="144"/>
      <c r="I33" s="144"/>
      <c r="J33" s="144"/>
      <c r="K33" s="144"/>
      <c r="L33" s="144"/>
      <c r="M33" s="890"/>
      <c r="N33" s="889"/>
    </row>
    <row r="34" spans="1:14" ht="24.75" customHeight="1" thickBot="1">
      <c r="A34" s="93"/>
      <c r="B34" s="335"/>
      <c r="C34" s="338" t="s">
        <v>1065</v>
      </c>
      <c r="D34" s="1169" t="s">
        <v>1197</v>
      </c>
      <c r="E34" s="1172"/>
      <c r="F34" s="1172"/>
      <c r="G34" s="1172"/>
      <c r="H34" s="1172"/>
      <c r="I34" s="1172"/>
      <c r="J34" s="1172"/>
      <c r="K34" s="1172"/>
      <c r="L34" s="1173"/>
      <c r="M34" s="890"/>
      <c r="N34" s="889"/>
    </row>
    <row r="35" spans="1:14" ht="4.3499999999999996" customHeight="1" thickBot="1">
      <c r="A35" s="93"/>
      <c r="B35" s="335"/>
      <c r="C35" s="337"/>
      <c r="D35" s="504"/>
      <c r="E35" s="504"/>
      <c r="F35" s="504"/>
      <c r="G35" s="815"/>
      <c r="H35" s="144"/>
      <c r="I35" s="144"/>
      <c r="J35" s="144"/>
      <c r="K35" s="144"/>
      <c r="L35" s="144"/>
      <c r="M35" s="890"/>
      <c r="N35" s="889"/>
    </row>
    <row r="36" spans="1:14" ht="68.45" customHeight="1" thickBot="1">
      <c r="A36" s="93"/>
      <c r="B36" s="335"/>
      <c r="C36" s="340" t="s">
        <v>1198</v>
      </c>
      <c r="D36" s="1166" t="s">
        <v>1199</v>
      </c>
      <c r="E36" s="1172"/>
      <c r="F36" s="1172"/>
      <c r="G36" s="1172"/>
      <c r="H36" s="1172"/>
      <c r="I36" s="1172"/>
      <c r="J36" s="1172"/>
      <c r="K36" s="1172"/>
      <c r="L36" s="1173"/>
      <c r="M36" s="890"/>
      <c r="N36" s="889"/>
    </row>
    <row r="37" spans="1:14" ht="4.3499999999999996" customHeight="1" thickBot="1">
      <c r="A37" s="93"/>
      <c r="B37" s="335"/>
      <c r="C37" s="337"/>
      <c r="D37" s="504"/>
      <c r="E37" s="504"/>
      <c r="F37" s="504"/>
      <c r="G37" s="815"/>
      <c r="H37" s="144"/>
      <c r="I37" s="144"/>
      <c r="J37" s="144"/>
      <c r="K37" s="144"/>
      <c r="L37" s="144"/>
      <c r="M37" s="890"/>
      <c r="N37" s="889"/>
    </row>
    <row r="38" spans="1:14" ht="409.6" customHeight="1" thickBot="1">
      <c r="A38" s="93"/>
      <c r="B38" s="335"/>
      <c r="C38" s="338" t="s">
        <v>1200</v>
      </c>
      <c r="D38" s="1169" t="s">
        <v>1201</v>
      </c>
      <c r="E38" s="1172"/>
      <c r="F38" s="1172"/>
      <c r="G38" s="1172"/>
      <c r="H38" s="1172"/>
      <c r="I38" s="1172"/>
      <c r="J38" s="1172"/>
      <c r="K38" s="1172"/>
      <c r="L38" s="1173"/>
      <c r="M38" s="890"/>
      <c r="N38" s="889"/>
    </row>
    <row r="39" spans="1:14" ht="4.3499999999999996" customHeight="1" thickBot="1">
      <c r="A39" s="93"/>
      <c r="B39" s="335"/>
      <c r="C39" s="337"/>
      <c r="D39" s="504"/>
      <c r="E39" s="504"/>
      <c r="F39" s="504"/>
      <c r="G39" s="815"/>
      <c r="H39" s="144"/>
      <c r="I39" s="144"/>
      <c r="J39" s="144"/>
      <c r="K39" s="144"/>
      <c r="L39" s="144"/>
      <c r="M39" s="890"/>
      <c r="N39" s="889"/>
    </row>
    <row r="40" spans="1:14" ht="95.45" customHeight="1" thickBot="1">
      <c r="A40" s="93"/>
      <c r="B40" s="335"/>
      <c r="C40" s="340" t="s">
        <v>1202</v>
      </c>
      <c r="D40" s="1169" t="s">
        <v>1203</v>
      </c>
      <c r="E40" s="1172"/>
      <c r="F40" s="1172"/>
      <c r="G40" s="1172"/>
      <c r="H40" s="1172"/>
      <c r="I40" s="1172"/>
      <c r="J40" s="1172"/>
      <c r="K40" s="1172"/>
      <c r="L40" s="1173"/>
      <c r="M40" s="890"/>
      <c r="N40" s="889"/>
    </row>
    <row r="41" spans="1:14" ht="4.3499999999999996" customHeight="1" thickBot="1">
      <c r="A41" s="93"/>
      <c r="B41" s="335"/>
      <c r="C41" s="337"/>
      <c r="D41" s="504"/>
      <c r="E41" s="504"/>
      <c r="F41" s="504"/>
      <c r="G41" s="815"/>
      <c r="H41" s="144"/>
      <c r="I41" s="144"/>
      <c r="J41" s="144"/>
      <c r="K41" s="144"/>
      <c r="L41" s="144"/>
      <c r="M41" s="890"/>
      <c r="N41" s="889"/>
    </row>
    <row r="42" spans="1:14" ht="151.35" customHeight="1" thickBot="1">
      <c r="A42" s="93"/>
      <c r="B42" s="335"/>
      <c r="C42" s="338" t="s">
        <v>1204</v>
      </c>
      <c r="D42" s="1169" t="s">
        <v>1205</v>
      </c>
      <c r="E42" s="1172"/>
      <c r="F42" s="1172"/>
      <c r="G42" s="1172"/>
      <c r="H42" s="1172"/>
      <c r="I42" s="1172"/>
      <c r="J42" s="1172"/>
      <c r="K42" s="1172"/>
      <c r="L42" s="1173"/>
      <c r="M42" s="890"/>
      <c r="N42" s="889"/>
    </row>
    <row r="43" spans="1:14" ht="4.3499999999999996" customHeight="1" thickBot="1">
      <c r="A43" s="93"/>
      <c r="B43" s="335"/>
      <c r="C43" s="337"/>
      <c r="D43" s="504"/>
      <c r="E43" s="504"/>
      <c r="F43" s="504"/>
      <c r="G43" s="815"/>
      <c r="H43" s="144"/>
      <c r="I43" s="144"/>
      <c r="J43" s="144"/>
      <c r="K43" s="144"/>
      <c r="L43" s="144"/>
      <c r="M43" s="890"/>
      <c r="N43" s="889"/>
    </row>
    <row r="44" spans="1:14" ht="340.15" customHeight="1">
      <c r="A44" s="93"/>
      <c r="B44" s="335"/>
      <c r="C44" s="1174" t="s">
        <v>1206</v>
      </c>
      <c r="D44" s="1176" t="s">
        <v>1207</v>
      </c>
      <c r="E44" s="1177"/>
      <c r="F44" s="1177"/>
      <c r="G44" s="1177"/>
      <c r="H44" s="1177"/>
      <c r="I44" s="1177"/>
      <c r="J44" s="1177"/>
      <c r="K44" s="1177"/>
      <c r="L44" s="1178"/>
      <c r="M44" s="890"/>
      <c r="N44" s="889"/>
    </row>
    <row r="45" spans="1:14" ht="13.5" thickBot="1">
      <c r="A45" s="93"/>
      <c r="B45" s="335"/>
      <c r="C45" s="1175"/>
      <c r="D45" s="1179"/>
      <c r="E45" s="1180"/>
      <c r="F45" s="1180"/>
      <c r="G45" s="1180"/>
      <c r="H45" s="1180"/>
      <c r="I45" s="1180"/>
      <c r="J45" s="1180"/>
      <c r="K45" s="1180"/>
      <c r="L45" s="1181"/>
      <c r="M45" s="890"/>
      <c r="N45" s="889"/>
    </row>
    <row r="46" spans="1:14" ht="4.3499999999999996" customHeight="1" thickBot="1">
      <c r="A46" s="93"/>
      <c r="B46" s="335"/>
      <c r="C46" s="337"/>
      <c r="D46" s="504"/>
      <c r="E46" s="504"/>
      <c r="F46" s="504"/>
      <c r="G46" s="815"/>
      <c r="H46" s="144"/>
      <c r="I46" s="144"/>
      <c r="J46" s="144"/>
      <c r="K46" s="144"/>
      <c r="L46" s="144"/>
      <c r="M46" s="890"/>
      <c r="N46" s="889"/>
    </row>
    <row r="47" spans="1:14" ht="73.349999999999994" customHeight="1" thickBot="1">
      <c r="A47" s="93"/>
      <c r="B47" s="335"/>
      <c r="C47" s="338" t="s">
        <v>1069</v>
      </c>
      <c r="D47" s="1169" t="s">
        <v>1208</v>
      </c>
      <c r="E47" s="1172"/>
      <c r="F47" s="1172"/>
      <c r="G47" s="1172"/>
      <c r="H47" s="1172"/>
      <c r="I47" s="1172"/>
      <c r="J47" s="1172"/>
      <c r="K47" s="1172"/>
      <c r="L47" s="1173"/>
      <c r="M47" s="890"/>
      <c r="N47" s="889"/>
    </row>
    <row r="48" spans="1:14" ht="4.3499999999999996" customHeight="1" thickBot="1">
      <c r="A48" s="93"/>
      <c r="B48" s="335"/>
      <c r="C48" s="343"/>
      <c r="D48" s="149"/>
      <c r="E48" s="149"/>
      <c r="F48" s="149"/>
      <c r="G48" s="636"/>
      <c r="H48" s="504"/>
      <c r="I48" s="504"/>
      <c r="J48" s="504"/>
      <c r="K48" s="504"/>
      <c r="L48" s="504"/>
      <c r="M48" s="890"/>
      <c r="N48" s="889"/>
    </row>
    <row r="49" spans="1:14" ht="97.15" customHeight="1" thickBot="1">
      <c r="A49" s="93"/>
      <c r="B49" s="335"/>
      <c r="C49" s="340" t="s">
        <v>1209</v>
      </c>
      <c r="D49" s="1169" t="s">
        <v>1210</v>
      </c>
      <c r="E49" s="1172"/>
      <c r="F49" s="1172"/>
      <c r="G49" s="1172"/>
      <c r="H49" s="1172"/>
      <c r="I49" s="1172"/>
      <c r="J49" s="1172"/>
      <c r="K49" s="1172"/>
      <c r="L49" s="1173"/>
      <c r="M49" s="890"/>
      <c r="N49" s="889"/>
    </row>
    <row r="50" spans="1:14" ht="4.3499999999999996" customHeight="1" thickBot="1">
      <c r="A50" s="93"/>
      <c r="B50" s="335"/>
      <c r="C50" s="343"/>
      <c r="D50" s="149"/>
      <c r="E50" s="149"/>
      <c r="F50" s="149"/>
      <c r="G50" s="636"/>
      <c r="H50" s="504"/>
      <c r="I50" s="504"/>
      <c r="J50" s="504"/>
      <c r="K50" s="504"/>
      <c r="L50" s="504"/>
      <c r="M50" s="890"/>
      <c r="N50" s="889"/>
    </row>
    <row r="51" spans="1:14" ht="198" customHeight="1" thickBot="1">
      <c r="A51" s="93"/>
      <c r="B51" s="335"/>
      <c r="C51" s="338" t="s">
        <v>1211</v>
      </c>
      <c r="D51" s="1169" t="s">
        <v>1212</v>
      </c>
      <c r="E51" s="1172"/>
      <c r="F51" s="1172"/>
      <c r="G51" s="1172"/>
      <c r="H51" s="1172"/>
      <c r="I51" s="1172"/>
      <c r="J51" s="1172"/>
      <c r="K51" s="1172"/>
      <c r="L51" s="1173"/>
      <c r="M51" s="890"/>
      <c r="N51" s="889"/>
    </row>
    <row r="52" spans="1:14" ht="4.3499999999999996" customHeight="1" thickBot="1">
      <c r="A52" s="93"/>
      <c r="B52" s="335"/>
      <c r="C52" s="337"/>
      <c r="D52" s="504"/>
      <c r="E52" s="504"/>
      <c r="F52" s="504"/>
      <c r="G52" s="815"/>
      <c r="H52" s="144"/>
      <c r="I52" s="144"/>
      <c r="J52" s="144"/>
      <c r="K52" s="144"/>
      <c r="L52" s="144"/>
      <c r="M52" s="890"/>
      <c r="N52" s="889"/>
    </row>
    <row r="53" spans="1:14" ht="102" customHeight="1">
      <c r="A53" s="93"/>
      <c r="B53" s="335"/>
      <c r="C53" s="1174" t="s">
        <v>1213</v>
      </c>
      <c r="D53" s="1176" t="s">
        <v>1214</v>
      </c>
      <c r="E53" s="1177"/>
      <c r="F53" s="1177"/>
      <c r="G53" s="1177"/>
      <c r="H53" s="1177"/>
      <c r="I53" s="1177"/>
      <c r="J53" s="1177"/>
      <c r="K53" s="1177"/>
      <c r="L53" s="1178"/>
      <c r="M53" s="890"/>
      <c r="N53" s="889"/>
    </row>
    <row r="54" spans="1:14" ht="18" customHeight="1">
      <c r="A54" s="93"/>
      <c r="B54" s="335"/>
      <c r="C54" s="1183"/>
      <c r="D54" s="895"/>
      <c r="E54" s="1182" t="s">
        <v>1215</v>
      </c>
      <c r="F54" s="1182"/>
      <c r="G54" s="896" t="s">
        <v>1216</v>
      </c>
      <c r="H54" s="896"/>
      <c r="I54" s="1184" t="s">
        <v>1217</v>
      </c>
      <c r="J54" s="1184"/>
      <c r="K54" s="636"/>
      <c r="L54" s="642"/>
      <c r="M54" s="890"/>
      <c r="N54" s="889"/>
    </row>
    <row r="55" spans="1:14" ht="18.75" customHeight="1">
      <c r="A55" s="93"/>
      <c r="B55" s="335"/>
      <c r="C55" s="1183"/>
      <c r="D55" s="895"/>
      <c r="E55" s="1185">
        <v>100</v>
      </c>
      <c r="F55" s="1186"/>
      <c r="G55" s="897" t="s">
        <v>1015</v>
      </c>
      <c r="H55" s="31" t="s">
        <v>1016</v>
      </c>
      <c r="I55" s="898">
        <f>E55*INDEX(Sheet1!N2:P4,MATCH(G55,Sheet1!M2:M4,0),MATCH(J55,Sheet1!N1:P1,0))</f>
        <v>306.88832897372282</v>
      </c>
      <c r="J55" s="897" t="s">
        <v>1000</v>
      </c>
      <c r="K55" s="636"/>
      <c r="L55" s="642"/>
      <c r="M55" s="890"/>
      <c r="N55" s="889"/>
    </row>
    <row r="56" spans="1:14" ht="18" customHeight="1">
      <c r="A56" s="93"/>
      <c r="B56" s="335"/>
      <c r="C56" s="1183"/>
      <c r="D56" s="895"/>
      <c r="E56" s="504"/>
      <c r="F56" s="504"/>
      <c r="G56" s="999" t="str">
        <f>"(conversion factor = "&amp;ROUND(INDEX(Sheet1!N2:P4,MATCH(G55,Sheet1!M2:M4,0),MATCH(J55,Sheet1!N1:P1,0)),4)&amp;")"</f>
        <v>(conversion factor = 3.0689)</v>
      </c>
      <c r="H56" s="999"/>
      <c r="I56" s="999"/>
      <c r="J56" s="999"/>
      <c r="K56" s="636"/>
      <c r="L56" s="642"/>
      <c r="M56" s="890"/>
      <c r="N56" s="889"/>
    </row>
    <row r="57" spans="1:14" ht="3.75" customHeight="1" thickBot="1">
      <c r="A57" s="93"/>
      <c r="B57" s="335"/>
      <c r="C57" s="1175"/>
      <c r="D57" s="899"/>
      <c r="E57" s="900"/>
      <c r="F57" s="900"/>
      <c r="G57" s="901"/>
      <c r="H57" s="902"/>
      <c r="I57" s="902"/>
      <c r="J57" s="902"/>
      <c r="K57" s="902"/>
      <c r="L57" s="894"/>
      <c r="M57" s="890"/>
      <c r="N57" s="889"/>
    </row>
    <row r="58" spans="1:14" ht="4.3499999999999996" customHeight="1" thickBot="1">
      <c r="A58" s="93"/>
      <c r="B58" s="335"/>
      <c r="C58" s="344"/>
      <c r="D58" s="504"/>
      <c r="E58" s="504"/>
      <c r="F58" s="504"/>
      <c r="G58" s="144"/>
      <c r="H58" s="144"/>
      <c r="I58" s="144"/>
      <c r="J58" s="144"/>
      <c r="K58" s="144"/>
      <c r="L58" s="144"/>
      <c r="M58" s="890"/>
      <c r="N58" s="889"/>
    </row>
    <row r="59" spans="1:14" ht="147.6" customHeight="1" thickBot="1">
      <c r="A59" s="93"/>
      <c r="B59" s="335"/>
      <c r="C59" s="339" t="s">
        <v>1218</v>
      </c>
      <c r="D59" s="1169" t="s">
        <v>1219</v>
      </c>
      <c r="E59" s="1172"/>
      <c r="F59" s="1172"/>
      <c r="G59" s="1172"/>
      <c r="H59" s="1172"/>
      <c r="I59" s="1172"/>
      <c r="J59" s="1172"/>
      <c r="K59" s="1172"/>
      <c r="L59" s="1173"/>
      <c r="M59" s="890"/>
      <c r="N59" s="889"/>
    </row>
    <row r="60" spans="1:14" ht="4.3499999999999996" customHeight="1" thickBot="1">
      <c r="A60" s="93"/>
      <c r="B60" s="335"/>
      <c r="C60" s="344"/>
      <c r="D60" s="504"/>
      <c r="E60" s="504"/>
      <c r="F60" s="504"/>
      <c r="G60" s="144"/>
      <c r="H60" s="144"/>
      <c r="I60" s="144"/>
      <c r="J60" s="144"/>
      <c r="K60" s="144"/>
      <c r="L60" s="144"/>
      <c r="M60" s="890"/>
      <c r="N60" s="889"/>
    </row>
    <row r="61" spans="1:14" ht="201.6" customHeight="1" thickBot="1">
      <c r="A61" s="93"/>
      <c r="B61" s="335"/>
      <c r="C61" s="339" t="s">
        <v>1220</v>
      </c>
      <c r="D61" s="1169" t="s">
        <v>1221</v>
      </c>
      <c r="E61" s="1172"/>
      <c r="F61" s="1172"/>
      <c r="G61" s="1172"/>
      <c r="H61" s="1172"/>
      <c r="I61" s="1172"/>
      <c r="J61" s="1172"/>
      <c r="K61" s="1172"/>
      <c r="L61" s="1173"/>
      <c r="M61" s="890"/>
      <c r="N61" s="889"/>
    </row>
    <row r="62" spans="1:14" ht="4.3499999999999996" customHeight="1" thickBot="1">
      <c r="A62" s="93"/>
      <c r="B62" s="335"/>
      <c r="C62" s="344"/>
      <c r="D62" s="504"/>
      <c r="E62" s="504"/>
      <c r="F62" s="504"/>
      <c r="G62" s="144"/>
      <c r="H62" s="144"/>
      <c r="I62" s="144"/>
      <c r="J62" s="144"/>
      <c r="K62" s="144"/>
      <c r="L62" s="144"/>
      <c r="M62" s="890"/>
      <c r="N62" s="889"/>
    </row>
    <row r="63" spans="1:14" ht="112.9" customHeight="1" thickBot="1">
      <c r="A63" s="93"/>
      <c r="B63" s="335"/>
      <c r="C63" s="342" t="s">
        <v>1222</v>
      </c>
      <c r="D63" s="1169" t="s">
        <v>1223</v>
      </c>
      <c r="E63" s="1172"/>
      <c r="F63" s="1172"/>
      <c r="G63" s="1172"/>
      <c r="H63" s="1172"/>
      <c r="I63" s="1172"/>
      <c r="J63" s="1172"/>
      <c r="K63" s="1172"/>
      <c r="L63" s="1173"/>
      <c r="M63" s="890"/>
      <c r="N63" s="889"/>
    </row>
    <row r="64" spans="1:14" ht="4.3499999999999996" customHeight="1" thickBot="1">
      <c r="A64" s="93"/>
      <c r="B64" s="335"/>
      <c r="C64" s="344"/>
      <c r="D64" s="504"/>
      <c r="E64" s="504"/>
      <c r="F64" s="504"/>
      <c r="G64" s="144"/>
      <c r="H64" s="144"/>
      <c r="I64" s="144"/>
      <c r="J64" s="144"/>
      <c r="K64" s="144"/>
      <c r="L64" s="144"/>
      <c r="M64" s="890"/>
      <c r="N64" s="889"/>
    </row>
    <row r="65" spans="1:14" ht="151.35" customHeight="1" thickBot="1">
      <c r="A65" s="93"/>
      <c r="B65" s="335"/>
      <c r="C65" s="339" t="s">
        <v>980</v>
      </c>
      <c r="D65" s="1169" t="s">
        <v>1224</v>
      </c>
      <c r="E65" s="1172"/>
      <c r="F65" s="1172"/>
      <c r="G65" s="1172"/>
      <c r="H65" s="1172"/>
      <c r="I65" s="1172"/>
      <c r="J65" s="1172"/>
      <c r="K65" s="1172"/>
      <c r="L65" s="1173"/>
      <c r="M65" s="890"/>
      <c r="N65" s="889"/>
    </row>
    <row r="66" spans="1:14" ht="4.3499999999999996" customHeight="1" thickBot="1">
      <c r="A66" s="93"/>
      <c r="B66" s="335"/>
      <c r="C66" s="344"/>
      <c r="D66" s="504"/>
      <c r="E66" s="504"/>
      <c r="F66" s="504"/>
      <c r="G66" s="144"/>
      <c r="H66" s="144"/>
      <c r="I66" s="144"/>
      <c r="J66" s="144"/>
      <c r="K66" s="144"/>
      <c r="L66" s="144"/>
      <c r="M66" s="890"/>
      <c r="N66" s="889"/>
    </row>
    <row r="67" spans="1:14" ht="134.44999999999999" customHeight="1" thickBot="1">
      <c r="A67" s="93"/>
      <c r="B67" s="335"/>
      <c r="C67" s="339" t="s">
        <v>1225</v>
      </c>
      <c r="D67" s="1169" t="s">
        <v>1226</v>
      </c>
      <c r="E67" s="1172"/>
      <c r="F67" s="1172"/>
      <c r="G67" s="1172"/>
      <c r="H67" s="1172"/>
      <c r="I67" s="1172"/>
      <c r="J67" s="1172"/>
      <c r="K67" s="1172"/>
      <c r="L67" s="1173"/>
      <c r="M67" s="890"/>
      <c r="N67" s="889"/>
    </row>
    <row r="68" spans="1:14" ht="4.1500000000000004" customHeight="1" thickBot="1">
      <c r="A68" s="93"/>
      <c r="B68" s="335"/>
      <c r="C68" s="337"/>
      <c r="D68" s="504"/>
      <c r="E68" s="504"/>
      <c r="F68" s="504"/>
      <c r="G68" s="815"/>
      <c r="H68" s="144"/>
      <c r="I68" s="144"/>
      <c r="J68" s="144"/>
      <c r="K68" s="144"/>
      <c r="L68" s="144"/>
      <c r="M68" s="890"/>
      <c r="N68" s="889"/>
    </row>
    <row r="69" spans="1:14" ht="73.5" customHeight="1" thickBot="1">
      <c r="A69" s="93"/>
      <c r="B69" s="335"/>
      <c r="C69" s="342" t="s">
        <v>1227</v>
      </c>
      <c r="D69" s="1169" t="s">
        <v>1228</v>
      </c>
      <c r="E69" s="1172"/>
      <c r="F69" s="1172"/>
      <c r="G69" s="1172"/>
      <c r="H69" s="1172"/>
      <c r="I69" s="1172"/>
      <c r="J69" s="1172"/>
      <c r="K69" s="1172"/>
      <c r="L69" s="1173"/>
      <c r="M69" s="890"/>
      <c r="N69" s="889"/>
    </row>
    <row r="70" spans="1:14" ht="4.1500000000000004" customHeight="1" thickBot="1">
      <c r="A70" s="824"/>
      <c r="B70" s="903"/>
      <c r="D70" s="144"/>
      <c r="E70" s="144"/>
      <c r="F70" s="144"/>
      <c r="G70" s="504"/>
      <c r="H70" s="504"/>
      <c r="I70" s="504"/>
      <c r="J70" s="504"/>
      <c r="K70" s="504"/>
      <c r="L70" s="504"/>
      <c r="M70" s="890"/>
      <c r="N70" s="889"/>
    </row>
    <row r="71" spans="1:14" ht="125.45" customHeight="1" thickBot="1">
      <c r="A71" s="93"/>
      <c r="B71" s="335"/>
      <c r="C71" s="342" t="s">
        <v>1229</v>
      </c>
      <c r="D71" s="1169" t="s">
        <v>1230</v>
      </c>
      <c r="E71" s="1172"/>
      <c r="F71" s="1172"/>
      <c r="G71" s="1172"/>
      <c r="H71" s="1172"/>
      <c r="I71" s="1172"/>
      <c r="J71" s="1172"/>
      <c r="K71" s="1172"/>
      <c r="L71" s="1173"/>
      <c r="M71" s="890"/>
      <c r="N71" s="889"/>
    </row>
    <row r="72" spans="1:14" ht="4.1500000000000004" customHeight="1" thickBot="1">
      <c r="A72" s="93"/>
      <c r="B72" s="335"/>
      <c r="C72" s="638"/>
      <c r="D72" s="636"/>
      <c r="E72" s="636"/>
      <c r="F72" s="636"/>
      <c r="G72" s="636"/>
      <c r="H72" s="636"/>
      <c r="I72" s="636"/>
      <c r="J72" s="636"/>
      <c r="K72" s="636"/>
      <c r="L72" s="636"/>
      <c r="M72" s="890"/>
      <c r="N72" s="889"/>
    </row>
    <row r="73" spans="1:14" ht="409.5" customHeight="1">
      <c r="A73" s="93"/>
      <c r="B73" s="335"/>
      <c r="C73" s="1158" t="s">
        <v>1231</v>
      </c>
      <c r="D73" s="1187" t="s">
        <v>1232</v>
      </c>
      <c r="E73" s="1188"/>
      <c r="F73" s="1188"/>
      <c r="G73" s="1188"/>
      <c r="H73" s="1188"/>
      <c r="I73" s="1188"/>
      <c r="J73" s="1188"/>
      <c r="K73" s="1188"/>
      <c r="L73" s="1189"/>
      <c r="M73" s="890"/>
      <c r="N73" s="889"/>
    </row>
    <row r="74" spans="1:14" ht="302.45" customHeight="1" thickBot="1">
      <c r="A74" s="93"/>
      <c r="B74" s="335"/>
      <c r="C74" s="1159"/>
      <c r="D74" s="1190"/>
      <c r="E74" s="1191"/>
      <c r="F74" s="1191"/>
      <c r="G74" s="1191"/>
      <c r="H74" s="1191"/>
      <c r="I74" s="1191"/>
      <c r="J74" s="1191"/>
      <c r="K74" s="1191"/>
      <c r="L74" s="1192"/>
      <c r="M74" s="890"/>
      <c r="N74" s="889"/>
    </row>
    <row r="75" spans="1:14" ht="4.3499999999999996" customHeight="1" thickBot="1">
      <c r="A75" s="93"/>
      <c r="B75" s="335"/>
      <c r="C75" s="344"/>
      <c r="D75" s="504"/>
      <c r="E75" s="504"/>
      <c r="F75" s="504"/>
      <c r="G75" s="144"/>
      <c r="H75" s="144"/>
      <c r="I75" s="144"/>
      <c r="J75" s="144"/>
      <c r="K75" s="144"/>
      <c r="L75" s="144"/>
      <c r="M75" s="890"/>
      <c r="N75" s="889"/>
    </row>
    <row r="76" spans="1:14" ht="92.45" customHeight="1" thickBot="1">
      <c r="A76" s="93"/>
      <c r="B76" s="335"/>
      <c r="C76" s="340" t="s">
        <v>1233</v>
      </c>
      <c r="D76" s="1166" t="s">
        <v>1234</v>
      </c>
      <c r="E76" s="1167"/>
      <c r="F76" s="1167"/>
      <c r="G76" s="1167"/>
      <c r="H76" s="1167"/>
      <c r="I76" s="1167"/>
      <c r="J76" s="1167"/>
      <c r="K76" s="1167"/>
      <c r="L76" s="1168"/>
      <c r="M76" s="890"/>
      <c r="N76" s="889"/>
    </row>
    <row r="77" spans="1:14" ht="6.75" customHeight="1" thickBot="1">
      <c r="A77" s="93"/>
      <c r="B77" s="345"/>
      <c r="C77" s="346"/>
      <c r="D77" s="904"/>
      <c r="E77" s="904"/>
      <c r="F77" s="904"/>
      <c r="G77" s="904"/>
      <c r="H77" s="904"/>
      <c r="I77" s="904"/>
      <c r="J77" s="904"/>
      <c r="K77" s="904"/>
      <c r="L77" s="904"/>
      <c r="M77" s="905"/>
      <c r="N77" s="889"/>
    </row>
    <row r="78" spans="1:14" ht="184.15" hidden="1" customHeight="1" thickTop="1">
      <c r="D78" s="118"/>
      <c r="E78" s="118"/>
      <c r="F78" s="118"/>
      <c r="G78" s="118"/>
      <c r="H78" s="118"/>
      <c r="I78" s="118"/>
      <c r="J78" s="118"/>
      <c r="K78" s="118"/>
      <c r="L78" s="118"/>
      <c r="M78" s="118"/>
      <c r="N78" s="889"/>
    </row>
    <row r="79" spans="1:14" hidden="1">
      <c r="D79" s="118"/>
      <c r="E79" s="118"/>
      <c r="F79" s="118"/>
      <c r="G79" s="118"/>
      <c r="H79" s="118"/>
      <c r="I79" s="118"/>
      <c r="J79" s="118"/>
      <c r="K79" s="118"/>
      <c r="L79" s="118"/>
      <c r="M79" s="118"/>
      <c r="N79" s="889"/>
    </row>
    <row r="80" spans="1:14" hidden="1">
      <c r="D80" s="118"/>
      <c r="E80" s="118"/>
      <c r="F80" s="118"/>
      <c r="G80" s="118"/>
      <c r="H80" s="118"/>
      <c r="I80" s="118"/>
      <c r="J80" s="118"/>
      <c r="K80" s="118"/>
      <c r="L80" s="118"/>
      <c r="M80" s="118"/>
      <c r="N80" s="824"/>
    </row>
    <row r="81" spans="14:14" hidden="1">
      <c r="N81" s="824"/>
    </row>
    <row r="82" spans="14:14" hidden="1">
      <c r="N82" s="824"/>
    </row>
    <row r="83" spans="14:14" hidden="1">
      <c r="N83" s="824"/>
    </row>
    <row r="84" spans="14:14" hidden="1">
      <c r="N84" s="824"/>
    </row>
    <row r="85" spans="14:14" hidden="1">
      <c r="N85" s="824"/>
    </row>
    <row r="86" spans="14:14" hidden="1">
      <c r="N86" s="824"/>
    </row>
    <row r="87" spans="14:14" hidden="1">
      <c r="N87" s="824"/>
    </row>
    <row r="88" spans="14:14" hidden="1">
      <c r="N88" s="824"/>
    </row>
    <row r="89" spans="14:14" hidden="1">
      <c r="N89" s="824"/>
    </row>
    <row r="90" spans="14:14" hidden="1">
      <c r="N90" s="824"/>
    </row>
    <row r="91" spans="14:14" hidden="1">
      <c r="N91" s="824"/>
    </row>
    <row r="92" spans="14:14" hidden="1">
      <c r="N92" s="824"/>
    </row>
    <row r="93" spans="14:14" hidden="1">
      <c r="N93" s="824"/>
    </row>
    <row r="94" spans="14:14" hidden="1">
      <c r="N94" s="824"/>
    </row>
    <row r="95" spans="14:14" hidden="1">
      <c r="N95" s="824"/>
    </row>
    <row r="96" spans="14:14" hidden="1">
      <c r="N96" s="824"/>
    </row>
    <row r="97" spans="14:14" hidden="1">
      <c r="N97" s="824"/>
    </row>
    <row r="98" spans="14:14" hidden="1">
      <c r="N98" s="824"/>
    </row>
    <row r="99" spans="14:14" hidden="1">
      <c r="N99" s="824"/>
    </row>
    <row r="100" spans="14:14" hidden="1">
      <c r="N100" s="824"/>
    </row>
    <row r="101" spans="14:14" hidden="1">
      <c r="N101" s="824"/>
    </row>
    <row r="102" spans="14:14" hidden="1">
      <c r="N102" s="824"/>
    </row>
    <row r="103" spans="14:14" hidden="1">
      <c r="N103" s="824"/>
    </row>
    <row r="104" spans="14:14" hidden="1">
      <c r="N104" s="824"/>
    </row>
    <row r="105" spans="14:14" hidden="1">
      <c r="N105" s="824"/>
    </row>
    <row r="106" spans="14:14" hidden="1">
      <c r="N106" s="824"/>
    </row>
    <row r="107" spans="14:14" hidden="1">
      <c r="N107" s="824"/>
    </row>
    <row r="108" spans="14:14" hidden="1">
      <c r="N108" s="824"/>
    </row>
    <row r="109" spans="14:14" hidden="1">
      <c r="N109" s="824"/>
    </row>
    <row r="110" spans="14:14" hidden="1">
      <c r="N110" s="824"/>
    </row>
    <row r="111" spans="14:14" hidden="1">
      <c r="N111" s="824"/>
    </row>
    <row r="112" spans="14:14" hidden="1">
      <c r="N112" s="824"/>
    </row>
    <row r="113" spans="14:14" hidden="1">
      <c r="N113" s="824"/>
    </row>
    <row r="114" spans="14:14" hidden="1">
      <c r="N114" s="824"/>
    </row>
    <row r="115" spans="14:14" hidden="1">
      <c r="N115" s="824"/>
    </row>
    <row r="116" spans="14:14" hidden="1">
      <c r="N116" s="824"/>
    </row>
    <row r="117" spans="14:14" hidden="1">
      <c r="N117" s="824"/>
    </row>
    <row r="118" spans="14:14" hidden="1">
      <c r="N118" s="824"/>
    </row>
    <row r="119" spans="14:14" hidden="1">
      <c r="N119" s="824"/>
    </row>
    <row r="120" spans="14:14" hidden="1">
      <c r="N120" s="824"/>
    </row>
    <row r="121" spans="14:14" hidden="1">
      <c r="N121" s="824"/>
    </row>
    <row r="122" spans="14:14" hidden="1">
      <c r="N122" s="824"/>
    </row>
    <row r="123" spans="14:14" hidden="1">
      <c r="N123" s="824"/>
    </row>
    <row r="124" spans="14:14" hidden="1">
      <c r="N124" s="824"/>
    </row>
    <row r="125" spans="14:14" hidden="1">
      <c r="N125" s="824"/>
    </row>
    <row r="126" spans="14:14" hidden="1">
      <c r="N126" s="824"/>
    </row>
    <row r="127" spans="14:14" hidden="1">
      <c r="N127" s="824"/>
    </row>
    <row r="128" spans="14:14" hidden="1">
      <c r="N128" s="824"/>
    </row>
    <row r="129" spans="14:14" hidden="1">
      <c r="N129" s="824"/>
    </row>
    <row r="130" spans="14:14" hidden="1">
      <c r="N130" s="824"/>
    </row>
    <row r="131" spans="14:14" hidden="1">
      <c r="N131" s="824"/>
    </row>
    <row r="132" spans="14:14" hidden="1">
      <c r="N132" s="824"/>
    </row>
    <row r="133" spans="14:14" hidden="1">
      <c r="N133" s="824"/>
    </row>
    <row r="134" spans="14:14" hidden="1">
      <c r="N134" s="824"/>
    </row>
    <row r="135" spans="14:14" hidden="1">
      <c r="N135" s="824"/>
    </row>
    <row r="136" spans="14:14" hidden="1">
      <c r="N136" s="824"/>
    </row>
    <row r="137" spans="14:14" hidden="1">
      <c r="N137" s="824"/>
    </row>
    <row r="138" spans="14:14" hidden="1">
      <c r="N138" s="824"/>
    </row>
    <row r="139" spans="14:14" hidden="1">
      <c r="N139" s="824"/>
    </row>
    <row r="140" spans="14:14" hidden="1">
      <c r="N140" s="824"/>
    </row>
    <row r="141" spans="14:14" hidden="1">
      <c r="N141" s="824"/>
    </row>
    <row r="142" spans="14:14" hidden="1">
      <c r="N142" s="824"/>
    </row>
    <row r="143" spans="14:14" hidden="1">
      <c r="N143" s="824"/>
    </row>
    <row r="144" spans="14:14" hidden="1">
      <c r="N144" s="824"/>
    </row>
    <row r="145" spans="14:14" hidden="1">
      <c r="N145" s="824"/>
    </row>
    <row r="146" spans="14:14" hidden="1">
      <c r="N146" s="824"/>
    </row>
    <row r="147" spans="14:14" hidden="1">
      <c r="N147" s="824"/>
    </row>
    <row r="148" spans="14:14" hidden="1">
      <c r="N148" s="824"/>
    </row>
    <row r="149" spans="14:14" hidden="1">
      <c r="N149" s="824"/>
    </row>
    <row r="150" spans="14:14" hidden="1">
      <c r="N150" s="824"/>
    </row>
    <row r="151" spans="14:14" hidden="1">
      <c r="N151" s="824"/>
    </row>
    <row r="152" spans="14:14" hidden="1">
      <c r="N152" s="824"/>
    </row>
    <row r="153" spans="14:14" hidden="1">
      <c r="N153" s="824"/>
    </row>
    <row r="154" spans="14:14" hidden="1">
      <c r="N154" s="824"/>
    </row>
    <row r="155" spans="14:14" hidden="1">
      <c r="N155" s="824"/>
    </row>
    <row r="156" spans="14:14" hidden="1">
      <c r="N156" s="824"/>
    </row>
    <row r="157" spans="14:14" hidden="1">
      <c r="N157" s="824"/>
    </row>
    <row r="158" spans="14:14" hidden="1">
      <c r="N158" s="824"/>
    </row>
    <row r="159" spans="14:14" hidden="1">
      <c r="N159" s="824"/>
    </row>
    <row r="160" spans="14:14" hidden="1">
      <c r="N160" s="824"/>
    </row>
    <row r="161" spans="1:14" hidden="1">
      <c r="D161" s="118"/>
      <c r="E161" s="118"/>
      <c r="F161" s="118"/>
      <c r="G161" s="118"/>
      <c r="H161" s="118"/>
      <c r="I161" s="118"/>
      <c r="J161" s="118"/>
      <c r="K161" s="118"/>
      <c r="L161" s="118"/>
      <c r="M161" s="118"/>
      <c r="N161" s="824"/>
    </row>
    <row r="162" spans="1:14" hidden="1">
      <c r="D162" s="118"/>
      <c r="E162" s="118"/>
      <c r="F162" s="118"/>
      <c r="G162" s="118"/>
      <c r="H162" s="118"/>
      <c r="I162" s="118"/>
      <c r="J162" s="118"/>
      <c r="K162" s="118"/>
      <c r="L162" s="118"/>
      <c r="M162" s="118"/>
      <c r="N162" s="824"/>
    </row>
    <row r="163" spans="1:14" hidden="1">
      <c r="D163" s="118"/>
      <c r="E163" s="118"/>
      <c r="F163" s="118"/>
      <c r="G163" s="118"/>
      <c r="H163" s="118"/>
      <c r="I163" s="118"/>
      <c r="J163" s="118"/>
      <c r="K163" s="118"/>
      <c r="L163" s="118"/>
      <c r="M163" s="118"/>
      <c r="N163" s="824"/>
    </row>
    <row r="164" spans="1:14" hidden="1">
      <c r="D164" s="118"/>
      <c r="E164" s="118"/>
      <c r="F164" s="118"/>
      <c r="G164" s="118"/>
      <c r="H164" s="118"/>
      <c r="I164" s="118"/>
      <c r="J164" s="118"/>
      <c r="K164" s="118"/>
      <c r="L164" s="118"/>
      <c r="M164" s="118"/>
      <c r="N164" s="824"/>
    </row>
    <row r="165" spans="1:14" hidden="1">
      <c r="D165" s="118"/>
      <c r="E165" s="118"/>
      <c r="F165" s="118"/>
      <c r="G165" s="118"/>
      <c r="H165" s="118"/>
      <c r="I165" s="118"/>
      <c r="J165" s="118"/>
      <c r="K165" s="118"/>
      <c r="L165" s="118"/>
      <c r="M165" s="118"/>
      <c r="N165" s="824"/>
    </row>
    <row r="166" spans="1:14" hidden="1">
      <c r="D166" s="118"/>
      <c r="E166" s="118"/>
      <c r="F166" s="118"/>
      <c r="G166" s="118"/>
      <c r="H166" s="118"/>
      <c r="I166" s="118"/>
      <c r="J166" s="118"/>
      <c r="K166" s="118"/>
      <c r="L166" s="118"/>
      <c r="M166" s="118"/>
      <c r="N166" s="824"/>
    </row>
    <row r="167" spans="1:14" hidden="1">
      <c r="D167" s="118"/>
      <c r="E167" s="118"/>
      <c r="F167" s="118"/>
      <c r="G167" s="118"/>
      <c r="H167" s="118"/>
      <c r="I167" s="118"/>
      <c r="J167" s="118"/>
      <c r="K167" s="118"/>
      <c r="L167" s="118"/>
      <c r="M167" s="118"/>
      <c r="N167" s="824"/>
    </row>
    <row r="168" spans="1:14" hidden="1">
      <c r="D168" s="118"/>
      <c r="E168" s="118"/>
      <c r="F168" s="118"/>
      <c r="G168" s="118"/>
      <c r="H168" s="118"/>
      <c r="I168" s="118"/>
      <c r="J168" s="118"/>
      <c r="K168" s="118"/>
      <c r="L168" s="118"/>
      <c r="M168" s="118"/>
      <c r="N168" s="824"/>
    </row>
    <row r="169" spans="1:14" hidden="1">
      <c r="D169" s="118"/>
      <c r="E169" s="118"/>
      <c r="F169" s="118"/>
      <c r="G169" s="118"/>
      <c r="H169" s="118"/>
      <c r="I169" s="118"/>
      <c r="J169" s="118"/>
      <c r="K169" s="118"/>
      <c r="L169" s="118"/>
      <c r="M169" s="118"/>
      <c r="N169" s="824"/>
    </row>
    <row r="170" spans="1:14" hidden="1">
      <c r="D170" s="118"/>
      <c r="E170" s="118"/>
      <c r="F170" s="118"/>
      <c r="G170" s="118"/>
      <c r="H170" s="118"/>
      <c r="I170" s="118"/>
      <c r="J170" s="118"/>
      <c r="K170" s="118"/>
      <c r="L170" s="118"/>
      <c r="M170" s="118"/>
      <c r="N170" s="824"/>
    </row>
    <row r="171" spans="1:14" hidden="1">
      <c r="D171" s="118"/>
      <c r="E171" s="118"/>
      <c r="F171" s="118"/>
      <c r="G171" s="118"/>
      <c r="H171" s="118"/>
      <c r="I171" s="118"/>
      <c r="J171" s="118"/>
      <c r="K171" s="118"/>
      <c r="L171" s="118"/>
      <c r="M171" s="118"/>
      <c r="N171" s="824"/>
    </row>
    <row r="172" spans="1:14" ht="184.15" hidden="1" customHeight="1">
      <c r="D172" s="118"/>
      <c r="E172" s="118"/>
      <c r="F172" s="118"/>
      <c r="G172" s="118"/>
      <c r="H172" s="118"/>
      <c r="I172" s="118"/>
      <c r="J172" s="118"/>
      <c r="K172" s="118"/>
      <c r="L172" s="118"/>
      <c r="M172" s="118"/>
      <c r="N172" s="824"/>
    </row>
    <row r="173" spans="1:14" ht="8.1" customHeight="1" thickTop="1">
      <c r="A173" s="93"/>
      <c r="B173" s="93"/>
      <c r="C173" s="94"/>
      <c r="D173" s="824"/>
      <c r="E173" s="824"/>
      <c r="F173" s="824"/>
      <c r="G173" s="824"/>
      <c r="H173" s="824"/>
      <c r="I173" s="824"/>
      <c r="J173" s="824"/>
      <c r="K173" s="824"/>
      <c r="L173" s="824"/>
      <c r="M173" s="824"/>
      <c r="N173" s="824"/>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1235</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1" t="s">
        <v>1236</v>
      </c>
      <c r="C2" s="1142"/>
      <c r="D2" s="1142"/>
      <c r="E2" s="1142"/>
      <c r="F2" s="1142"/>
      <c r="G2" s="1142"/>
      <c r="H2" s="1142"/>
      <c r="I2" s="1142"/>
      <c r="J2" s="1142"/>
      <c r="K2" s="1142"/>
      <c r="L2" s="1142"/>
      <c r="M2" s="1142"/>
      <c r="N2" s="1142"/>
      <c r="O2" s="1142"/>
      <c r="P2" s="1142"/>
      <c r="Q2" s="1142"/>
      <c r="R2" s="1142"/>
      <c r="S2" s="1143"/>
      <c r="T2" s="91"/>
    </row>
    <row r="3" spans="1:22" ht="8.25" customHeight="1" thickBot="1">
      <c r="A3" s="96"/>
      <c r="B3" s="322"/>
      <c r="C3" s="356"/>
      <c r="D3" s="356"/>
      <c r="E3" s="356"/>
      <c r="F3" s="356"/>
      <c r="S3" s="323"/>
      <c r="T3" s="91"/>
    </row>
    <row r="4" spans="1:22" s="41" customFormat="1" ht="79.5" customHeight="1" thickBot="1">
      <c r="A4" s="824"/>
      <c r="B4" s="903"/>
      <c r="C4" s="1213" t="s">
        <v>1237</v>
      </c>
      <c r="D4" s="1214"/>
      <c r="E4" s="1214"/>
      <c r="F4" s="1214"/>
      <c r="G4" s="1214"/>
      <c r="H4" s="1214"/>
      <c r="I4" s="1214"/>
      <c r="J4" s="1214"/>
      <c r="K4" s="1214"/>
      <c r="L4" s="1214"/>
      <c r="M4" s="1214"/>
      <c r="N4" s="1214"/>
      <c r="O4" s="1214"/>
      <c r="P4" s="1214"/>
      <c r="Q4" s="1214"/>
      <c r="R4" s="1215"/>
      <c r="S4" s="890"/>
      <c r="T4" s="824"/>
      <c r="U4" s="906"/>
      <c r="V4" s="906"/>
    </row>
    <row r="5" spans="1:22" s="41" customFormat="1" ht="7.5" customHeight="1" thickBot="1">
      <c r="A5" s="824"/>
      <c r="B5" s="903"/>
      <c r="C5" s="357"/>
      <c r="D5" s="118"/>
      <c r="E5" s="118"/>
      <c r="F5" s="118"/>
      <c r="G5" s="118"/>
      <c r="H5" s="118"/>
      <c r="I5" s="118"/>
      <c r="J5" s="118"/>
      <c r="K5" s="118"/>
      <c r="L5" s="118"/>
      <c r="M5" s="118"/>
      <c r="N5" s="118"/>
      <c r="O5" s="118"/>
      <c r="P5" s="118"/>
      <c r="Q5" s="118"/>
      <c r="R5" s="118"/>
      <c r="S5" s="890"/>
      <c r="T5" s="824"/>
      <c r="U5" s="906"/>
      <c r="V5" s="906"/>
    </row>
    <row r="6" spans="1:22" s="41" customFormat="1" ht="62.1" customHeight="1" thickBot="1">
      <c r="A6" s="824"/>
      <c r="B6" s="903"/>
      <c r="C6" s="1216" t="s">
        <v>1238</v>
      </c>
      <c r="D6" s="1217"/>
      <c r="E6" s="1217"/>
      <c r="F6" s="1217"/>
      <c r="G6" s="1217"/>
      <c r="H6" s="1217"/>
      <c r="I6" s="1217"/>
      <c r="J6" s="1217"/>
      <c r="K6" s="1217"/>
      <c r="L6" s="1217"/>
      <c r="M6" s="1217"/>
      <c r="N6" s="1217"/>
      <c r="O6" s="1217"/>
      <c r="P6" s="1217"/>
      <c r="Q6" s="1217"/>
      <c r="R6" s="1218"/>
      <c r="S6" s="890"/>
      <c r="T6" s="824"/>
      <c r="U6" s="906"/>
      <c r="V6" s="906"/>
    </row>
    <row r="7" spans="1:22" s="41" customFormat="1" ht="8.25" customHeight="1" thickBot="1">
      <c r="A7" s="824"/>
      <c r="B7" s="903"/>
      <c r="C7" s="205"/>
      <c r="D7" s="205"/>
      <c r="E7" s="205"/>
      <c r="F7" s="205"/>
      <c r="G7" s="118"/>
      <c r="H7" s="118"/>
      <c r="I7" s="118"/>
      <c r="J7" s="118"/>
      <c r="K7" s="118"/>
      <c r="L7" s="118"/>
      <c r="M7" s="118"/>
      <c r="N7" s="118"/>
      <c r="O7" s="118"/>
      <c r="P7" s="118"/>
      <c r="Q7" s="118"/>
      <c r="R7" s="118"/>
      <c r="S7" s="890"/>
      <c r="T7" s="824"/>
      <c r="U7" s="906"/>
      <c r="V7" s="906"/>
    </row>
    <row r="8" spans="1:22" s="41" customFormat="1" ht="15">
      <c r="A8" s="824"/>
      <c r="B8" s="903"/>
      <c r="C8" s="737" t="s">
        <v>1239</v>
      </c>
      <c r="D8" s="738" t="s">
        <v>1240</v>
      </c>
      <c r="E8" s="358"/>
      <c r="F8" s="358" t="s">
        <v>1241</v>
      </c>
      <c r="G8" s="830"/>
      <c r="H8" s="738" t="s">
        <v>1242</v>
      </c>
      <c r="I8" s="830"/>
      <c r="J8" s="830"/>
      <c r="K8" s="830"/>
      <c r="L8" s="830"/>
      <c r="M8" s="830"/>
      <c r="N8" s="830"/>
      <c r="O8" s="830"/>
      <c r="P8" s="830"/>
      <c r="Q8" s="830"/>
      <c r="R8" s="842"/>
      <c r="S8" s="890"/>
      <c r="T8" s="824"/>
      <c r="U8" s="906"/>
      <c r="V8" s="906"/>
    </row>
    <row r="9" spans="1:22" s="41" customFormat="1" ht="15">
      <c r="A9" s="824"/>
      <c r="B9" s="903"/>
      <c r="C9" s="739"/>
      <c r="D9" s="193" t="s">
        <v>1243</v>
      </c>
      <c r="E9" s="193"/>
      <c r="F9" s="118"/>
      <c r="G9" s="118"/>
      <c r="H9" s="193" t="s">
        <v>1244</v>
      </c>
      <c r="I9" s="193"/>
      <c r="J9" s="118"/>
      <c r="K9" s="118"/>
      <c r="L9" s="118"/>
      <c r="M9" s="118"/>
      <c r="N9" s="118"/>
      <c r="O9" s="118"/>
      <c r="P9" s="118"/>
      <c r="Q9" s="118"/>
      <c r="R9" s="832"/>
      <c r="S9" s="890"/>
      <c r="T9" s="824"/>
      <c r="U9" s="906"/>
      <c r="V9" s="906"/>
    </row>
    <row r="10" spans="1:22" s="41" customFormat="1" ht="15">
      <c r="A10" s="824"/>
      <c r="B10" s="903"/>
      <c r="C10" s="739"/>
      <c r="D10" s="193" t="s">
        <v>1245</v>
      </c>
      <c r="E10" s="193"/>
      <c r="F10" s="118"/>
      <c r="G10" s="118"/>
      <c r="H10" s="193" t="s">
        <v>1246</v>
      </c>
      <c r="I10" s="193"/>
      <c r="J10" s="118"/>
      <c r="K10" s="118"/>
      <c r="L10" s="118"/>
      <c r="M10" s="118"/>
      <c r="N10" s="118"/>
      <c r="O10" s="118"/>
      <c r="P10" s="118"/>
      <c r="Q10" s="118"/>
      <c r="R10" s="832"/>
      <c r="S10" s="890"/>
      <c r="T10" s="824"/>
      <c r="U10" s="906"/>
      <c r="V10" s="906"/>
    </row>
    <row r="11" spans="1:22" s="41" customFormat="1" ht="15">
      <c r="A11" s="824"/>
      <c r="B11" s="903"/>
      <c r="C11" s="739"/>
      <c r="D11" s="193" t="s">
        <v>1247</v>
      </c>
      <c r="E11" s="193"/>
      <c r="F11" s="118"/>
      <c r="G11" s="118"/>
      <c r="H11" s="193" t="s">
        <v>1248</v>
      </c>
      <c r="I11" s="193"/>
      <c r="J11" s="118"/>
      <c r="K11" s="118"/>
      <c r="L11" s="118"/>
      <c r="M11" s="118"/>
      <c r="N11" s="118"/>
      <c r="O11" s="118"/>
      <c r="P11" s="118"/>
      <c r="Q11" s="118"/>
      <c r="R11" s="832"/>
      <c r="S11" s="890"/>
      <c r="T11" s="824"/>
      <c r="U11" s="906"/>
      <c r="V11" s="906"/>
    </row>
    <row r="12" spans="1:22" s="41" customFormat="1" ht="15">
      <c r="A12" s="824"/>
      <c r="B12" s="903"/>
      <c r="C12" s="739"/>
      <c r="D12" s="193" t="s">
        <v>1249</v>
      </c>
      <c r="E12" s="193"/>
      <c r="F12" s="118"/>
      <c r="G12" s="118"/>
      <c r="H12" s="193" t="s">
        <v>1244</v>
      </c>
      <c r="I12" s="193"/>
      <c r="J12" s="118"/>
      <c r="K12" s="118"/>
      <c r="L12" s="118"/>
      <c r="M12" s="118"/>
      <c r="N12" s="118"/>
      <c r="O12" s="118"/>
      <c r="P12" s="118"/>
      <c r="Q12" s="118"/>
      <c r="R12" s="832"/>
      <c r="S12" s="890"/>
      <c r="T12" s="824"/>
      <c r="U12" s="906"/>
      <c r="V12" s="906"/>
    </row>
    <row r="13" spans="1:22" s="41" customFormat="1" ht="6.6" customHeight="1">
      <c r="A13" s="824"/>
      <c r="B13" s="903"/>
      <c r="C13" s="359"/>
      <c r="D13" s="557"/>
      <c r="E13" s="557"/>
      <c r="F13" s="557"/>
      <c r="G13" s="557"/>
      <c r="H13" s="557"/>
      <c r="I13" s="193"/>
      <c r="J13" s="118"/>
      <c r="K13" s="118"/>
      <c r="L13" s="118"/>
      <c r="M13" s="118"/>
      <c r="N13" s="118"/>
      <c r="O13" s="118"/>
      <c r="P13" s="118"/>
      <c r="Q13" s="118"/>
      <c r="R13" s="832"/>
      <c r="S13" s="890"/>
      <c r="T13" s="824"/>
      <c r="U13" s="906"/>
      <c r="V13" s="906"/>
    </row>
    <row r="14" spans="1:22" s="41" customFormat="1" ht="6" customHeight="1">
      <c r="A14" s="824"/>
      <c r="B14" s="903"/>
      <c r="C14" s="359"/>
      <c r="D14" s="118"/>
      <c r="E14" s="118"/>
      <c r="F14" s="118"/>
      <c r="G14" s="118"/>
      <c r="H14" s="118"/>
      <c r="I14" s="118"/>
      <c r="J14" s="118"/>
      <c r="K14" s="118"/>
      <c r="L14" s="118"/>
      <c r="M14" s="118"/>
      <c r="N14" s="118"/>
      <c r="O14" s="118"/>
      <c r="P14" s="118"/>
      <c r="Q14" s="118"/>
      <c r="R14" s="832"/>
      <c r="S14" s="890"/>
      <c r="T14" s="824"/>
      <c r="U14" s="906"/>
      <c r="V14" s="906"/>
    </row>
    <row r="15" spans="1:22" s="41" customFormat="1" ht="13.5" customHeight="1">
      <c r="A15" s="824"/>
      <c r="B15" s="903"/>
      <c r="C15" s="359"/>
      <c r="D15" s="1222" t="s">
        <v>1250</v>
      </c>
      <c r="E15" s="1222"/>
      <c r="F15" s="1222"/>
      <c r="G15" s="1222"/>
      <c r="H15" s="1222"/>
      <c r="I15" s="1222"/>
      <c r="J15" s="1222"/>
      <c r="K15" s="1222"/>
      <c r="L15" s="1222"/>
      <c r="M15" s="1222"/>
      <c r="N15" s="1222"/>
      <c r="O15" s="1222"/>
      <c r="P15" s="1222"/>
      <c r="Q15" s="1222"/>
      <c r="R15" s="832"/>
      <c r="S15" s="890"/>
      <c r="T15" s="824"/>
      <c r="U15" s="906"/>
      <c r="V15" s="906"/>
    </row>
    <row r="16" spans="1:22" s="41" customFormat="1" ht="12.75" hidden="1" customHeight="1">
      <c r="A16" s="824"/>
      <c r="B16" s="903"/>
      <c r="C16" s="359"/>
      <c r="D16" s="1222"/>
      <c r="E16" s="1222"/>
      <c r="F16" s="1222"/>
      <c r="G16" s="1222"/>
      <c r="H16" s="1222"/>
      <c r="I16" s="1222"/>
      <c r="J16" s="1222"/>
      <c r="K16" s="1222"/>
      <c r="L16" s="1222"/>
      <c r="M16" s="1222"/>
      <c r="N16" s="1222"/>
      <c r="O16" s="1222"/>
      <c r="P16" s="1222"/>
      <c r="Q16" s="1222"/>
      <c r="R16" s="832"/>
      <c r="S16" s="890"/>
      <c r="T16" s="824"/>
      <c r="U16" s="906"/>
      <c r="V16" s="906"/>
    </row>
    <row r="17" spans="1:22" s="41" customFormat="1" ht="23.45" customHeight="1" thickBot="1">
      <c r="A17" s="824"/>
      <c r="B17" s="903"/>
      <c r="C17" s="360"/>
      <c r="D17" s="1223"/>
      <c r="E17" s="1223"/>
      <c r="F17" s="1223"/>
      <c r="G17" s="1223"/>
      <c r="H17" s="1223"/>
      <c r="I17" s="1223"/>
      <c r="J17" s="1223"/>
      <c r="K17" s="1223"/>
      <c r="L17" s="1223"/>
      <c r="M17" s="1223"/>
      <c r="N17" s="1223"/>
      <c r="O17" s="1223"/>
      <c r="P17" s="1223"/>
      <c r="Q17" s="1223"/>
      <c r="R17" s="907"/>
      <c r="S17" s="890"/>
      <c r="T17" s="824"/>
      <c r="U17" s="906"/>
      <c r="V17" s="906"/>
    </row>
    <row r="18" spans="1:22" s="41" customFormat="1" ht="8.25" customHeight="1" thickBot="1">
      <c r="A18" s="824"/>
      <c r="B18" s="903"/>
      <c r="C18" s="118"/>
      <c r="D18" s="118"/>
      <c r="E18" s="118"/>
      <c r="F18" s="118"/>
      <c r="G18" s="118"/>
      <c r="H18" s="118"/>
      <c r="I18" s="118"/>
      <c r="J18" s="118"/>
      <c r="K18" s="118"/>
      <c r="L18" s="118"/>
      <c r="M18" s="118"/>
      <c r="N18" s="118"/>
      <c r="O18" s="118"/>
      <c r="P18" s="118"/>
      <c r="Q18" s="118"/>
      <c r="R18" s="118"/>
      <c r="S18" s="890"/>
      <c r="T18" s="824"/>
      <c r="U18" s="906"/>
      <c r="V18" s="906"/>
    </row>
    <row r="19" spans="1:22" s="41" customFormat="1" ht="13.5" customHeight="1">
      <c r="A19" s="824"/>
      <c r="B19" s="903"/>
      <c r="C19" s="724" t="s">
        <v>1251</v>
      </c>
      <c r="D19" s="1211"/>
      <c r="E19" s="1211"/>
      <c r="F19" s="1211"/>
      <c r="G19" s="1211"/>
      <c r="H19" s="1211"/>
      <c r="I19" s="1211"/>
      <c r="J19" s="1211"/>
      <c r="K19" s="1211"/>
      <c r="L19" s="1211"/>
      <c r="M19" s="1211"/>
      <c r="N19" s="1211"/>
      <c r="O19" s="1211"/>
      <c r="P19" s="1211"/>
      <c r="Q19" s="1211"/>
      <c r="R19" s="1212"/>
      <c r="S19" s="890"/>
      <c r="T19" s="824"/>
      <c r="U19" s="906"/>
      <c r="V19" s="906"/>
    </row>
    <row r="20" spans="1:22" s="87" customFormat="1" ht="36.4" customHeight="1">
      <c r="A20" s="908"/>
      <c r="B20" s="909"/>
      <c r="C20" s="1199" t="s">
        <v>1252</v>
      </c>
      <c r="D20" s="1200"/>
      <c r="E20" s="1200"/>
      <c r="F20" s="1200"/>
      <c r="G20" s="1200"/>
      <c r="H20" s="1200"/>
      <c r="I20" s="1200"/>
      <c r="J20" s="1200"/>
      <c r="K20" s="1200"/>
      <c r="L20" s="1200"/>
      <c r="M20" s="1200"/>
      <c r="N20" s="1200"/>
      <c r="O20" s="1200"/>
      <c r="P20" s="1200"/>
      <c r="Q20" s="1200"/>
      <c r="R20" s="1201"/>
      <c r="S20" s="891"/>
      <c r="T20" s="908"/>
      <c r="U20" s="910"/>
      <c r="V20" s="910"/>
    </row>
    <row r="21" spans="1:22" s="87" customFormat="1" ht="15" customHeight="1">
      <c r="A21" s="908"/>
      <c r="B21" s="909"/>
      <c r="C21" s="1199" t="s">
        <v>1253</v>
      </c>
      <c r="D21" s="1200"/>
      <c r="E21" s="1200"/>
      <c r="F21" s="1200"/>
      <c r="G21" s="1200"/>
      <c r="H21" s="1200"/>
      <c r="I21" s="1200"/>
      <c r="J21" s="1200"/>
      <c r="K21" s="1200"/>
      <c r="L21" s="1200"/>
      <c r="M21" s="1200"/>
      <c r="N21" s="1200"/>
      <c r="O21" s="1200"/>
      <c r="P21" s="1200"/>
      <c r="Q21" s="1200"/>
      <c r="R21" s="1201"/>
      <c r="S21" s="891"/>
      <c r="T21" s="908"/>
      <c r="U21" s="910"/>
      <c r="V21" s="910"/>
    </row>
    <row r="22" spans="1:22" s="87" customFormat="1" ht="15" customHeight="1">
      <c r="A22" s="908"/>
      <c r="B22" s="909"/>
      <c r="C22" s="1199" t="s">
        <v>1254</v>
      </c>
      <c r="D22" s="1200"/>
      <c r="E22" s="1200"/>
      <c r="F22" s="1200"/>
      <c r="G22" s="1200"/>
      <c r="H22" s="1200"/>
      <c r="I22" s="1200"/>
      <c r="J22" s="1200"/>
      <c r="K22" s="1200"/>
      <c r="L22" s="1200"/>
      <c r="M22" s="1200"/>
      <c r="N22" s="1200"/>
      <c r="O22" s="1200"/>
      <c r="P22" s="1200"/>
      <c r="Q22" s="1200"/>
      <c r="R22" s="1201"/>
      <c r="S22" s="891"/>
      <c r="T22" s="908"/>
      <c r="U22" s="910"/>
      <c r="V22" s="910"/>
    </row>
    <row r="23" spans="1:22" s="87" customFormat="1" ht="15" customHeight="1">
      <c r="A23" s="908"/>
      <c r="B23" s="909"/>
      <c r="C23" s="1199" t="s">
        <v>1255</v>
      </c>
      <c r="D23" s="1200"/>
      <c r="E23" s="1200"/>
      <c r="F23" s="1200"/>
      <c r="G23" s="1200"/>
      <c r="H23" s="1200"/>
      <c r="I23" s="1200"/>
      <c r="J23" s="1200"/>
      <c r="K23" s="1200"/>
      <c r="L23" s="1200"/>
      <c r="M23" s="1200"/>
      <c r="N23" s="1200"/>
      <c r="O23" s="1200"/>
      <c r="P23" s="1200"/>
      <c r="Q23" s="1200"/>
      <c r="R23" s="1201"/>
      <c r="S23" s="891"/>
      <c r="T23" s="908"/>
      <c r="U23" s="910"/>
      <c r="V23" s="910"/>
    </row>
    <row r="24" spans="1:22" s="87" customFormat="1" ht="15" customHeight="1">
      <c r="A24" s="908"/>
      <c r="B24" s="909"/>
      <c r="C24" s="1199" t="s">
        <v>1256</v>
      </c>
      <c r="D24" s="1200"/>
      <c r="E24" s="1200"/>
      <c r="F24" s="1200"/>
      <c r="G24" s="1200"/>
      <c r="H24" s="1200"/>
      <c r="I24" s="1200"/>
      <c r="J24" s="1200"/>
      <c r="K24" s="1200"/>
      <c r="L24" s="1200"/>
      <c r="M24" s="1200"/>
      <c r="N24" s="1200"/>
      <c r="O24" s="1200"/>
      <c r="P24" s="1200"/>
      <c r="Q24" s="1200"/>
      <c r="R24" s="1201"/>
      <c r="S24" s="891"/>
      <c r="T24" s="908"/>
      <c r="U24" s="910"/>
      <c r="V24" s="910"/>
    </row>
    <row r="25" spans="1:22" s="87" customFormat="1" ht="15" customHeight="1">
      <c r="A25" s="908"/>
      <c r="B25" s="909"/>
      <c r="C25" s="1199" t="s">
        <v>1257</v>
      </c>
      <c r="D25" s="1200"/>
      <c r="E25" s="1200"/>
      <c r="F25" s="1200"/>
      <c r="G25" s="1200"/>
      <c r="H25" s="1200"/>
      <c r="I25" s="1200"/>
      <c r="J25" s="1200"/>
      <c r="K25" s="1200"/>
      <c r="L25" s="1200"/>
      <c r="M25" s="1200"/>
      <c r="N25" s="1200"/>
      <c r="O25" s="1200"/>
      <c r="P25" s="1200"/>
      <c r="Q25" s="1200"/>
      <c r="R25" s="1201"/>
      <c r="S25" s="891"/>
      <c r="T25" s="908"/>
      <c r="U25" s="910"/>
      <c r="V25" s="910"/>
    </row>
    <row r="26" spans="1:22" s="87" customFormat="1" ht="15" customHeight="1">
      <c r="A26" s="908"/>
      <c r="B26" s="909"/>
      <c r="C26" s="1199" t="s">
        <v>1258</v>
      </c>
      <c r="D26" s="1200"/>
      <c r="E26" s="1200"/>
      <c r="F26" s="1200"/>
      <c r="G26" s="1200"/>
      <c r="H26" s="1200"/>
      <c r="I26" s="1200"/>
      <c r="J26" s="1200"/>
      <c r="K26" s="1200"/>
      <c r="L26" s="1200"/>
      <c r="M26" s="1200"/>
      <c r="N26" s="1200"/>
      <c r="O26" s="1200"/>
      <c r="P26" s="1200"/>
      <c r="Q26" s="1200"/>
      <c r="R26" s="1201"/>
      <c r="S26" s="891"/>
      <c r="T26" s="908"/>
      <c r="U26" s="910"/>
      <c r="V26" s="910"/>
    </row>
    <row r="27" spans="1:22" s="87" customFormat="1" ht="15" customHeight="1">
      <c r="A27" s="908"/>
      <c r="B27" s="909"/>
      <c r="C27" s="1199" t="s">
        <v>1259</v>
      </c>
      <c r="D27" s="1200"/>
      <c r="E27" s="1200"/>
      <c r="F27" s="1200"/>
      <c r="G27" s="1200"/>
      <c r="H27" s="1200"/>
      <c r="I27" s="1200"/>
      <c r="J27" s="1200"/>
      <c r="K27" s="1200"/>
      <c r="L27" s="1200"/>
      <c r="M27" s="1200"/>
      <c r="N27" s="1200"/>
      <c r="O27" s="1200"/>
      <c r="P27" s="1200"/>
      <c r="Q27" s="1200"/>
      <c r="R27" s="1201"/>
      <c r="S27" s="891"/>
      <c r="T27" s="908"/>
      <c r="U27" s="910"/>
      <c r="V27" s="910"/>
    </row>
    <row r="28" spans="1:22" s="87" customFormat="1" ht="15" customHeight="1">
      <c r="A28" s="908"/>
      <c r="B28" s="909"/>
      <c r="C28" s="1199" t="s">
        <v>1260</v>
      </c>
      <c r="D28" s="1200"/>
      <c r="E28" s="1200"/>
      <c r="F28" s="1200"/>
      <c r="G28" s="1200"/>
      <c r="H28" s="1200"/>
      <c r="I28" s="1200"/>
      <c r="J28" s="1200"/>
      <c r="K28" s="1200"/>
      <c r="L28" s="1200"/>
      <c r="M28" s="1200"/>
      <c r="N28" s="1200"/>
      <c r="O28" s="1200"/>
      <c r="P28" s="1200"/>
      <c r="Q28" s="1200"/>
      <c r="R28" s="1201"/>
      <c r="S28" s="891"/>
      <c r="T28" s="908"/>
      <c r="U28" s="910"/>
      <c r="V28" s="910"/>
    </row>
    <row r="29" spans="1:22" s="87" customFormat="1" ht="15" customHeight="1">
      <c r="A29" s="908"/>
      <c r="B29" s="909"/>
      <c r="C29" s="1199" t="s">
        <v>1261</v>
      </c>
      <c r="D29" s="1200"/>
      <c r="E29" s="1200"/>
      <c r="F29" s="1200"/>
      <c r="G29" s="1200"/>
      <c r="H29" s="1200"/>
      <c r="I29" s="1200"/>
      <c r="J29" s="1200"/>
      <c r="K29" s="1200"/>
      <c r="L29" s="1200"/>
      <c r="M29" s="1200"/>
      <c r="N29" s="1200"/>
      <c r="O29" s="1200"/>
      <c r="P29" s="1200"/>
      <c r="Q29" s="1200"/>
      <c r="R29" s="1201"/>
      <c r="S29" s="891"/>
      <c r="T29" s="908"/>
      <c r="U29" s="910"/>
      <c r="V29" s="910"/>
    </row>
    <row r="30" spans="1:22" s="87" customFormat="1" ht="27.4" customHeight="1" thickBot="1">
      <c r="A30" s="908"/>
      <c r="B30" s="909"/>
      <c r="C30" s="1219" t="s">
        <v>1262</v>
      </c>
      <c r="D30" s="1220"/>
      <c r="E30" s="1220"/>
      <c r="F30" s="1220"/>
      <c r="G30" s="1220"/>
      <c r="H30" s="1220"/>
      <c r="I30" s="1220"/>
      <c r="J30" s="1220"/>
      <c r="K30" s="1220"/>
      <c r="L30" s="1220"/>
      <c r="M30" s="1220"/>
      <c r="N30" s="1220"/>
      <c r="O30" s="1220"/>
      <c r="P30" s="1220"/>
      <c r="Q30" s="1220"/>
      <c r="R30" s="1221"/>
      <c r="S30" s="891"/>
      <c r="T30" s="908"/>
      <c r="U30" s="910"/>
      <c r="V30" s="910"/>
    </row>
    <row r="31" spans="1:22" s="41" customFormat="1" ht="8.25" customHeight="1" thickBot="1">
      <c r="A31" s="824"/>
      <c r="B31" s="903"/>
      <c r="C31" s="118"/>
      <c r="D31" s="118"/>
      <c r="E31" s="118"/>
      <c r="F31" s="118"/>
      <c r="G31" s="118"/>
      <c r="H31" s="118"/>
      <c r="I31" s="118"/>
      <c r="J31" s="118"/>
      <c r="K31" s="118"/>
      <c r="L31" s="118"/>
      <c r="M31" s="118"/>
      <c r="N31" s="118"/>
      <c r="O31" s="118"/>
      <c r="P31" s="118"/>
      <c r="Q31" s="118"/>
      <c r="R31" s="118"/>
      <c r="S31" s="890"/>
      <c r="T31" s="824"/>
      <c r="U31" s="906"/>
      <c r="V31" s="906"/>
    </row>
    <row r="32" spans="1:22" s="41" customFormat="1" ht="24" customHeight="1">
      <c r="A32" s="824"/>
      <c r="B32" s="903"/>
      <c r="C32" s="725" t="s">
        <v>1263</v>
      </c>
      <c r="D32" s="816"/>
      <c r="E32" s="816"/>
      <c r="F32" s="816"/>
      <c r="G32" s="816"/>
      <c r="H32" s="816"/>
      <c r="I32" s="816"/>
      <c r="J32" s="816"/>
      <c r="K32" s="816"/>
      <c r="L32" s="816"/>
      <c r="M32" s="816"/>
      <c r="N32" s="816"/>
      <c r="O32" s="816"/>
      <c r="P32" s="816"/>
      <c r="Q32" s="816"/>
      <c r="R32" s="817"/>
      <c r="S32" s="890"/>
      <c r="T32" s="824"/>
      <c r="U32" s="906"/>
      <c r="V32" s="906"/>
    </row>
    <row r="33" spans="1:22" s="41" customFormat="1" ht="38.1" customHeight="1">
      <c r="A33" s="824"/>
      <c r="B33" s="903"/>
      <c r="C33" s="361" t="s">
        <v>1264</v>
      </c>
      <c r="D33" s="362" t="s">
        <v>1265</v>
      </c>
      <c r="E33" s="362" t="s">
        <v>1266</v>
      </c>
      <c r="F33" s="1205" t="s">
        <v>1267</v>
      </c>
      <c r="G33" s="1206"/>
      <c r="H33" s="1206"/>
      <c r="I33" s="1206"/>
      <c r="J33" s="1206"/>
      <c r="K33" s="1206"/>
      <c r="L33" s="1206"/>
      <c r="M33" s="1206"/>
      <c r="N33" s="1206"/>
      <c r="O33" s="1206"/>
      <c r="P33" s="1206"/>
      <c r="Q33" s="1206"/>
      <c r="R33" s="1207"/>
      <c r="S33" s="890"/>
      <c r="T33" s="824"/>
      <c r="U33" s="906"/>
      <c r="V33" s="906"/>
    </row>
    <row r="34" spans="1:22" s="41" customFormat="1" ht="35.1" customHeight="1">
      <c r="A34" s="824"/>
      <c r="B34" s="903"/>
      <c r="C34" s="363" t="s">
        <v>1268</v>
      </c>
      <c r="D34" s="911" t="s">
        <v>1269</v>
      </c>
      <c r="E34" s="912">
        <v>5</v>
      </c>
      <c r="F34" s="1208" t="s">
        <v>1270</v>
      </c>
      <c r="G34" s="1209"/>
      <c r="H34" s="1209"/>
      <c r="I34" s="1209"/>
      <c r="J34" s="1209"/>
      <c r="K34" s="1209"/>
      <c r="L34" s="1209"/>
      <c r="M34" s="1209"/>
      <c r="N34" s="1209"/>
      <c r="O34" s="1209"/>
      <c r="P34" s="1209"/>
      <c r="Q34" s="1209"/>
      <c r="R34" s="1210"/>
      <c r="S34" s="890"/>
      <c r="T34" s="824"/>
      <c r="U34" s="906"/>
      <c r="V34" s="906"/>
    </row>
    <row r="35" spans="1:22" s="41" customFormat="1" ht="47.45" customHeight="1">
      <c r="A35" s="824"/>
      <c r="B35" s="903"/>
      <c r="C35" s="363" t="s">
        <v>1271</v>
      </c>
      <c r="D35" s="912">
        <v>2006</v>
      </c>
      <c r="E35" s="912">
        <v>5</v>
      </c>
      <c r="F35" s="1208" t="s">
        <v>1272</v>
      </c>
      <c r="G35" s="1209"/>
      <c r="H35" s="1209"/>
      <c r="I35" s="1209"/>
      <c r="J35" s="1209"/>
      <c r="K35" s="1209"/>
      <c r="L35" s="1209"/>
      <c r="M35" s="1209"/>
      <c r="N35" s="1209"/>
      <c r="O35" s="1209"/>
      <c r="P35" s="1209"/>
      <c r="Q35" s="1209"/>
      <c r="R35" s="1210"/>
      <c r="S35" s="890"/>
      <c r="T35" s="824"/>
      <c r="U35" s="906"/>
      <c r="V35" s="906"/>
    </row>
    <row r="36" spans="1:22" s="41" customFormat="1" ht="59.45" customHeight="1">
      <c r="A36" s="824"/>
      <c r="B36" s="903"/>
      <c r="C36" s="363" t="s">
        <v>1273</v>
      </c>
      <c r="D36" s="912">
        <v>2007</v>
      </c>
      <c r="E36" s="912">
        <v>7</v>
      </c>
      <c r="F36" s="1208" t="s">
        <v>1274</v>
      </c>
      <c r="G36" s="1209"/>
      <c r="H36" s="1209"/>
      <c r="I36" s="1209"/>
      <c r="J36" s="1209"/>
      <c r="K36" s="1209"/>
      <c r="L36" s="1209"/>
      <c r="M36" s="1209"/>
      <c r="N36" s="1209"/>
      <c r="O36" s="1209"/>
      <c r="P36" s="1209"/>
      <c r="Q36" s="1209"/>
      <c r="R36" s="1210"/>
      <c r="S36" s="890"/>
      <c r="T36" s="824"/>
      <c r="U36" s="906"/>
      <c r="V36" s="906"/>
    </row>
    <row r="37" spans="1:22" s="41" customFormat="1" ht="137.44999999999999" customHeight="1">
      <c r="A37" s="824"/>
      <c r="B37" s="903"/>
      <c r="C37" s="363" t="s">
        <v>1275</v>
      </c>
      <c r="D37" s="912">
        <v>2010</v>
      </c>
      <c r="E37" s="912">
        <v>10</v>
      </c>
      <c r="F37" s="1208" t="s">
        <v>1276</v>
      </c>
      <c r="G37" s="1209"/>
      <c r="H37" s="1209"/>
      <c r="I37" s="1209"/>
      <c r="J37" s="1209"/>
      <c r="K37" s="1209"/>
      <c r="L37" s="1209"/>
      <c r="M37" s="1209"/>
      <c r="N37" s="1209"/>
      <c r="O37" s="1209"/>
      <c r="P37" s="1209"/>
      <c r="Q37" s="1209"/>
      <c r="R37" s="1210"/>
      <c r="S37" s="890"/>
      <c r="T37" s="824"/>
      <c r="U37" s="906"/>
      <c r="V37" s="906"/>
    </row>
    <row r="38" spans="1:22" s="41" customFormat="1" ht="110.45" customHeight="1" thickBot="1">
      <c r="A38" s="824"/>
      <c r="B38" s="903"/>
      <c r="C38" s="364" t="s">
        <v>1277</v>
      </c>
      <c r="D38" s="365">
        <v>2014</v>
      </c>
      <c r="E38" s="365">
        <v>12</v>
      </c>
      <c r="F38" s="1202" t="s">
        <v>1278</v>
      </c>
      <c r="G38" s="1203"/>
      <c r="H38" s="1203"/>
      <c r="I38" s="1203"/>
      <c r="J38" s="1203"/>
      <c r="K38" s="1203"/>
      <c r="L38" s="1203"/>
      <c r="M38" s="1203"/>
      <c r="N38" s="1203"/>
      <c r="O38" s="1203"/>
      <c r="P38" s="1203"/>
      <c r="Q38" s="1203"/>
      <c r="R38" s="1204"/>
      <c r="S38" s="890"/>
      <c r="T38" s="824"/>
      <c r="U38" s="906"/>
      <c r="V38" s="906"/>
    </row>
    <row r="39" spans="1:22" s="41" customFormat="1" ht="180.6" customHeight="1" thickBot="1">
      <c r="A39" s="824"/>
      <c r="B39" s="903"/>
      <c r="C39" s="364" t="s">
        <v>1279</v>
      </c>
      <c r="D39" s="365">
        <v>2020</v>
      </c>
      <c r="E39" s="366">
        <v>11</v>
      </c>
      <c r="F39" s="1202" t="s">
        <v>1280</v>
      </c>
      <c r="G39" s="1203"/>
      <c r="H39" s="1203"/>
      <c r="I39" s="1203"/>
      <c r="J39" s="1203"/>
      <c r="K39" s="1203"/>
      <c r="L39" s="1203"/>
      <c r="M39" s="1203"/>
      <c r="N39" s="1203"/>
      <c r="O39" s="1203"/>
      <c r="P39" s="1203"/>
      <c r="Q39" s="1203"/>
      <c r="R39" s="1204"/>
      <c r="S39" s="890"/>
      <c r="T39" s="824"/>
      <c r="U39" s="906"/>
      <c r="V39" s="906"/>
    </row>
    <row r="40" spans="1:22" s="41" customFormat="1" ht="17.45" customHeight="1">
      <c r="A40" s="824"/>
      <c r="B40" s="903"/>
      <c r="C40" s="477"/>
      <c r="D40" s="477"/>
      <c r="E40" s="477"/>
      <c r="F40" s="477"/>
      <c r="G40" s="477"/>
      <c r="H40" s="477"/>
      <c r="I40" s="477"/>
      <c r="J40" s="477"/>
      <c r="K40" s="477"/>
      <c r="L40" s="477" t="s">
        <v>1281</v>
      </c>
      <c r="M40" s="196" t="s">
        <v>623</v>
      </c>
      <c r="N40" s="477"/>
      <c r="O40" s="477"/>
      <c r="P40" s="477"/>
      <c r="Q40" s="477"/>
      <c r="R40" s="477"/>
      <c r="S40" s="890"/>
      <c r="T40" s="824"/>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3" t="s">
        <v>165</v>
      </c>
      <c r="D2" s="139"/>
      <c r="E2" s="139"/>
      <c r="F2" s="118"/>
      <c r="G2" s="118"/>
      <c r="H2" s="118"/>
      <c r="I2" s="118"/>
    </row>
    <row r="3" spans="1:10">
      <c r="A3" s="118" t="s">
        <v>62</v>
      </c>
      <c r="B3" s="439" t="s">
        <v>5</v>
      </c>
      <c r="C3" s="815" t="s">
        <v>166</v>
      </c>
      <c r="D3" s="815" t="s">
        <v>167</v>
      </c>
      <c r="E3" s="815" t="s">
        <v>168</v>
      </c>
      <c r="F3" s="815" t="s">
        <v>169</v>
      </c>
      <c r="G3" s="815" t="s">
        <v>170</v>
      </c>
      <c r="H3" s="815" t="s">
        <v>171</v>
      </c>
      <c r="I3" s="815" t="s">
        <v>172</v>
      </c>
    </row>
    <row r="4" spans="1:10" ht="25.5">
      <c r="B4" s="148" t="s">
        <v>16</v>
      </c>
      <c r="C4" s="638" t="s">
        <v>173</v>
      </c>
      <c r="D4" s="638" t="s">
        <v>174</v>
      </c>
      <c r="E4" s="638" t="s">
        <v>175</v>
      </c>
      <c r="F4" s="638" t="s">
        <v>176</v>
      </c>
      <c r="G4" s="638"/>
      <c r="H4" s="638" t="s">
        <v>177</v>
      </c>
      <c r="I4" s="638"/>
    </row>
    <row r="5" spans="1:10" ht="76.5">
      <c r="B5" s="634" t="s">
        <v>27</v>
      </c>
      <c r="C5" s="635" t="s">
        <v>178</v>
      </c>
      <c r="D5" s="635" t="s">
        <v>179</v>
      </c>
      <c r="E5" s="635" t="s">
        <v>180</v>
      </c>
      <c r="F5" s="635" t="s">
        <v>181</v>
      </c>
      <c r="G5" s="635" t="s">
        <v>182</v>
      </c>
      <c r="H5" s="635" t="s">
        <v>183</v>
      </c>
      <c r="I5" s="635" t="s">
        <v>184</v>
      </c>
    </row>
    <row r="6" spans="1:10">
      <c r="B6" s="343">
        <v>1</v>
      </c>
      <c r="C6" s="636" t="s">
        <v>185</v>
      </c>
      <c r="D6" s="636"/>
      <c r="E6" s="636"/>
      <c r="F6" s="636" t="s">
        <v>186</v>
      </c>
      <c r="G6" s="636" t="s">
        <v>186</v>
      </c>
      <c r="H6" s="636"/>
      <c r="I6" s="636"/>
      <c r="J6">
        <v>1</v>
      </c>
    </row>
    <row r="7" spans="1:10">
      <c r="B7" s="343">
        <v>2</v>
      </c>
      <c r="C7" s="636"/>
      <c r="D7" s="636"/>
      <c r="E7" s="636"/>
      <c r="F7" s="636"/>
      <c r="G7" s="636"/>
      <c r="H7" s="636"/>
      <c r="I7" s="636"/>
      <c r="J7">
        <v>2</v>
      </c>
    </row>
    <row r="8" spans="1:10">
      <c r="B8" s="343">
        <v>3</v>
      </c>
      <c r="C8" s="636" t="s">
        <v>187</v>
      </c>
      <c r="D8" s="636"/>
      <c r="E8" s="636"/>
      <c r="F8" s="636"/>
      <c r="G8" s="636"/>
      <c r="H8" s="636"/>
      <c r="I8" s="636"/>
      <c r="J8">
        <v>3</v>
      </c>
    </row>
    <row r="9" spans="1:10" ht="25.5" customHeight="1">
      <c r="B9" s="343">
        <v>4</v>
      </c>
      <c r="C9" s="636"/>
      <c r="D9" s="636"/>
      <c r="E9" s="636"/>
      <c r="F9" s="636"/>
      <c r="G9" s="636"/>
      <c r="H9" s="636"/>
      <c r="I9" s="636"/>
      <c r="J9">
        <v>4</v>
      </c>
    </row>
    <row r="10" spans="1:10" ht="25.5">
      <c r="B10" s="343">
        <v>5</v>
      </c>
      <c r="C10" s="636" t="s">
        <v>188</v>
      </c>
      <c r="D10" s="636"/>
      <c r="E10" s="636"/>
      <c r="F10" s="636" t="s">
        <v>189</v>
      </c>
      <c r="G10" s="636"/>
      <c r="H10" s="636"/>
      <c r="I10" s="636" t="s">
        <v>39</v>
      </c>
      <c r="J10">
        <v>5</v>
      </c>
    </row>
    <row r="11" spans="1:10">
      <c r="B11" s="343">
        <v>6</v>
      </c>
      <c r="C11" s="636"/>
      <c r="D11" s="636" t="s">
        <v>190</v>
      </c>
      <c r="E11" s="636"/>
      <c r="F11" s="636"/>
      <c r="G11" s="637"/>
      <c r="H11" s="636"/>
      <c r="I11" s="636"/>
      <c r="J11">
        <v>6</v>
      </c>
    </row>
    <row r="12" spans="1:10">
      <c r="B12" s="343">
        <v>7</v>
      </c>
      <c r="C12" s="636" t="s">
        <v>191</v>
      </c>
      <c r="D12" s="636" t="s">
        <v>192</v>
      </c>
      <c r="E12" s="636"/>
      <c r="G12" s="636" t="s">
        <v>193</v>
      </c>
      <c r="H12" s="636"/>
      <c r="I12" s="636"/>
      <c r="J12">
        <v>7</v>
      </c>
    </row>
    <row r="13" spans="1:10" ht="25.5">
      <c r="B13" s="343">
        <v>8</v>
      </c>
      <c r="C13" s="636"/>
      <c r="D13" s="636" t="s">
        <v>194</v>
      </c>
      <c r="E13" s="636" t="s">
        <v>49</v>
      </c>
      <c r="F13" s="636" t="s">
        <v>52</v>
      </c>
      <c r="G13" s="818"/>
      <c r="H13" s="636" t="s">
        <v>195</v>
      </c>
      <c r="J13">
        <v>8</v>
      </c>
    </row>
    <row r="14" spans="1:10" ht="38.25">
      <c r="B14" s="343">
        <v>9</v>
      </c>
      <c r="C14" s="636"/>
      <c r="D14" s="636" t="s">
        <v>196</v>
      </c>
      <c r="E14" s="636"/>
      <c r="F14" s="636" t="s">
        <v>197</v>
      </c>
      <c r="G14" s="637" t="s">
        <v>198</v>
      </c>
      <c r="H14" s="636" t="s">
        <v>199</v>
      </c>
      <c r="I14" s="636" t="s">
        <v>200</v>
      </c>
      <c r="J14">
        <v>9</v>
      </c>
    </row>
    <row r="15" spans="1:10" ht="63.75">
      <c r="B15" s="343">
        <v>10</v>
      </c>
      <c r="C15" s="636" t="s">
        <v>201</v>
      </c>
      <c r="D15" s="636" t="s">
        <v>202</v>
      </c>
      <c r="E15" s="636" t="s">
        <v>62</v>
      </c>
      <c r="F15" s="636" t="s">
        <v>203</v>
      </c>
      <c r="G15" s="637" t="s">
        <v>204</v>
      </c>
      <c r="H15" s="636" t="s">
        <v>205</v>
      </c>
      <c r="I15" s="636"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5" t="s">
        <v>5</v>
      </c>
      <c r="C3" s="815" t="s">
        <v>209</v>
      </c>
      <c r="D3" s="815" t="s">
        <v>210</v>
      </c>
      <c r="E3" s="815" t="s">
        <v>211</v>
      </c>
      <c r="F3" s="815"/>
      <c r="G3" s="815"/>
      <c r="H3" s="815"/>
      <c r="I3" s="815"/>
    </row>
    <row r="4" spans="2:9" ht="25.5">
      <c r="B4" s="148" t="s">
        <v>16</v>
      </c>
      <c r="C4" s="638" t="s">
        <v>212</v>
      </c>
      <c r="D4" s="638" t="s">
        <v>213</v>
      </c>
      <c r="E4" s="638" t="s">
        <v>214</v>
      </c>
      <c r="F4" s="148"/>
      <c r="H4" s="148"/>
    </row>
    <row r="5" spans="2:9" ht="51">
      <c r="B5" s="148" t="s">
        <v>27</v>
      </c>
      <c r="C5" s="470" t="s">
        <v>215</v>
      </c>
      <c r="D5" s="470" t="s">
        <v>216</v>
      </c>
      <c r="E5" s="470" t="s">
        <v>217</v>
      </c>
      <c r="F5" s="815"/>
      <c r="G5" s="815"/>
      <c r="H5" s="815"/>
      <c r="I5" s="815"/>
    </row>
    <row r="6" spans="2:9">
      <c r="B6" s="343">
        <v>1</v>
      </c>
      <c r="C6" s="636"/>
      <c r="D6" s="636" t="s">
        <v>218</v>
      </c>
      <c r="E6" s="636"/>
      <c r="F6" s="343">
        <v>1</v>
      </c>
      <c r="H6" s="148"/>
    </row>
    <row r="7" spans="2:9" ht="89.25">
      <c r="B7" s="343">
        <v>2</v>
      </c>
      <c r="C7" s="636"/>
      <c r="D7" s="636" t="s">
        <v>219</v>
      </c>
      <c r="E7" s="636" t="s">
        <v>52</v>
      </c>
      <c r="F7" s="343">
        <v>2</v>
      </c>
      <c r="G7" s="815"/>
      <c r="H7" s="815"/>
      <c r="I7" s="815"/>
    </row>
    <row r="8" spans="2:9">
      <c r="B8" s="343">
        <v>3</v>
      </c>
      <c r="C8" s="636"/>
      <c r="D8" s="815"/>
      <c r="E8" s="636"/>
      <c r="F8" s="343">
        <v>3</v>
      </c>
      <c r="H8" s="148"/>
    </row>
    <row r="9" spans="2:9">
      <c r="B9" s="343">
        <v>4</v>
      </c>
      <c r="C9" s="636"/>
      <c r="D9" s="636"/>
      <c r="E9" s="636" t="s">
        <v>220</v>
      </c>
      <c r="F9" s="343">
        <v>4</v>
      </c>
      <c r="G9" s="815"/>
      <c r="H9" s="815"/>
      <c r="I9" s="815"/>
    </row>
    <row r="10" spans="2:9" ht="76.5">
      <c r="B10" s="343">
        <v>5</v>
      </c>
      <c r="C10" s="636" t="s">
        <v>185</v>
      </c>
      <c r="D10" s="636" t="s">
        <v>221</v>
      </c>
      <c r="E10" s="640"/>
      <c r="F10" s="343">
        <v>5</v>
      </c>
      <c r="H10" s="148"/>
    </row>
    <row r="11" spans="2:9">
      <c r="B11" s="343">
        <v>6</v>
      </c>
      <c r="C11" s="636" t="s">
        <v>187</v>
      </c>
      <c r="D11" s="815"/>
      <c r="E11" s="636" t="s">
        <v>192</v>
      </c>
      <c r="F11" s="343">
        <v>6</v>
      </c>
      <c r="G11" s="815"/>
      <c r="H11" s="815"/>
      <c r="I11" s="815"/>
    </row>
    <row r="12" spans="2:9">
      <c r="B12" s="343">
        <v>7</v>
      </c>
      <c r="C12" s="636"/>
      <c r="D12" s="636"/>
      <c r="E12" s="640"/>
      <c r="F12" s="343">
        <v>7</v>
      </c>
      <c r="H12" s="148"/>
    </row>
    <row r="13" spans="2:9">
      <c r="B13" s="343">
        <v>8</v>
      </c>
      <c r="C13" s="636" t="s">
        <v>188</v>
      </c>
      <c r="D13" s="636"/>
      <c r="E13" s="636" t="s">
        <v>222</v>
      </c>
      <c r="F13" s="343">
        <v>8</v>
      </c>
      <c r="G13" s="815"/>
      <c r="H13" s="815"/>
      <c r="I13" s="815"/>
    </row>
    <row r="14" spans="2:9">
      <c r="B14" s="343">
        <v>9</v>
      </c>
      <c r="C14" s="636" t="s">
        <v>191</v>
      </c>
      <c r="D14" s="636"/>
      <c r="E14" s="636"/>
      <c r="F14" s="343">
        <v>9</v>
      </c>
      <c r="H14" s="148"/>
    </row>
    <row r="15" spans="2:9" ht="76.5">
      <c r="B15" s="343">
        <v>10</v>
      </c>
      <c r="C15" s="636" t="s">
        <v>201</v>
      </c>
      <c r="D15" s="636" t="s">
        <v>223</v>
      </c>
      <c r="E15" s="636" t="s">
        <v>196</v>
      </c>
      <c r="F15" s="343">
        <v>10</v>
      </c>
      <c r="G15" s="815"/>
      <c r="H15" s="815"/>
      <c r="I15" s="815"/>
    </row>
    <row r="16" spans="2:9">
      <c r="B16" s="88"/>
      <c r="C16" s="439"/>
      <c r="D16" s="439"/>
      <c r="E16" s="439"/>
      <c r="F16" s="148"/>
      <c r="H16" s="148"/>
    </row>
    <row r="17" spans="2:15">
      <c r="B17" s="88"/>
      <c r="C17" s="439"/>
      <c r="D17" s="439"/>
      <c r="E17" s="439"/>
      <c r="F17" s="815"/>
      <c r="G17" s="815"/>
      <c r="H17" s="815"/>
      <c r="I17" s="815"/>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8" t="s">
        <v>230</v>
      </c>
      <c r="D4" s="638" t="s">
        <v>231</v>
      </c>
      <c r="E4" s="148" t="s">
        <v>174</v>
      </c>
      <c r="F4" s="88" t="s">
        <v>232</v>
      </c>
      <c r="G4" s="150"/>
    </row>
    <row r="5" spans="2:8" ht="76.5">
      <c r="B5" s="148" t="s">
        <v>233</v>
      </c>
      <c r="C5" s="470" t="s">
        <v>234</v>
      </c>
      <c r="D5" s="470" t="s">
        <v>235</v>
      </c>
      <c r="E5" s="815" t="s">
        <v>236</v>
      </c>
      <c r="F5" s="815" t="s">
        <v>237</v>
      </c>
      <c r="G5" s="144"/>
      <c r="H5" s="144"/>
    </row>
    <row r="6" spans="2:8">
      <c r="B6" s="149">
        <v>1</v>
      </c>
      <c r="C6" s="636"/>
      <c r="D6" s="636"/>
      <c r="F6" s="134"/>
      <c r="G6" s="149">
        <v>1</v>
      </c>
    </row>
    <row r="7" spans="2:8">
      <c r="B7" s="149">
        <v>2</v>
      </c>
      <c r="C7" s="636" t="s">
        <v>49</v>
      </c>
      <c r="D7" s="636" t="s">
        <v>238</v>
      </c>
      <c r="E7" s="636"/>
      <c r="F7" s="815" t="s">
        <v>239</v>
      </c>
      <c r="G7" s="149">
        <v>2</v>
      </c>
      <c r="H7" s="144"/>
    </row>
    <row r="8" spans="2:8">
      <c r="B8" s="149">
        <v>3</v>
      </c>
      <c r="C8" s="815"/>
      <c r="D8" s="636"/>
      <c r="E8" s="636"/>
      <c r="F8" s="134"/>
      <c r="G8" s="149">
        <v>3</v>
      </c>
    </row>
    <row r="9" spans="2:8" ht="51">
      <c r="B9" s="149">
        <v>4</v>
      </c>
      <c r="C9" s="636" t="s">
        <v>240</v>
      </c>
      <c r="D9" s="636"/>
      <c r="G9" s="149">
        <v>4</v>
      </c>
      <c r="H9" s="144"/>
    </row>
    <row r="10" spans="2:8">
      <c r="B10" s="149">
        <v>5</v>
      </c>
      <c r="C10" s="818"/>
      <c r="D10" s="640"/>
      <c r="E10" s="636" t="s">
        <v>241</v>
      </c>
      <c r="F10" s="815" t="s">
        <v>241</v>
      </c>
      <c r="G10" s="149">
        <v>5</v>
      </c>
    </row>
    <row r="11" spans="2:8" ht="25.5">
      <c r="B11" s="149">
        <v>6</v>
      </c>
      <c r="C11" s="815"/>
      <c r="D11" s="636" t="s">
        <v>242</v>
      </c>
      <c r="G11" s="149">
        <v>6</v>
      </c>
      <c r="H11" s="144"/>
    </row>
    <row r="12" spans="2:8">
      <c r="B12" s="149">
        <v>7</v>
      </c>
      <c r="C12" s="818"/>
      <c r="D12" s="641"/>
      <c r="E12" s="636" t="s">
        <v>52</v>
      </c>
      <c r="F12" s="815" t="s">
        <v>52</v>
      </c>
      <c r="G12" s="149">
        <v>7</v>
      </c>
    </row>
    <row r="13" spans="2:8" ht="38.25">
      <c r="B13" s="149">
        <v>8</v>
      </c>
      <c r="C13" s="636"/>
      <c r="D13" s="636"/>
      <c r="E13" s="636" t="s">
        <v>192</v>
      </c>
      <c r="F13" s="815" t="s">
        <v>243</v>
      </c>
      <c r="G13" s="149">
        <v>8</v>
      </c>
      <c r="H13" s="144"/>
    </row>
    <row r="14" spans="2:8">
      <c r="B14" s="149">
        <v>9</v>
      </c>
      <c r="C14" s="636"/>
      <c r="D14" s="636"/>
      <c r="E14" s="636" t="s">
        <v>194</v>
      </c>
      <c r="F14" s="134"/>
      <c r="G14" s="149">
        <v>9</v>
      </c>
    </row>
    <row r="15" spans="2:8" ht="25.5">
      <c r="B15" s="149">
        <v>10</v>
      </c>
      <c r="C15" s="636" t="s">
        <v>244</v>
      </c>
      <c r="D15" s="636" t="s">
        <v>245</v>
      </c>
      <c r="E15" s="636" t="s">
        <v>246</v>
      </c>
      <c r="F15" s="815"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3.xml><?xml version="1.0" encoding="utf-8"?>
<ds:datastoreItem xmlns:ds="http://schemas.openxmlformats.org/officeDocument/2006/customXml" ds:itemID="{4332A866-7373-441B-B480-8A576DF424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2024-05-22T14:06:50Z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2024-02-01T16:46:48Z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908e1107-79d2-4d31-a979-974fd7a039bd</vt:lpwstr>
  </property>
  <property fmtid="{D5CDD505-2E9C-101B-9397-08002B2CF9AE}" pid="9" name="MSIP_Label_846c87f6-c46e-48eb-b7ce-d3a4a7d30611_ContentBits">
    <vt:lpwstr>0</vt:lpwstr>
  </property>
</Properties>
</file>