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1CA9F5A9-06A6-48BA-B627-24281E4DEBFD}"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<sst xmlns="http://schemas.openxmlformats.org/spreadsheetml/2006/main" count="2545" uniqueCount="1284">
  <si>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</si>
  <si>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</si>
  <si>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</si>
  <si>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</si>
  <si>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</si>
  <si>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</si>
  <si>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</si>
  <si>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</si>
  <si>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</si>
  <si>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</si>
  <si>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</si>
  <si>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</si>
  <si>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</si>
  <si>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</si>
  <si>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</si>
  <si>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</si>
  <si>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</si>
  <si>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</si>
  <si>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</si>
  <si>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</si>
  <si>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</si>
  <si>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</si>
  <si>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</si>
  <si>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</si>
  <si>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</si>
  <si>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</si>
  <si>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</si>
  <si>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</si>
  <si>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</si>
  <si>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</si>
  <si>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</si>
  <si>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</si>
  <si>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</si>
  <si>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</si>
  <si>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</si>
  <si>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</si>
  <si>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</si>
  <si>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</si>
  <si>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</si>
  <si>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</si>
  <si>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</si>
  <si>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</si>
  <si>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</si>
  <si>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</si>
  <si>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</si>
  <si>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</si>
  <si>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</si>
  <si>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</si>
  <si>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</si>
  <si>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</si>
  <si>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</si>
  <si>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</si>
  <si>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</si>
  <si>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</si>
  <si>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</si>
  <si>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</si>
  <si>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</si>
  <si>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</si>
  <si>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</si>
  <si>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</si>
  <si>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</si>
  <si>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</si>
  <si>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</si>
  <si>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</si>
  <si>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</si>
  <si>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</si>
  <si>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</si>
  <si>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</si>
  <si>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</si>
  <si>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</si>
  <si>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</si>
  <si>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</si>
  <si>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</si>
  <si>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</si>
  <si>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</si>
  <si>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</si>
  <si>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</si>
  <si>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</si>
  <si>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</si>
  <si>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</si>
  <si>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</si>
  <si>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</si>
  <si>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</si>
  <si>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</si>
  <si>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</si>
  <si>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</si>
  <si>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</si>
  <si>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</si>
  <si>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</si>
  <si>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</si>
  <si>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</si>
  <si>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</si>
  <si>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</si>
  <si>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</si>
  <si>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</si>
  <si>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</si>
  <si>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</si>
  <si>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</si>
  <si>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</si>
  <si>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</si>
  <si>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</si>
  <si>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</si>
  <si>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</si>
  <si>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</si>
  <si>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</si>
  <si>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</si>
  <si>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</si>
  <si>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</si>
  <si>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</si>
  <si>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</si>
  <si>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</si>
  <si>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</si>
  <si>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</si>
  <si>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</si>
  <si>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</si>
  <si>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</si>
  <si>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</si>
  <si>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</si>
  <si>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</si>
  <si>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</si>
  <si>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</si>
  <si>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</si>
  <si>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</si>
  <si>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</si>
  <si>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</si>
  <si>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</si>
  <si>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</si>
  <si>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</si>
  <si>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</si>
  <si>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</si>
  <si>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</si>
  <si>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</si>
  <si>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</si>
  <si>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</si>
  <si>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</si>
  <si>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</si>
  <si>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</si>
  <si>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</si>
  <si>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</si>
  <si>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</si>
  <si>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</si>
  <si>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</si>
  <si>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</si>
  <si>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</si>
  <si>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</si>
  <si>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</si>
  <si>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</si>
  <si>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</si>
  <si>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</si>
  <si>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</si>
  <si>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</si>
  <si>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</si>
  <si>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</si>
  <si>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</si>
  <si>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</si>
  <si>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</si>
  <si>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</si>
  <si>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</si>
  <si>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</si>
  <si>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</si>
  <si>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</si>
  <si>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</si>
  <si>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</si>
  <si>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</si>
  <si>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</si>
  <si>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</si>
  <si>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</si>
  <si>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</si>
  <si>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</si>
  <si>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</si>
  <si>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</si>
  <si>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</si>
  <si>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</si>
  <si>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</si>
  <si>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</si>
  <si>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</si>
  <si>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</si>
  <si>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</si>
  <si>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</si>
  <si>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</si>
  <si>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</si>
  <si>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</si>
  <si>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</si>
  <si>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</si>
  <si>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</si>
  <si>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</si>
  <si>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</si>
  <si>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</si>
  <si>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</si>
  <si>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</si>
  <si>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</si>
  <si>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</si>
  <si>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</si>
  <si>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</si>
  <si>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</si>
  <si>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</si>
  <si>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</si>
  <si>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</si>
  <si>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</si>
  <si>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</si>
  <si>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</si>
  <si>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</si>
  <si>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</si>
  <si>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</si>
  <si>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</si>
  <si>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</si>
  <si>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</si>
  <si>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</si>
  <si>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</si>
  <si>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</si>
  <si>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</si>
  <si>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</si>
  <si>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</si>
  <si>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</si>
  <si>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</si>
  <si>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</si>
  <si>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</si>
  <si>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</si>
  <si>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</si>
  <si>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</si>
  <si>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</si>
  <si>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</si>
  <si>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</si>
  <si>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</si>
  <si>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</si>
  <si>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</si>
  <si>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</si>
  <si>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</si>
  <si>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</si>
  <si>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</si>
  <si>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</si>
  <si>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</si>
  <si>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</si>
  <si>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</si>
  <si>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</si>
  <si>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</si>
  <si>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</si>
  <si>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</si>
  <si>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</si>
  <si>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</si>
  <si>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</si>
  <si>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</si>
  <si>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</si>
  <si>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</si>
  <si>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</si>
  <si>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</si>
  <si>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</si>
  <si>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</si>
  <si>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</si>
  <si>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</si>
  <si>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</si>
  <si>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</si>
  <si>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</si>
  <si>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</si>
  <si>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</si>
  <si>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</si>
  <si>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</si>
  <si>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</si>
  <si>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</si>
  <si>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</si>
  <si>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</si>
  <si>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</si>
  <si>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</si>
  <si>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</si>
  <si>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</si>
  <si>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</si>
  <si>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</si>
  <si>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</si>
  <si>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</si>
  <si>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</si>
  <si>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</si>
  <si>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</si>
  <si>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</si>
  <si>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</si>
  <si>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</si>
  <si>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</si>
  <si>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</si>
  <si>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</si>
  <si>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</si>
  <si>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</si>
  <si>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</si>
  <si>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</si>
  <si>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</si>
  <si>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</si>
  <si>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</si>
  <si>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</si>
  <si>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</si>
  <si>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</si>
  <si>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</si>
  <si>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</si>
  <si>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</si>
  <si>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</si>
  <si>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</si>
  <si>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</si>
  <si>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</si>
  <si>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</si>
  <si>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</si>
  <si>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</si>
  <si>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</si>
  <si>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</si>
  <si>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</si>
  <si>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</si>
  <si>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</si>
  <si>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</si>
  <si>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</si>
  <si>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</si>
  <si>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</si>
  <si>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</si>
  <si>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</si>
  <si>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</si>
  <si>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</si>
  <si>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</si>
  <si>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</si>
  <si>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</si>
  <si>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</si>
  <si>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</si>
  <si>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</si>
  <si>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</si>
  <si>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</si>
  <si>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</si>
  <si>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</si>
  <si>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</si>
  <si>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</si>
  <si>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</si>
  <si>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</si>
  <si>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</si>
  <si>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</si>
  <si>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</si>
  <si>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</si>
  <si>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</si>
  <si>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</si>
  <si>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</si>
  <si>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</si>
  <si>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</si>
  <si>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</si>
  <si>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</si>
  <si>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</si>
  <si>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</si>
  <si>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</si>
  <si>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</si>
  <si>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</si>
  <si>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</si>
  <si>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</si>
  <si>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</si>
  <si>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</si>
  <si>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</si>
  <si>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</si>
  <si>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</si>
  <si>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</si>
  <si>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</si>
  <si>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</si>
  <si>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</si>
  <si>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</si>
  <si>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</si>
  <si>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</si>
  <si>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</si>
  <si>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</si>
  <si>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</si>
  <si>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</si>
  <si>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</si>
  <si>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</si>
  <si>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</si>
  <si>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</si>
  <si>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</si>
  <si>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</si>
  <si>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</si>
  <si>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</si>
  <si>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</si>
  <si>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</si>
  <si>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</si>
  <si>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</si>
  <si>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</si>
  <si>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</si>
  <si>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</si>
  <si>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</si>
  <si>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</si>
  <si>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</si>
  <si>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</si>
  <si>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</si>
  <si>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</si>
  <si>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</si>
  <si>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</si>
  <si>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</si>
  <si>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</si>
  <si>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</si>
  <si>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</si>
  <si>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</si>
  <si>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</si>
  <si>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</si>
  <si>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</si>
  <si>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</si>
  <si>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</si>
  <si>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</si>
  <si>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</si>
  <si>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</si>
  <si>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</si>
  <si>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</si>
  <si>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</si>
  <si>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</si>
  <si>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</si>
  <si>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</si>
  <si>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</si>
  <si>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</si>
  <si>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</si>
  <si>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</si>
  <si>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</si>
  <si>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</si>
  <si>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</si>
  <si>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</si>
  <si>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</si>
  <si>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</si>
  <si>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</si>
  <si>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</si>
  <si>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</si>
  <si>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</si>
  <si>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</si>
  <si>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</si>
  <si>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</si>
  <si>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</si>
  <si>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</si>
  <si>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</si>
  <si>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</si>
  <si>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</si>
  <si>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</si>
  <si>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</si>
  <si>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</si>
  <si>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</si>
  <si>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</si>
  <si>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</si>
  <si>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</si>
  <si>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</si>
  <si>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</si>
  <si>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</si>
  <si>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</si>
  <si>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</si>
  <si>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</si>
  <si>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</si>
  <si>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</si>
  <si>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</si>
  <si>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</si>
  <si>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</si>
  <si>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</si>
  <si>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</si>
  <si>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</si>
  <si>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</si>
  <si>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</si>
  <si>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</si>
  <si>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</si>
  <si>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</si>
  <si>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</si>
  <si>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</si>
  <si>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</si>
  <si>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</si>
  <si>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</si>
  <si>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</si>
  <si>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</si>
  <si>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</si>
  <si>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</si>
  <si>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</si>
  <si>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</si>
  <si>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</si>
  <si>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</si>
  <si>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</si>
  <si>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</si>
  <si>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</si>
  <si>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</si>
  <si>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</si>
  <si>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</si>
  <si>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</si>
  <si>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</si>
  <si>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</si>
  <si>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</si>
  <si>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</si>
  <si>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</si>
  <si>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</si>
  <si>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</si>
  <si>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</si>
  <si>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</si>
  <si>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</si>
  <si>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</si>
  <si>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</si>
  <si>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</si>
  <si>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</si>
  <si>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</si>
  <si>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</si>
  <si>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</si>
  <si>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</si>
  <si>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</si>
  <si>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</si>
  <si>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</si>
  <si>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</si>
  <si>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</si>
  <si>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</si>
  <si>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</si>
  <si>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</si>
  <si>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</si>
  <si>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</si>
  <si>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</si>
  <si>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</si>
  <si>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</si>
  <si>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</si>
  <si>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</si>
  <si>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</si>
  <si>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</si>
  <si>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</si>
  <si>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</si>
  <si>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</si>
  <si>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</si>
  <si>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</si>
  <si>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</si>
  <si>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</si>
  <si>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</si>
  <si>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</si>
  <si>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</si>
  <si>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</si>
  <si>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</si>
  <si>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- 880 Turbotville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</si>
  <si>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</si>
  <si>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</si>
  <si>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</si>
  <si>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</si>
  <si>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</si>
  <si>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</si>
  <si>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</si>
  <si>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</si>
  <si>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</si>
  <si>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</si>
  <si>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</si>
  <si>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</si>
  <si>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</si>
  <si>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</si>
  <si>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</si>
  <si>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Turbotville Boro</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</si>
  <si>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</si>
  <si>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</si>
  <si>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</si>
  <si>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</si>
  <si>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</si>
  <si>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</si>
  <si>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</si>
  <si>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</si>
  <si>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</si>
  <si>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</si>
  <si>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</si>
  <si>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</si>
  <si>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</si>
  <si>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</si>
  <si>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</si>
  <si>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</si>
  <si>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</si>
  <si>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</si>
  <si>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</si>
  <si>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</si>
  <si>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</si>
  <si>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</si>
  <si>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</si>
  <si>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</si>
  <si>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</si>
  <si>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</si>
  <si>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</si>
  <si>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</si>
  <si>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</si>
  <si>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</si>
  <si>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</si>
  <si>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</si>
  <si>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</si>
  <si>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</si>
  <si>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</si>
  <si>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</si>
  <si>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</si>
  <si>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</si>
  <si>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</si>
  <si>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</si>
  <si>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</si>
  <si>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</si>
  <si>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</si>
  <si>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4490016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</si>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</sst>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3.1819259704057838</c:v>
                </c:pt>
                <c:pt idx="1">
                  <c:v>0.26113598867139654</c:v>
                </c:pt>
                <c:pt idx="2">
                  <c:v>29.198936624847388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21.583398342364152</c:v>
                </c:pt>
                <c:pt idx="1">
                  <c:v>0.92482240795754933</c:v>
                </c:pt>
                <c:pt idx="2">
                  <c:v>93.094580244371969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15.275433655751712</c:v>
                </c:pt>
                <c:pt idx="1">
                  <c:v>0.38772920688421864</c:v>
                </c:pt>
                <c:pt idx="2">
                  <c:v>32.8029879978914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6.3079646866124417</c:v>
                </c:pt>
                <c:pt idx="1">
                  <c:v>0.56875750335916142</c:v>
                </c:pt>
                <c:pt idx="2">
                  <c:v>64.217965729923577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0.996</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1.274</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3.338E-2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0.29281632653061274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3.5000000000000003E-2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1.7492750807294553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$9,258/Yr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1116.9940799999999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1428.7655200000002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462.98059999999998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3802.2292669387825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485.45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1961.7770175364694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1.0375945886413334</c:v>
                </c:pt>
                <c:pt idx="1">
                  <c:v>9.0856271993300333E-2</c:v>
                </c:pt>
                <c:pt idx="2">
                  <c:v>10.22858313852791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978.06825872488412</c:v>
                </c:pt>
                <c:pt idx="1">
                  <c:v>97.186039594358903</c:v>
                </c:pt>
                <c:pt idx="2" formatCode="_(* #,##0_);_(* \(#,##0\);_(* &quot;-&quot;??_);_(@_)">
                  <c:v>11073.000650975619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3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3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32"/>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33"/>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34"/>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35"/>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36"/>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37"/>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38"/>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639"/>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640"/>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641"/>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642"/>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643"/>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644"/>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645"/>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646"/>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647"/>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648"/>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289"/>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G24" sqref="AG24:AL24"/>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45360</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584</v>
      </c>
      <c r="AI28" s="929">
        <v>1199</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585</v>
      </c>
      <c r="C30" s="946"/>
      <c r="D30" s="946"/>
      <c r="E30" s="946"/>
      <c r="F30" s="946"/>
      <c r="G30" s="947" t="s">
        <v>586</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591</v>
      </c>
      <c r="C33" s="946"/>
      <c r="D33" s="946"/>
      <c r="E33" s="946"/>
      <c r="F33" s="946"/>
      <c r="G33" s="947" t="s">
        <v>592</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593</v>
      </c>
      <c r="AB34" s="933" t="s">
        <v>525</v>
      </c>
      <c r="AC34" s="933"/>
      <c r="AD34" s="933"/>
      <c r="AE34" s="933"/>
      <c r="AF34" s="494"/>
      <c r="AG34" s="494"/>
      <c r="AH34" s="494"/>
      <c r="AI34" s="494"/>
      <c r="AJ34" s="501"/>
      <c r="AK34" s="501"/>
      <c r="AL34" s="118"/>
      <c r="AM34" s="526"/>
      <c r="AN34" s="526"/>
      <c r="AO34" s="526"/>
      <c r="AP34" s="118"/>
      <c r="AQ34" s="118"/>
      <c r="AR34" s="766" t="s">
        <v>593</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599</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600</v>
      </c>
      <c r="C39" s="946"/>
      <c r="D39" s="946"/>
      <c r="E39" s="946"/>
      <c r="F39" s="946"/>
      <c r="G39" s="947" t="s">
        <v>601</v>
      </c>
      <c r="H39" s="947"/>
      <c r="I39" s="947"/>
      <c r="J39" s="947"/>
      <c r="K39" s="947"/>
      <c r="L39" s="947"/>
      <c r="M39" s="947"/>
      <c r="N39" s="947"/>
      <c r="O39" s="947"/>
      <c r="P39" s="947"/>
      <c r="Q39" s="947"/>
      <c r="R39" s="947"/>
      <c r="S39" s="947"/>
      <c r="T39" s="947"/>
      <c r="U39" s="801"/>
      <c r="V39" s="510"/>
      <c r="W39" s="936">
        <v>0.01</v>
      </c>
      <c r="X39" s="936"/>
      <c r="Y39" s="936"/>
      <c r="Z39" s="922" t="s">
        <v>602</v>
      </c>
      <c r="AA39" s="923"/>
      <c r="AB39" s="924"/>
      <c r="AC39" s="508" t="s">
        <v>603</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604</v>
      </c>
      <c r="AA40" s="923"/>
      <c r="AB40" s="924"/>
      <c r="AC40" s="925" t="s">
        <v>605</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10"/>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801"/>
      <c r="V44" s="510"/>
      <c r="W44" s="510"/>
      <c r="X44" s="932" t="s">
        <v>599</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611</v>
      </c>
      <c r="AA45" s="923"/>
      <c r="AB45" s="924"/>
      <c r="AC45" s="508" t="s">
        <v>603</v>
      </c>
      <c r="AD45" s="510"/>
      <c r="AE45" s="510"/>
      <c r="AF45" s="510"/>
      <c r="AG45" s="798"/>
      <c r="AH45" s="798"/>
      <c r="AI45" s="938" t="s">
        <v>612</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614</v>
      </c>
      <c r="AA46" s="923"/>
      <c r="AB46" s="924"/>
      <c r="AC46" s="925" t="s">
        <v>615</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Q67" sqref="Q67"/>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703</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1018" t="str">
        <f>IF(ISBLANK('Start Page'!AB9),"&lt;&lt; Please enter system details on the Start Page &gt;&gt;",'Start Page'!AB9&amp;IF(ISBLANK('Start Page'!AM28),"","  ("&amp;'Start Page'!AM28&amp;")"))</f>
        <v>PAW - 880 Turbotville</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705</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706</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707</v>
      </c>
      <c r="L12" s="1028"/>
      <c r="M12" s="1028"/>
      <c r="N12" s="1028"/>
      <c r="O12" s="1028"/>
      <c r="P12" s="1028"/>
      <c r="Q12" s="1028"/>
      <c r="R12" s="1028"/>
      <c r="S12" s="1028"/>
      <c r="T12" s="1028"/>
      <c r="U12" s="1024"/>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4"/>
      <c r="O13" s="205"/>
      <c r="P13" s="493" t="s">
        <v>599</v>
      </c>
      <c r="Q13" s="205"/>
      <c r="R13" s="205"/>
      <c r="S13" s="388"/>
      <c r="T13" s="388"/>
      <c r="U13" s="1024"/>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722</v>
      </c>
      <c r="D15" s="700" t="s">
        <v>723</v>
      </c>
      <c r="E15" s="463" t="s">
        <v>724</v>
      </c>
      <c r="F15" s="390">
        <f>'Interactive Data Grading'!D20</f>
        <v>10</v>
      </c>
      <c r="G15" s="79"/>
      <c r="H15" s="424">
        <v>17.829999999999998</v>
      </c>
      <c r="I15" s="468"/>
      <c r="J15" s="805" t="str">
        <f>IF('Start Page'!$AB$22="million gallons (US)","MG/Yr",IF('Start Page'!$AB$22="Megalitres (thousand cubic metres)","ML/Yr",IF('Start Page'!$AB$22="acre-feet","Acre-ft/Yr","")))</f>
        <v>MG/Yr</v>
      </c>
      <c r="K15" s="703" t="s">
        <v>723</v>
      </c>
      <c r="L15" s="491" t="s">
        <v>724</v>
      </c>
      <c r="M15" s="390">
        <f>'Interactive Data Grading'!D43</f>
        <v>10</v>
      </c>
      <c r="N15" s="805"/>
      <c r="O15" s="386">
        <v>5.4999999999999997E-3</v>
      </c>
      <c r="P15" s="466" t="s">
        <v>602</v>
      </c>
      <c r="Q15" s="992"/>
      <c r="R15" s="1022"/>
      <c r="S15" s="389" t="str">
        <f>IF('Start Page'!$AB$22="million gallons (US)","MG/Yr",IF('Start Page'!$AB$22="Megalitres (thousand cubic metres)","ML/Yr",IF('Start Page'!$AB$22="acre-feet","acre-ft/yr","")))</f>
        <v>MG/Yr</v>
      </c>
      <c r="T15" s="807" t="s">
        <v>725</v>
      </c>
      <c r="U15" s="445" t="s">
        <v>520</v>
      </c>
      <c r="V15" s="827"/>
      <c r="W15" s="383">
        <f>IF(P15="percent",1,2)</f>
        <v>1</v>
      </c>
      <c r="X15" s="836">
        <f>IF(H15&gt;0,IF(W15=1,O15*H15,Q15),0)</f>
        <v>9.8064999999999986E-2</v>
      </c>
      <c r="Y15" s="84">
        <f>$Y$19/$Y$18*H15</f>
        <v>34.808552958727006</v>
      </c>
      <c r="Z15" s="114">
        <f>$Y$19/$Y$18*ABS(X15)</f>
        <v>0.19144704127299852</v>
      </c>
      <c r="AA15" s="754">
        <f>IF(W15=1,input_VOS-input_VOS/(1+O15*AB15),Q15*AB15)</f>
        <v>9.7528592739930531E-2</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17.732471407260068</v>
      </c>
    </row>
    <row r="16" spans="1:33">
      <c r="A16" s="827"/>
      <c r="B16" s="448" t="s">
        <v>524</v>
      </c>
      <c r="C16" s="803" t="s">
        <v>726</v>
      </c>
      <c r="D16" s="700"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3" t="s">
        <v>723</v>
      </c>
      <c r="L16" s="491"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807"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728</v>
      </c>
      <c r="D17" s="700"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3" t="s">
        <v>723</v>
      </c>
      <c r="L17" s="491"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807"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729</v>
      </c>
      <c r="U18" s="444"/>
      <c r="V18" s="827"/>
      <c r="W18" s="383"/>
      <c r="X18" s="385"/>
      <c r="Y18" s="84">
        <f>H15+H16+H17+IF(H15&gt;0,ABS(X15),0)+IF(H16&gt;0,ABS(X16),0)+IF(H17&gt;0,(ABS(X17)),)</f>
        <v>17.928064999999997</v>
      </c>
      <c r="Z18" s="115"/>
      <c r="AA18" s="118"/>
      <c r="AB18" s="206"/>
      <c r="AC18" s="206"/>
      <c r="AD18" s="206"/>
      <c r="AE18" s="206"/>
      <c r="AF18" s="205">
        <f>SUM(AF15:AF17)</f>
        <v>0</v>
      </c>
      <c r="AG18" s="118" t="s">
        <v>730</v>
      </c>
    </row>
    <row r="19" spans="1:33" ht="13.5" thickBot="1">
      <c r="A19" s="827"/>
      <c r="B19" s="447"/>
      <c r="C19" s="995" t="s">
        <v>731</v>
      </c>
      <c r="D19" s="995"/>
      <c r="E19" s="995"/>
      <c r="F19" s="995"/>
      <c r="G19" s="205"/>
      <c r="H19" s="727">
        <f>IF(AF18&gt;0,"Select under/over",IF(H15&gt;0,IF(W15=1,H15/(1+O15*AB15),H15-Q15*AB15),0)+IF(H16&gt;0,IF(W16=1,H16/(1+O16*AB16),H16-Q16*AB16),0)-IF(H17&gt;0,IF(W17=1,H17/(1+O17*AB17),H17-Q17*AB17),0))</f>
        <v>17.732471407260068</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735</v>
      </c>
      <c r="D23" s="700" t="s">
        <v>723</v>
      </c>
      <c r="E23" s="463" t="s">
        <v>724</v>
      </c>
      <c r="F23" s="390">
        <f>'Interactive Data Grading'!D177</f>
        <v>9</v>
      </c>
      <c r="G23" s="79"/>
      <c r="H23" s="254">
        <v>13.352</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13.028157234457764</v>
      </c>
      <c r="Z23" s="845"/>
      <c r="AA23" s="118" t="s">
        <v>736</v>
      </c>
      <c r="AB23" s="206"/>
      <c r="AC23" s="206"/>
      <c r="AD23" s="206"/>
      <c r="AE23" s="206"/>
      <c r="AF23" s="118"/>
      <c r="AG23" s="118"/>
    </row>
    <row r="24" spans="1:33">
      <c r="A24" s="827"/>
      <c r="B24" s="448" t="s">
        <v>544</v>
      </c>
      <c r="C24" s="803" t="s">
        <v>737</v>
      </c>
      <c r="D24" s="700"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0.97184276554223581</v>
      </c>
      <c r="Z24" s="835"/>
      <c r="AA24" s="118"/>
      <c r="AB24" s="206"/>
      <c r="AC24" s="206"/>
      <c r="AD24" s="206"/>
      <c r="AE24" s="206"/>
      <c r="AF24" s="118"/>
      <c r="AG24" s="118"/>
    </row>
    <row r="25" spans="1:33" ht="13.35" customHeight="1">
      <c r="A25" s="827"/>
      <c r="B25" s="448" t="s">
        <v>546</v>
      </c>
      <c r="C25" s="803" t="s">
        <v>738</v>
      </c>
      <c r="D25" s="700" t="s">
        <v>723</v>
      </c>
      <c r="E25" s="463" t="s">
        <v>724</v>
      </c>
      <c r="F25" s="390">
        <f>'Interactive Data Grading'!D224</f>
        <v>10</v>
      </c>
      <c r="G25" s="79"/>
      <c r="H25" s="395">
        <v>0.996</v>
      </c>
      <c r="I25" s="468"/>
      <c r="J25" s="805" t="str">
        <f>IF('Start Page'!$AB$22="million gallons (US)","MG/Yr",IF('Start Page'!$AB$22="Megalitres (thousand cubic metres)","ML/Yr",IF('Start Page'!$AB$22="acre-feet","Acre-ft/Yr","")))</f>
        <v>MG/Yr</v>
      </c>
      <c r="K25" s="805"/>
      <c r="L25" s="805"/>
      <c r="M25" s="805"/>
      <c r="N25" s="805"/>
      <c r="O25" s="205"/>
      <c r="P25" s="813" t="s">
        <v>599</v>
      </c>
      <c r="Q25" s="205"/>
      <c r="R25" s="118"/>
      <c r="S25" s="118"/>
      <c r="T25" s="118"/>
      <c r="U25" s="199"/>
      <c r="V25" s="827"/>
      <c r="W25" s="383"/>
      <c r="X25" s="118"/>
      <c r="Y25" s="754">
        <f>H23+H25</f>
        <v>14.348000000000001</v>
      </c>
      <c r="Z25" s="835"/>
      <c r="AA25" s="118"/>
      <c r="AB25" s="206"/>
      <c r="AC25" s="206"/>
      <c r="AD25" s="206"/>
      <c r="AE25" s="206"/>
      <c r="AF25" s="439" t="s">
        <v>739</v>
      </c>
      <c r="AG25" s="118"/>
    </row>
    <row r="26" spans="1:33" ht="15" customHeight="1" thickBot="1">
      <c r="A26" s="827"/>
      <c r="B26" s="448" t="s">
        <v>550</v>
      </c>
      <c r="C26" s="803" t="s">
        <v>740</v>
      </c>
      <c r="D26" s="700" t="s">
        <v>723</v>
      </c>
      <c r="E26" s="463" t="s">
        <v>724</v>
      </c>
      <c r="F26" s="390">
        <f>'Interactive Data Grading'!D247</f>
        <v>10</v>
      </c>
      <c r="G26" s="79"/>
      <c r="H26" s="727">
        <f>IF(OR(W26=1,AND(W26=2,Q26=0)),O26*SUM(H23:H24),Q26)</f>
        <v>1.274</v>
      </c>
      <c r="I26" s="468"/>
      <c r="J26" s="805" t="str">
        <f>IF('Start Page'!$AB$22="million gallons (US)","MG/Yr",IF('Start Page'!$AB$22="Megalitres (thousand cubic metres)","ML/Yr",IF('Start Page'!$AB$22="acre-feet","Acre-ft/Yr","")))</f>
        <v>MG/Yr</v>
      </c>
      <c r="K26" s="805"/>
      <c r="L26" s="805"/>
      <c r="M26" s="805"/>
      <c r="N26" s="805"/>
      <c r="O26" s="391">
        <v>2.5000000000000001E-3</v>
      </c>
      <c r="P26" s="524" t="s">
        <v>614</v>
      </c>
      <c r="Q26" s="992">
        <v>1.274</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742</v>
      </c>
      <c r="D30" s="989"/>
      <c r="E30" s="989"/>
      <c r="F30" s="989"/>
      <c r="G30" s="205"/>
      <c r="H30" s="727">
        <f>SUM(H23:H26)</f>
        <v>15.622</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2.1104714072600679</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3" t="s">
        <v>599</v>
      </c>
      <c r="Q38" s="468"/>
      <c r="R38" s="118"/>
      <c r="S38" s="118"/>
      <c r="T38" s="387"/>
      <c r="U38" s="199"/>
      <c r="V38" s="827"/>
      <c r="W38" s="385"/>
      <c r="X38" s="118"/>
      <c r="Y38" s="118"/>
      <c r="Z38" s="118"/>
      <c r="AA38" s="118"/>
      <c r="AB38" s="206"/>
      <c r="AC38" s="206"/>
    </row>
    <row r="39" spans="1:29" ht="13.35" customHeight="1">
      <c r="A39" s="827"/>
      <c r="B39" s="448" t="s">
        <v>554</v>
      </c>
      <c r="C39" s="803" t="s">
        <v>745</v>
      </c>
      <c r="D39" s="700" t="s">
        <v>723</v>
      </c>
      <c r="E39" s="463" t="s">
        <v>724</v>
      </c>
      <c r="F39" s="390">
        <f>'Interactive Data Grading'!D271</f>
        <v>10</v>
      </c>
      <c r="G39" s="152"/>
      <c r="H39" s="847">
        <f>IF(OR(W39=1,AND(W39=2,Q39=0)),O39*SUM(H23:H24),Q39)</f>
        <v>3.5000000000000003E-2</v>
      </c>
      <c r="I39" s="728"/>
      <c r="J39" s="805" t="str">
        <f>IF('Start Page'!$AB$22="million gallons (US)","MG/Yr",IF('Start Page'!$AB$22="Megalitres (thousand cubic metres)","ML/Yr",IF('Start Page'!$AB$22="acre-feet","Acre-ft/Yr","")))</f>
        <v>MG/Yr</v>
      </c>
      <c r="K39" s="805"/>
      <c r="L39" s="805"/>
      <c r="M39" s="805"/>
      <c r="N39" s="805"/>
      <c r="O39" s="391">
        <v>2.5000000000000001E-3</v>
      </c>
      <c r="P39" s="467" t="s">
        <v>614</v>
      </c>
      <c r="Q39" s="992">
        <v>3.5000000000000003E-2</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746</v>
      </c>
      <c r="D41" s="700" t="s">
        <v>723</v>
      </c>
      <c r="E41" s="463" t="s">
        <v>724</v>
      </c>
      <c r="F41" s="390">
        <f>'Interactive Data Grading'!D300</f>
        <v>6</v>
      </c>
      <c r="G41" s="152"/>
      <c r="H41" s="848">
        <f>IF(OR(T41="Select…..",T41=""),"Select under/over",IF(W41=1,((H23+H25)/(1-(O41*X41)))-(H23+H25),Q41*X41))</f>
        <v>0.29281632653061251</v>
      </c>
      <c r="I41" s="728"/>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2" t="s">
        <v>747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723</v>
      </c>
      <c r="E43" s="463" t="s">
        <v>724</v>
      </c>
      <c r="F43" s="390">
        <f>'Interactive Data Grading'!D322</f>
        <v>3</v>
      </c>
      <c r="G43" s="152"/>
      <c r="H43" s="727">
        <f>IF(OR(W43=1,AND(W43=2,Q43=0)),O43*SUM(H23:H24),Q43)</f>
        <v>3.338E-2</v>
      </c>
      <c r="I43" s="728"/>
      <c r="J43" s="805" t="str">
        <f>IF('Start Page'!$AB$22="million gallons (US)","MG/Yr",IF('Start Page'!$AB$22="Megalitres (thousand cubic metres)","ML/Yr",IF('Start Page'!$AB$22="acre-feet","Acre-ft/Yr","")))</f>
        <v>MG/Yr</v>
      </c>
      <c r="K43" s="805"/>
      <c r="L43" s="805"/>
      <c r="M43" s="805"/>
      <c r="N43" s="805"/>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0.36119632653061257</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0.27248979591836786</v>
      </c>
      <c r="Y50" s="854">
        <f>IFERROR(IF(W41=1,((H25)/(1-(O41*X41)))-(H25),Q41*H25/(H23+H25)),0)</f>
        <v>2.0326530612244875E-2</v>
      </c>
      <c r="Z50" s="855">
        <f>SUM(X50:Y50)</f>
        <v>0.29281632653061274</v>
      </c>
      <c r="AA50" s="990"/>
      <c r="AB50" s="990"/>
      <c r="AC50" s="990"/>
    </row>
    <row r="51" spans="1:29">
      <c r="A51" s="827"/>
      <c r="B51" s="448"/>
      <c r="C51" s="996" t="s">
        <v>754</v>
      </c>
      <c r="D51" s="996"/>
      <c r="E51" s="996"/>
      <c r="F51" s="996"/>
      <c r="G51" s="728"/>
      <c r="H51" s="727">
        <f>IFERROR(H35-H46,"")</f>
        <v>1.7492750807294553</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3779.4334693877622</v>
      </c>
      <c r="Y51" s="856">
        <f>Y50*input_VPC</f>
        <v>22.795797551020382</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2.1104714072600679</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4.3804714072600675</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723</v>
      </c>
      <c r="E61" s="463" t="s">
        <v>724</v>
      </c>
      <c r="F61" s="390">
        <f>'Interactive Data Grading'!D350</f>
        <v>10</v>
      </c>
      <c r="G61" s="47"/>
      <c r="H61" s="256">
        <v>4.9000000000000004</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723</v>
      </c>
      <c r="E62" s="463" t="s">
        <v>724</v>
      </c>
      <c r="F62" s="390">
        <f>'Interactive Data Grading'!D374</f>
        <v>10</v>
      </c>
      <c r="G62" s="47"/>
      <c r="H62" s="396">
        <v>311</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63.469387755102034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723</v>
      </c>
      <c r="E66" s="463" t="s">
        <v>724</v>
      </c>
      <c r="F66" s="390">
        <f>'Interactive Data Grading'!D398</f>
        <v>10</v>
      </c>
      <c r="G66" s="47"/>
      <c r="H66" s="256">
        <v>21.1</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21.1</v>
      </c>
      <c r="X67" s="171" t="s">
        <v>769</v>
      </c>
      <c r="Y67" s="171"/>
      <c r="Z67" s="171"/>
    </row>
    <row r="68" spans="1:26">
      <c r="A68" s="827"/>
      <c r="B68" s="448" t="s">
        <v>577</v>
      </c>
      <c r="C68" s="803" t="s">
        <v>770</v>
      </c>
      <c r="D68" s="700" t="s">
        <v>723</v>
      </c>
      <c r="E68" s="463" t="s">
        <v>724</v>
      </c>
      <c r="F68" s="390">
        <f>'Interactive Data Grading'!D422</f>
        <v>8</v>
      </c>
      <c r="G68" s="47"/>
      <c r="H68" s="256">
        <v>56</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3" t="s">
        <v>774</v>
      </c>
      <c r="D76" s="700" t="s">
        <v>723</v>
      </c>
      <c r="E76" s="425" t="s">
        <v>724</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583</v>
      </c>
      <c r="C77" s="803" t="s">
        <v>777</v>
      </c>
      <c r="D77" s="700" t="s">
        <v>723</v>
      </c>
      <c r="E77" s="463" t="s">
        <v>724</v>
      </c>
      <c r="F77" s="390">
        <f>'Interactive Data Grading'!D469</f>
        <v>10</v>
      </c>
      <c r="G77" s="118"/>
      <c r="H77" s="864">
        <v>1121.48</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116149</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Billed Metered (BMAC)</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D270" sqref="D27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- 880 Turbotville</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A system specific volume has been entered</v>
      </c>
      <c r="F266" s="258"/>
      <c r="H266" s="669" t="s">
        <v>849</v>
      </c>
      <c r="I266" s="676"/>
      <c r="J266" s="669" t="s">
        <v>845</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42"/>
      <c r="O270" s="1042"/>
    </row>
    <row r="271" spans="1:18" ht="27.6" customHeight="1">
      <c r="A271" s="163"/>
      <c r="B271" s="163"/>
      <c r="C271" s="259" t="s">
        <v>808</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- 880 Turbotville</v>
      </c>
      <c r="Q3" s="552"/>
      <c r="R3" s="552"/>
      <c r="S3" s="552"/>
      <c r="T3" s="552"/>
      <c r="U3" s="552"/>
      <c r="V3" s="552"/>
      <c r="W3" s="552"/>
      <c r="X3" s="552"/>
      <c r="Y3" s="552"/>
      <c r="Z3" s="552"/>
      <c r="AA3" s="552"/>
      <c r="AB3" s="552"/>
      <c r="AC3" s="549"/>
      <c r="AD3" s="550"/>
      <c r="AE3" s="551"/>
      <c r="AF3" s="548" t="s">
        <v>705</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68">
        <f>BR6</f>
        <v>92</v>
      </c>
      <c r="K7" s="1068"/>
      <c r="L7" s="655"/>
      <c r="M7" s="655"/>
      <c r="N7" s="655"/>
      <c r="O7" s="655"/>
      <c r="P7" s="655"/>
      <c r="Q7" s="654" t="s">
        <v>888</v>
      </c>
      <c r="R7" s="1067" t="str">
        <f>IF(BO2&gt;0,"",BR4)</f>
        <v>Tier V (91-100)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585</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21.583398342364152</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21.583398342364152</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21.583398342364152</v>
      </c>
      <c r="AB18" s="1061"/>
      <c r="AC18" s="1061"/>
      <c r="AD18" s="730" t="str">
        <f>BD13</f>
        <v>$/conn/year</v>
      </c>
      <c r="AE18" s="731"/>
      <c r="AF18" s="732"/>
      <c r="AG18" s="732"/>
      <c r="AH18" s="733"/>
      <c r="AI18" s="733"/>
      <c r="AJ18" s="731"/>
      <c r="AK18" s="1061">
        <f>BS22</f>
        <v>15.275433655751712</v>
      </c>
      <c r="AL18" s="1061"/>
      <c r="AM18" s="1061"/>
      <c r="AN18" s="730" t="str">
        <f>BD13</f>
        <v>$/conn/year</v>
      </c>
      <c r="AO18" s="731"/>
      <c r="AP18" s="731"/>
      <c r="AQ18" s="731"/>
      <c r="AR18" s="731"/>
      <c r="AS18" s="731"/>
      <c r="AT18" s="731"/>
      <c r="AU18" s="1061">
        <f>BS29</f>
        <v>6.3079646866124417</v>
      </c>
      <c r="AV18" s="1061"/>
      <c r="AW18" s="1061"/>
      <c r="AX18" s="730" t="str">
        <f>BD13</f>
        <v>$/conn/year</v>
      </c>
      <c r="AY18" s="576"/>
      <c r="AZ18" s="193"/>
      <c r="BA18" s="193"/>
      <c r="BB18" s="272"/>
      <c r="BC18" s="89"/>
      <c r="BD18" s="50" t="s">
        <v>911</v>
      </c>
      <c r="BE18" s="182">
        <f>(((5.41*Worksheet!H61)+(0.15*Worksheet!H62)+(7.5*(Worksheet!H62*Worksheet!W67/5280)))*Worksheet!H68)/1000000*365</f>
        <v>1.6858945679545456</v>
      </c>
      <c r="BN18" s="535"/>
      <c r="BO18" s="591" t="s">
        <v>928</v>
      </c>
      <c r="BP18" s="593">
        <f>BQ18-BQ17</f>
        <v>8.9525318444022357</v>
      </c>
      <c r="BQ18" s="758">
        <f t="shared" si="0"/>
        <v>18.283980813778896</v>
      </c>
      <c r="BR18" s="591" t="s">
        <v>900</v>
      </c>
      <c r="BS18" s="595">
        <f>SUM(BP16:BP20)-SUM(BS16,BS17)</f>
        <v>93.094580244371969</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5.1738136678544686</v>
      </c>
      <c r="BF19" s="181">
        <f>BE19*325851.427242/Worksheet!H62/365</f>
        <v>14.851733849751536</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10.241513100000001</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15.275433655751712</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15.275433655751712</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result is below 10th %ile</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result is below 10th %ile</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32.8029879978914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18.592004644849297</v>
      </c>
      <c r="AB29" s="1062"/>
      <c r="AC29" s="1062"/>
      <c r="AD29" s="729" t="str">
        <f>BD10</f>
        <v>gal/conn/day</v>
      </c>
      <c r="AE29" s="729"/>
      <c r="AF29" s="734"/>
      <c r="AG29" s="734"/>
      <c r="AH29" s="575"/>
      <c r="AI29" s="575"/>
      <c r="AJ29" s="575"/>
      <c r="AK29" s="1062">
        <f>BS43</f>
        <v>3.1819259704057838</v>
      </c>
      <c r="AL29" s="1062"/>
      <c r="AM29" s="1062"/>
      <c r="AN29" s="730" t="str">
        <f>BD10</f>
        <v>gal/conn/day</v>
      </c>
      <c r="AO29" s="575"/>
      <c r="AP29" s="575"/>
      <c r="AQ29" s="575"/>
      <c r="AR29" s="575"/>
      <c r="AS29" s="575"/>
      <c r="AT29" s="575"/>
      <c r="AU29" s="1057">
        <f>BS55</f>
        <v>15.410078674443513</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6.3079646866124417</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6.3079646866124417</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56</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64.217965729923577</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18.592004644849297</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0</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248.29958819116263</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1.0375945886413334</v>
      </c>
      <c r="AI41" s="1056"/>
      <c r="AJ41" s="1056"/>
      <c r="AK41" s="729" t="s">
        <v>949</v>
      </c>
      <c r="AL41" s="661"/>
      <c r="AM41" s="662"/>
      <c r="AN41" s="658"/>
      <c r="AO41" s="658"/>
      <c r="AP41" s="658"/>
      <c r="AQ41" s="658"/>
      <c r="AR41" s="658"/>
      <c r="AS41" s="1055">
        <f>BS69</f>
        <v>978.06825872488412</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1.6858945679545456</v>
      </c>
      <c r="AL43" s="1054"/>
      <c r="AM43" s="1054"/>
      <c r="AN43" s="1054"/>
      <c r="AO43" s="773" t="str">
        <f>BD7</f>
        <v>MG/Yr</v>
      </c>
      <c r="AP43" s="575"/>
      <c r="AQ43" s="575"/>
      <c r="AR43" s="575"/>
      <c r="AS43" s="1054">
        <f>IF(BG19=1,BF19,IFERROR(AK43*1000000/Worksheet!H62/365,""))</f>
        <v>14.851733849751536</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3.1819259704057838</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3.1819259704057838</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29.198936624847388</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744</v>
      </c>
      <c r="I49" s="1049">
        <f>IF(ISBLANK('Start Page'!$AB$22),"",Worksheet!H46)</f>
        <v>0.36119632653061257</v>
      </c>
      <c r="J49" s="1049"/>
      <c r="K49" s="1049"/>
      <c r="L49" s="1049"/>
      <c r="M49" s="558"/>
      <c r="N49" s="1050">
        <f>IF(OR(ISBLANK('Start Page'!$AB$22),ISBLANK(Worksheet!J76)),"",(SUM(Worksheet!H43+Worksheet!H39+Worksheet!X50)*Worksheet!H76)*INDEX(Sheet1!B2:D4,MATCH('Start Page'!AB22,Sheet1!A2:A4,0),MATCH(Worksheet!J76,Sheet1!B1:D1,0))+Worksheet!Y50*Worksheet!H77)</f>
        <v>4750.6598669387822</v>
      </c>
      <c r="O49" s="1050"/>
      <c r="P49" s="1050"/>
      <c r="Q49" s="1050"/>
      <c r="R49" s="1048" t="s">
        <v>579</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1.7492750807294553</v>
      </c>
      <c r="J50" s="1049"/>
      <c r="K50" s="1049"/>
      <c r="L50" s="1049"/>
      <c r="M50" s="558"/>
      <c r="N50" s="1050">
        <f>IFERROR(IF(Worksheet!H41="Select under/over","",IF(ISBLANK('Start Page'!AB22),"",Worksheet!H51*(IF(BD29=FALSE,Worksheet!H77,IF(BD29=TRUE,Worksheet!H76*INDEX(Sheet1!B2:D4,MATCH('Start Page'!AB22,Sheet1!A2:A4,0),MATCH(Worksheet!J76,Sheet1!B1:D1,0)),""))))),"")</f>
        <v>1961.7770175364694</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2.27</v>
      </c>
      <c r="J51" s="1049"/>
      <c r="K51" s="1049"/>
      <c r="L51" s="1049"/>
      <c r="M51" s="558"/>
      <c r="N51" s="1050">
        <f>IFERROR(IF(SUM(Sheet1!D90:D91)=0,"",SUM(Sheet1!D90:D91)),"")</f>
        <v>2545.7596000000003</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4.3804714072600675</v>
      </c>
      <c r="J52" s="1049"/>
      <c r="K52" s="1049"/>
      <c r="L52" s="1049"/>
      <c r="M52" s="558"/>
      <c r="N52" s="1050">
        <f>IF(SUM(N49:N51)=0,"",SUM(N49:N51))</f>
        <v>9258.1964844752511</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15.410078674443513</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0</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229.01903234921301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1.0375945886413334</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1.0375945886413334</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10.22858313852791</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978.06825872488412</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978.06825872488412</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11073.000650975619</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3.6658085264275115</v>
      </c>
      <c r="BQ83" s="608">
        <f>BP83+BQ78</f>
        <v>56</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- 880 Turbotville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4 MG/Yr</v>
      </c>
    </row>
    <row r="79" spans="1:6" ht="16.5">
      <c r="B79" s="46"/>
      <c r="C79" s="46"/>
      <c r="D79" s="46"/>
      <c r="E79" s="8" t="str">
        <f>IFERROR("Total Cost of NRW = $"&amp;TEXT(SUM(D90,D91,D94,D95,D96,D97,D99),"#,###")&amp;"/Yr","")</f>
        <v>Total Cost of NRW = $9,258/Yr</v>
      </c>
      <c r="F79" s="46"/>
    </row>
    <row r="80" spans="1:6">
      <c r="A80"/>
      <c r="B80"/>
      <c r="C80" s="47" t="str">
        <f>"Volume ("&amp;Worksheet!J15&amp;")"</f>
        <v>Volume (MG/Yr)</v>
      </c>
      <c r="D80" s="47" t="s">
        <v>1041</v>
      </c>
      <c r="E80" s="79" t="s">
        <v>1042</v>
      </c>
      <c r="F80"/>
    </row>
    <row r="81" spans="1:6">
      <c r="A81" s="118" t="s">
        <v>1043</v>
      </c>
      <c r="B81" s="118"/>
      <c r="C81" s="100">
        <f>IF(Dashboard!BO$2&gt;0,"",Worksheet!H15)</f>
        <v>17.829999999999998</v>
      </c>
      <c r="D81" s="872">
        <f>IF(Dashboard!BO$2&gt;0,"",C81*(Worksheet!$H$77))</f>
        <v>19995.988399999998</v>
      </c>
      <c r="E81" s="489">
        <f>D81</f>
        <v>19995.988399999998</v>
      </c>
      <c r="F81" s="75" t="s">
        <v>1044</v>
      </c>
    </row>
    <row r="82" spans="1:6">
      <c r="A82" s="118" t="str">
        <f>A81&amp;" MA"</f>
        <v>Vol. from own sources: MA</v>
      </c>
      <c r="B82" s="118"/>
      <c r="C82" s="100">
        <f>IF(Dashboard!BO$2&gt;0,"",Worksheet!X15)</f>
        <v>9.8064999999999986E-2</v>
      </c>
      <c r="D82" s="872">
        <f>IF(Dashboard!BO$2&gt;0,"",C82*(Worksheet!$H$77))</f>
        <v>109.97793619999999</v>
      </c>
      <c r="E82" s="489">
        <f t="shared" ref="E82:E100" si="0">D82</f>
        <v>109.97793619999999</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17.732471407260068</v>
      </c>
      <c r="D87" s="872">
        <f>IF(Dashboard!BO$2&gt;0,"",C87*(Worksheet!$H$77))</f>
        <v>19886.612033814021</v>
      </c>
      <c r="E87" s="489">
        <f t="shared" si="0"/>
        <v>19886.612033814021</v>
      </c>
      <c r="F87"/>
    </row>
    <row r="88" spans="1:6">
      <c r="A88" s="118" t="s">
        <v>1047</v>
      </c>
      <c r="B88"/>
      <c r="C88" s="100">
        <f>IF(Dashboard!BO$2&gt;0,"",Worksheet!H23)</f>
        <v>13.352</v>
      </c>
      <c r="D88" s="872">
        <f>IF(Dashboard!BO$2&gt;0,"",C88*(Worksheet!$H$76*1000))</f>
        <v>185192.24</v>
      </c>
      <c r="E88" s="489">
        <f t="shared" si="0"/>
        <v>185192.24</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0.996</v>
      </c>
      <c r="D90" s="873">
        <f>IF(Dashboard!BO$2&gt;0,"",IF(ISBLANK('Start Page'!AB22),"",IF(AND(ISBLANK(Worksheet!H77),Worksheet!Z77&lt;&gt;1),"",Worksheet!H25*(IF(Dashboard!BD29=FALSE,Worksheet!H77,IF(Dashboard!BD29=TRUE,Worksheet!H76*INDEX(Sheet1!B2:D4,MATCH('Start Page'!AB22,Sheet1!A2:A4,0),MATCH(Worksheet!J76,Sheet1!B1:D1,0)),""))))))</f>
        <v>1116.9940799999999</v>
      </c>
      <c r="E90" s="796">
        <f t="shared" si="0"/>
        <v>1116.9940799999999</v>
      </c>
      <c r="F90"/>
    </row>
    <row r="91" spans="1:6">
      <c r="A91" s="797" t="str">
        <f>"Unbilled Unmetered (UUAC) valued at "&amp;A76&amp;""</f>
        <v xml:space="preserve">Unbilled Unmetered (UUAC) valued at </v>
      </c>
      <c r="B91" s="794"/>
      <c r="C91" s="795">
        <f>IF(Dashboard!BO$2&gt;0,"",Worksheet!H26)</f>
        <v>1.274</v>
      </c>
      <c r="D91" s="873">
        <f>IF(Dashboard!BO$2&gt;0,"",IF(ISBLANK('Start Page'!AB22),"",IF(AND(ISBLANK(Worksheet!H77),Worksheet!Z77&lt;&gt;1),"",Worksheet!H26*(IF(Dashboard!BD29=FALSE,Worksheet!H77,IF(Dashboard!BD29=TRUE,Worksheet!H76*INDEX(Sheet1!B2:D4,MATCH('Start Page'!AB22,Sheet1!A2:A4,0),MATCH(Worksheet!J76,Sheet1!B1:D1,0)),""))))))</f>
        <v>1428.7655200000002</v>
      </c>
      <c r="E91" s="796">
        <f t="shared" si="0"/>
        <v>1428.7655200000002</v>
      </c>
      <c r="F91"/>
    </row>
    <row r="92" spans="1:6">
      <c r="A92" s="118" t="s">
        <v>1049</v>
      </c>
      <c r="B92" s="874" t="s">
        <v>1050</v>
      </c>
      <c r="C92" s="100">
        <f>IF(Dashboard!BO$2&gt;0,"",Worksheet!H30)</f>
        <v>15.622</v>
      </c>
      <c r="D92" s="872">
        <f>IF(Dashboard!BO$2&gt;0,"",C92*(Worksheet!$H$76*1000))</f>
        <v>216677.13999999998</v>
      </c>
      <c r="E92" s="489">
        <f t="shared" si="0"/>
        <v>216677.13999999998</v>
      </c>
      <c r="F92"/>
    </row>
    <row r="93" spans="1:6">
      <c r="A93" t="s">
        <v>1051</v>
      </c>
      <c r="B93"/>
      <c r="C93" s="100">
        <f>IF(Dashboard!BO$2&gt;0,"",Worksheet!H35)</f>
        <v>2.1104714072600679</v>
      </c>
      <c r="D93" s="872"/>
      <c r="E93" s="489">
        <f t="shared" si="0"/>
        <v>0</v>
      </c>
      <c r="F93"/>
    </row>
    <row r="94" spans="1:6">
      <c r="A94" s="171" t="s">
        <v>1052</v>
      </c>
      <c r="B94" s="118"/>
      <c r="C94" s="102">
        <f>IF(Dashboard!BO$2&gt;0,"",Worksheet!H43)</f>
        <v>3.338E-2</v>
      </c>
      <c r="D94" s="875">
        <f>IF(Dashboard!BO$2&gt;0,"",IF(ISBLANK('Start Page'!AB22),"",IF(AND(ISBLANK(Worksheet!H77),Worksheet!Z77&lt;&gt;1),"",C94*Worksheet!H76*INDEX(Sheet1!B2:D4,MATCH('Start Page'!AB22,Sheet1!A2:A4,0),MATCH(Worksheet!J76,Sheet1!B1:D1,0)))))</f>
        <v>462.98059999999998</v>
      </c>
      <c r="E94" s="490">
        <f t="shared" si="0"/>
        <v>462.98059999999998</v>
      </c>
      <c r="F94" s="103"/>
    </row>
    <row r="95" spans="1:6">
      <c r="A95" s="785" t="s">
        <v>1053</v>
      </c>
      <c r="B95" s="785"/>
      <c r="C95" s="786">
        <f>Worksheet!X50</f>
        <v>0.27248979591836786</v>
      </c>
      <c r="D95" s="876">
        <f>IF(Dashboard!BO$2&gt;0,"",IF(ISBLANK('Start Page'!AB22),"",IF(AND(ISBLANK(Worksheet!H77),Worksheet!Z77&lt;&gt;1),"",C95*Worksheet!H76*INDEX(Sheet1!B2:D4,MATCH('Start Page'!AB22,Sheet1!A2:A4,0),MATCH(Worksheet!J76,Sheet1!B1:D1,0)))))</f>
        <v>3779.4334693877622</v>
      </c>
      <c r="E95" s="787">
        <f t="shared" si="0"/>
        <v>3779.4334693877622</v>
      </c>
      <c r="F95" s="103"/>
    </row>
    <row r="96" spans="1:6">
      <c r="A96" s="785" t="s">
        <v>1054</v>
      </c>
      <c r="B96" s="785"/>
      <c r="C96" s="786">
        <f>Worksheet!Y50</f>
        <v>2.0326530612244875E-2</v>
      </c>
      <c r="D96" s="876">
        <f>C96*input_VPC</f>
        <v>22.795797551020382</v>
      </c>
      <c r="E96" s="787">
        <f t="shared" si="0"/>
        <v>22.795797551020382</v>
      </c>
      <c r="F96" s="788" t="s">
        <v>1055</v>
      </c>
    </row>
    <row r="97" spans="1:7">
      <c r="A97" s="171" t="s">
        <v>1056</v>
      </c>
      <c r="B97" s="118"/>
      <c r="C97" s="102">
        <f>IF(Dashboard!BO$2&gt;0,"",Worksheet!H39)</f>
        <v>3.5000000000000003E-2</v>
      </c>
      <c r="D97" s="875">
        <f>IF(Dashboard!BO$2&gt;0,"",IF(ISBLANK('Start Page'!AB22),"",IF(AND(ISBLANK(Worksheet!H77),Worksheet!Z77&lt;&gt;1),"",C97*Worksheet!H76*INDEX(Sheet1!B2:D4,MATCH('Start Page'!AB22,Sheet1!A2:A4,0),MATCH(Worksheet!J76,Sheet1!B1:D1,0)))))</f>
        <v>485.45</v>
      </c>
      <c r="E97" s="490">
        <f t="shared" si="0"/>
        <v>485.45</v>
      </c>
      <c r="F97" s="103"/>
    </row>
    <row r="98" spans="1:7">
      <c r="A98" s="792" t="s">
        <v>749</v>
      </c>
      <c r="B98" s="792"/>
      <c r="C98" s="793">
        <f>IF(Dashboard!BO$2&gt;0,"",Worksheet!H46)</f>
        <v>0.36119632653061257</v>
      </c>
      <c r="D98" s="877">
        <f>IF(Dashboard!BO$2&gt;0,"",SUM(D94:D97))</f>
        <v>4750.6598669387831</v>
      </c>
      <c r="E98" s="489">
        <f t="shared" si="0"/>
        <v>4750.6598669387831</v>
      </c>
      <c r="F98"/>
    </row>
    <row r="99" spans="1:7">
      <c r="A99" s="171" t="str">
        <f>"Real Losses valued at "&amp;A76&amp;""</f>
        <v xml:space="preserve">Real Losses valued at </v>
      </c>
      <c r="B99" s="118"/>
      <c r="C99" s="102">
        <f>IF(Dashboard!BO$2&gt;0,"",Worksheet!H51)</f>
        <v>1.7492750807294553</v>
      </c>
      <c r="D99" s="878">
        <f>IF(Dashboard!BO$2&gt;0,"",Dashboard!N50)</f>
        <v>1961.7770175364694</v>
      </c>
      <c r="E99" s="490">
        <f t="shared" si="0"/>
        <v>1961.7770175364694</v>
      </c>
      <c r="F99" s="489"/>
    </row>
    <row r="100" spans="1:7">
      <c r="A100" t="s">
        <v>757</v>
      </c>
      <c r="B100"/>
      <c r="C100" s="100">
        <f>IF(Dashboard!BO$2&gt;0,"",Worksheet!H57)</f>
        <v>4.3804714072600675</v>
      </c>
      <c r="D100" s="101">
        <f>IF(Dashboard!BO$2&gt;0,"",D98+D99+D90+D91)</f>
        <v>9258.1964844752529</v>
      </c>
      <c r="E100" s="489">
        <f t="shared" si="0"/>
        <v>9258.1964844752529</v>
      </c>
      <c r="F100"/>
      <c r="G100" s="104"/>
    </row>
    <row r="101" spans="1:7">
      <c r="A101" s="789"/>
    </row>
    <row r="102" spans="1:7">
      <c r="A102" s="789" t="s">
        <v>1057</v>
      </c>
      <c r="C102" s="790">
        <f>C95+C96</f>
        <v>0.29281632653061274</v>
      </c>
      <c r="D102" s="104">
        <f>D95+D96</f>
        <v>3802.2292669387825</v>
      </c>
      <c r="E102" s="104">
        <f>E95+E96</f>
        <v>3802.2292669387825</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- 880 Turbotville</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13.352</v>
      </c>
      <c r="H12" s="881"/>
      <c r="I12" s="4"/>
      <c r="K12" s="756"/>
    </row>
    <row r="13" spans="2:16" ht="22.5" customHeight="1">
      <c r="B13" s="1089"/>
      <c r="C13" s="288"/>
      <c r="D13" s="286"/>
      <c r="E13" s="1098"/>
      <c r="F13" s="290">
        <f>Worksheet!H23+Worksheet!H24</f>
        <v>13.352</v>
      </c>
      <c r="G13" s="485" t="s">
        <v>1069</v>
      </c>
      <c r="H13" s="291">
        <f>SUM(G12+G14)</f>
        <v>13.352</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15.622</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0.996</v>
      </c>
      <c r="H16" s="1097"/>
      <c r="I16" s="4"/>
      <c r="K16" s="118"/>
    </row>
    <row r="17" spans="2:16" ht="22.5" customHeight="1">
      <c r="B17" s="299">
        <f>Worksheet!AG15</f>
        <v>17.732471407260068</v>
      </c>
      <c r="C17" s="300"/>
      <c r="D17" s="301"/>
      <c r="E17" s="194"/>
      <c r="F17" s="302">
        <f>Worksheet!H25+Worksheet!H26</f>
        <v>2.27</v>
      </c>
      <c r="G17" s="289" t="s">
        <v>1074</v>
      </c>
      <c r="H17" s="881"/>
      <c r="I17" s="4"/>
      <c r="K17" s="118"/>
      <c r="L17" s="99"/>
      <c r="M17" s="99"/>
      <c r="N17" s="99"/>
      <c r="O17" s="99"/>
      <c r="P17" s="99"/>
    </row>
    <row r="18" spans="2:16" ht="15.75" customHeight="1">
      <c r="B18" s="297"/>
      <c r="C18" s="1110" t="s">
        <v>1075</v>
      </c>
      <c r="D18" s="286"/>
      <c r="E18" s="303"/>
      <c r="F18" s="294"/>
      <c r="G18" s="304">
        <f>Worksheet!H26</f>
        <v>1.274</v>
      </c>
      <c r="H18" s="881"/>
      <c r="I18" s="4"/>
      <c r="K18" s="118"/>
    </row>
    <row r="19" spans="2:16" ht="22.5" customHeight="1">
      <c r="B19" s="297"/>
      <c r="C19" s="1110"/>
      <c r="D19" s="815" t="s">
        <v>1076</v>
      </c>
      <c r="E19" s="282"/>
      <c r="F19" s="884"/>
      <c r="G19" s="485" t="s">
        <v>1077</v>
      </c>
      <c r="H19" s="305">
        <f>Worksheet!H25+Worksheet!H26+Worksheet!H46+Worksheet!H51</f>
        <v>4.3804714072600675</v>
      </c>
      <c r="I19" s="4"/>
      <c r="K19" s="118"/>
      <c r="L19" s="99"/>
      <c r="M19" s="99"/>
      <c r="N19" s="99"/>
      <c r="O19" s="99"/>
      <c r="P19" s="99"/>
    </row>
    <row r="20" spans="2:16" ht="15.75" customHeight="1">
      <c r="B20" s="297"/>
      <c r="C20" s="306">
        <f>B17+B27</f>
        <v>17.732471407260068</v>
      </c>
      <c r="D20" s="286"/>
      <c r="E20" s="194"/>
      <c r="F20" s="307" t="s">
        <v>744</v>
      </c>
      <c r="G20" s="298">
        <f>Worksheet!H39</f>
        <v>3.5000000000000003E-2</v>
      </c>
      <c r="H20" s="881"/>
      <c r="I20" s="4"/>
      <c r="K20" s="118"/>
    </row>
    <row r="21" spans="2:16" ht="14.25" customHeight="1">
      <c r="B21" s="308"/>
      <c r="C21" s="309"/>
      <c r="D21" s="306">
        <f>Worksheet!H19</f>
        <v>17.732471407260068</v>
      </c>
      <c r="E21" s="310"/>
      <c r="F21" s="302">
        <f>Worksheet!H46</f>
        <v>0.36119632653061257</v>
      </c>
      <c r="G21" s="289" t="s">
        <v>1078</v>
      </c>
      <c r="H21" s="881"/>
      <c r="I21" s="4"/>
      <c r="K21" s="118"/>
      <c r="L21" s="99"/>
      <c r="M21" s="99"/>
      <c r="N21" s="99"/>
      <c r="O21" s="99"/>
      <c r="P21" s="99"/>
    </row>
    <row r="22" spans="2:16" ht="15.75" customHeight="1">
      <c r="B22" s="297"/>
      <c r="C22" s="285"/>
      <c r="D22" s="286"/>
      <c r="E22" s="194"/>
      <c r="F22" s="310"/>
      <c r="G22" s="311">
        <f>Worksheet!H41</f>
        <v>0.29281632653061251</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3.338E-2</v>
      </c>
      <c r="H24" s="881"/>
      <c r="I24" s="4"/>
      <c r="K24" s="118"/>
    </row>
    <row r="25" spans="2:16" ht="26.25" customHeight="1">
      <c r="B25" s="1088" t="s">
        <v>1080</v>
      </c>
      <c r="C25" s="288"/>
      <c r="D25" s="286"/>
      <c r="E25" s="313">
        <f>Worksheet!H53</f>
        <v>2.1104714072600679</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1.7492750807294553</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- 880 Turbotville</v>
      </c>
      <c r="H4" s="1112"/>
      <c r="I4" s="1112"/>
      <c r="J4" s="1112"/>
      <c r="K4" s="1112"/>
      <c r="L4" s="1112"/>
      <c r="M4" s="1112"/>
      <c r="N4" s="1112"/>
      <c r="O4" s="1113"/>
      <c r="S4" s="323"/>
      <c r="T4" s="91"/>
    </row>
    <row r="5" spans="1:20" ht="17.100000000000001" customHeight="1">
      <c r="A5" s="96"/>
      <c r="B5" s="322"/>
      <c r="E5"/>
      <c r="F5" s="274" t="s">
        <v>705</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V (91-100)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34.808552958727006</v>
      </c>
      <c r="AF98" s="35">
        <f t="shared" ref="AF98:AF103" si="0">AE98</f>
        <v>34.808552958727006</v>
      </c>
      <c r="AG98" s="35">
        <f>IF(AE98&lt;&gt;0,AF98/10,0)</f>
        <v>3.4808552958727006</v>
      </c>
      <c r="AH98" s="35">
        <f>IFERROR(AD98*AG98,0)</f>
        <v>34.808552958727006</v>
      </c>
      <c r="AI98" s="35">
        <f t="shared" ref="AI98:AI117" si="1">IF(AG98=0,0,AF98-AH98)</f>
        <v>0</v>
      </c>
      <c r="AJ98">
        <f t="array" aca="1" ref="AJ98" ca="1">SUM(1*(AI98&lt;$AI$98:$AI$117))+1+IF(ROW(AI98)-ROW($AI$98)=0,0,SUM(1*(AI98=OFFSET($AI$98,0,0,INDEX(ROW(AI98)-ROW($AI$98)+1,1)-1,1))))</f>
        <v>5</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0.19144704127299852</v>
      </c>
      <c r="AF99" s="35">
        <f t="shared" si="0"/>
        <v>0.19144704127299852</v>
      </c>
      <c r="AG99" s="35">
        <f t="shared" ref="AG99:AG117" si="3">IF(AE99&lt;&gt;0,AF99/10,0)</f>
        <v>1.9144704127299853E-2</v>
      </c>
      <c r="AH99" s="35">
        <f t="shared" ref="AH99:AH106" si="4">IFERROR(AD99*AG99,0)</f>
        <v>0.19144704127299852</v>
      </c>
      <c r="AI99" s="35">
        <f t="shared" si="1"/>
        <v>0</v>
      </c>
      <c r="AJ99">
        <f t="array" aca="1" ref="AJ99" ca="1">SUM(1*(AI99&lt;$AI$98:$AI$117))+1+IF(ROW(AI99)-ROW($AI$98)=0,0,SUM(1*(AI99=OFFSET($AI$98,0,0,INDEX(ROW(AI99)-ROW($AI$98)+1,1)-1,1))))</f>
        <v>6</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7</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9</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13.028157234457764</v>
      </c>
      <c r="AF104" s="67">
        <f t="shared" ref="AF104:AF117" si="8">AE104/$AE$120</f>
        <v>15.977928683768956</v>
      </c>
      <c r="AG104" s="67">
        <f t="shared" si="3"/>
        <v>1.5977928683768956</v>
      </c>
      <c r="AH104" s="67">
        <f t="shared" ref="AH104:AH117" si="9">AD104*AG104</f>
        <v>14.380135815392061</v>
      </c>
      <c r="AI104" s="67">
        <f t="shared" si="1"/>
        <v>1.5977928683768958</v>
      </c>
      <c r="AJ104" s="68">
        <f t="array" aca="1" ref="AJ104" ca="1">SUM(1*(AI104&lt;$AI$98:$AI$117))+1+IF(ROW(AI104)-ROW($AI$98)=0,0,SUM(1*(AI104=OFFSET($AI$98,0,0,INDEX(ROW(AI104)-ROW($AI$98)+1,1)-1,1))))</f>
        <v>3</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0.97184276554223581</v>
      </c>
      <c r="AF106" s="71">
        <f t="shared" si="8"/>
        <v>1.1918826369857609</v>
      </c>
      <c r="AG106" s="71">
        <f t="shared" si="3"/>
        <v>0.11918826369857609</v>
      </c>
      <c r="AH106" s="35">
        <f t="shared" si="4"/>
        <v>1.1918826369857609</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2</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14</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4</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91.963527886340088</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7AAB103F-4B46-4248-80E8-A61C2C909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