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BD5BF833-4AD1-425A-BF3B-EB09875D5C3C}"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<sst xmlns="http://schemas.openxmlformats.org/spreadsheetml/2006/main" count="2545" uniqueCount="1284">
  <si>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</si>
  <si>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</si>
  <si>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</si>
  <si>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</si>
  <si>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</si>
  <si>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</si>
  <si>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</si>
  <si>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</si>
  <si>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</si>
  <si>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</si>
  <si>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</si>
  <si>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</si>
  <si>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</si>
  <si>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</si>
  <si>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</si>
  <si>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</si>
  <si>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</si>
  <si>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</si>
  <si>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</si>
  <si>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</si>
  <si>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</si>
  <si>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</si>
  <si>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</si>
  <si>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</si>
  <si>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</si>
  <si>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</si>
  <si>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</si>
  <si>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</si>
  <si>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</si>
  <si>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</si>
  <si>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</si>
  <si>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</si>
  <si>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</si>
  <si>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</si>
  <si>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</si>
  <si>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</si>
  <si>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</si>
  <si>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</si>
  <si>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</si>
  <si>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</si>
  <si>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</si>
  <si>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</si>
  <si>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</si>
  <si>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</si>
  <si>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</si>
  <si>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</si>
  <si>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</si>
  <si>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</si>
  <si>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</si>
  <si>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</si>
  <si>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</si>
  <si>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</si>
  <si>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</si>
  <si>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</si>
  <si>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</si>
  <si>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</si>
  <si>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</si>
  <si>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</si>
  <si>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</si>
  <si>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</si>
  <si>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</si>
  <si>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</si>
  <si>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</si>
  <si>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</si>
  <si>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</si>
  <si>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</si>
  <si>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</si>
  <si>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</si>
  <si>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</si>
  <si>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</si>
  <si>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</si>
  <si>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</si>
  <si>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</si>
  <si>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</si>
  <si>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</si>
  <si>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</si>
  <si>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</si>
  <si>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</si>
  <si>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</si>
  <si>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</si>
  <si>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</si>
  <si>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</si>
  <si>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</si>
  <si>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</si>
  <si>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</si>
  <si>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</si>
  <si>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</si>
  <si>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</si>
  <si>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</si>
  <si>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</si>
  <si>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</si>
  <si>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</si>
  <si>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</si>
  <si>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</si>
  <si>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</si>
  <si>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</si>
  <si>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</si>
  <si>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</si>
  <si>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</si>
  <si>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</si>
  <si>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</si>
  <si>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</si>
  <si>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</si>
  <si>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</si>
  <si>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</si>
  <si>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</si>
  <si>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</si>
  <si>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</si>
  <si>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</si>
  <si>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</si>
  <si>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</si>
  <si>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</si>
  <si>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</si>
  <si>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</si>
  <si>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</si>
  <si>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</si>
  <si>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</si>
  <si>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</si>
  <si>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</si>
  <si>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</si>
  <si>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</si>
  <si>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</si>
  <si>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</si>
  <si>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</si>
  <si>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</si>
  <si>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</si>
  <si>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</si>
  <si>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</si>
  <si>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</si>
  <si>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</si>
  <si>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</si>
  <si>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</si>
  <si>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</si>
  <si>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</si>
  <si>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</si>
  <si>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</si>
  <si>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</si>
  <si>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</si>
  <si>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</si>
  <si>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</si>
  <si>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</si>
  <si>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</si>
  <si>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</si>
  <si>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</si>
  <si>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</si>
  <si>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</si>
  <si>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</si>
  <si>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</si>
  <si>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</si>
  <si>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</si>
  <si>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</si>
  <si>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</si>
  <si>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</si>
  <si>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</si>
  <si>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</si>
  <si>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</si>
  <si>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</si>
  <si>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</si>
  <si>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</si>
  <si>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</si>
  <si>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</si>
  <si>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</si>
  <si>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</si>
  <si>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</si>
  <si>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</si>
  <si>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</si>
  <si>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</si>
  <si>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</si>
  <si>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</si>
  <si>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</si>
  <si>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</si>
  <si>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</si>
  <si>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</si>
  <si>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</si>
  <si>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</si>
  <si>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</si>
  <si>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</si>
  <si>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</si>
  <si>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</si>
  <si>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</si>
  <si>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</si>
  <si>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</si>
  <si>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</si>
  <si>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</si>
  <si>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</si>
  <si>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</si>
  <si>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</si>
  <si>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</si>
  <si>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</si>
  <si>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</si>
  <si>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</si>
  <si>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</si>
  <si>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</si>
  <si>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</si>
  <si>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</si>
  <si>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</si>
  <si>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</si>
  <si>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</si>
  <si>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</si>
  <si>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</si>
  <si>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</si>
  <si>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</si>
  <si>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</si>
  <si>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</si>
  <si>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</si>
  <si>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</si>
  <si>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</si>
  <si>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</si>
  <si>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</si>
  <si>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</si>
  <si>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</si>
  <si>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</si>
  <si>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</si>
  <si>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</si>
  <si>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</si>
  <si>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</si>
  <si>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</si>
  <si>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</si>
  <si>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</si>
  <si>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</si>
  <si>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</si>
  <si>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</si>
  <si>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</si>
  <si>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</si>
  <si>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</si>
  <si>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</si>
  <si>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</si>
  <si>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</si>
  <si>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</si>
  <si>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</si>
  <si>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</si>
  <si>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</si>
  <si>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</si>
  <si>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</si>
  <si>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</si>
  <si>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</si>
  <si>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</si>
  <si>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</si>
  <si>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</si>
  <si>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</si>
  <si>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</si>
  <si>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</si>
  <si>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</si>
  <si>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</si>
  <si>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</si>
  <si>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</si>
  <si>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</si>
  <si>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</si>
  <si>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</si>
  <si>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</si>
  <si>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</si>
  <si>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</si>
  <si>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</si>
  <si>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</si>
  <si>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</si>
  <si>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</si>
  <si>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</si>
  <si>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</si>
  <si>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</si>
  <si>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</si>
  <si>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</si>
  <si>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</si>
  <si>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</si>
  <si>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</si>
  <si>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</si>
  <si>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</si>
  <si>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</si>
  <si>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</si>
  <si>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</si>
  <si>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</si>
  <si>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</si>
  <si>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</si>
  <si>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</si>
  <si>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</si>
  <si>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</si>
  <si>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</si>
  <si>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</si>
  <si>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</si>
  <si>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</si>
  <si>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</si>
  <si>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</si>
  <si>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</si>
  <si>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</si>
  <si>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</si>
  <si>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</si>
  <si>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</si>
  <si>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</si>
  <si>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</si>
  <si>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</si>
  <si>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</si>
  <si>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</si>
  <si>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</si>
  <si>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</si>
  <si>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</si>
  <si>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</si>
  <si>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</si>
  <si>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</si>
  <si>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</si>
  <si>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</si>
  <si>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</si>
  <si>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</si>
  <si>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</si>
  <si>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</si>
  <si>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</si>
  <si>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</si>
  <si>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</si>
  <si>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</si>
  <si>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</si>
  <si>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</si>
  <si>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</si>
  <si>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</si>
  <si>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</si>
  <si>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</si>
  <si>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</si>
  <si>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</si>
  <si>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</si>
  <si>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</si>
  <si>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</si>
  <si>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</si>
  <si>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</si>
  <si>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</si>
  <si>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</si>
  <si>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</si>
  <si>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</si>
  <si>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</si>
  <si>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</si>
  <si>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</si>
  <si>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</si>
  <si>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</si>
  <si>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</si>
  <si>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</si>
  <si>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</si>
  <si>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</si>
  <si>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</si>
  <si>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</si>
  <si>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</si>
  <si>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</si>
  <si>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</si>
  <si>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</si>
  <si>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</si>
  <si>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</si>
  <si>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</si>
  <si>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</si>
  <si>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</si>
  <si>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</si>
  <si>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</si>
  <si>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</si>
  <si>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</si>
  <si>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</si>
  <si>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</si>
  <si>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</si>
  <si>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</si>
  <si>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</si>
  <si>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</si>
  <si>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</si>
  <si>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</si>
  <si>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</si>
  <si>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</si>
  <si>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</si>
  <si>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</si>
  <si>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</si>
  <si>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</si>
  <si>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</si>
  <si>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</si>
  <si>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</si>
  <si>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</si>
  <si>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</si>
  <si>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</si>
  <si>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</si>
  <si>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</si>
  <si>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</si>
  <si>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</si>
  <si>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</si>
  <si>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</si>
  <si>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</si>
  <si>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</si>
  <si>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</si>
  <si>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</si>
  <si>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</si>
  <si>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</si>
  <si>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</si>
  <si>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</si>
  <si>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</si>
  <si>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</si>
  <si>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</si>
  <si>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</si>
  <si>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</si>
  <si>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</si>
  <si>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</si>
  <si>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</si>
  <si>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</si>
  <si>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</si>
  <si>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</si>
  <si>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</si>
  <si>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</si>
  <si>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</si>
  <si>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</si>
  <si>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</si>
  <si>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</si>
  <si>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</si>
  <si>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</si>
  <si>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</si>
  <si>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</si>
  <si>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</si>
  <si>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</si>
  <si>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</si>
  <si>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</si>
  <si>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</si>
  <si>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</si>
  <si>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</si>
  <si>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</si>
  <si>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</si>
  <si>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</si>
  <si>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</si>
  <si>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</si>
  <si>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</si>
  <si>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</si>
  <si>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</si>
  <si>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</si>
  <si>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</si>
  <si>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</si>
  <si>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</si>
  <si>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</si>
  <si>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</si>
  <si>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</si>
  <si>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</si>
  <si>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</si>
  <si>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</si>
  <si>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</si>
  <si>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</si>
  <si>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</si>
  <si>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</si>
  <si>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</si>
  <si>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</si>
  <si>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</si>
  <si>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</si>
  <si>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</si>
  <si>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</si>
  <si>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</si>
  <si>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</si>
  <si>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</si>
  <si>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</si>
  <si>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</si>
  <si>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</si>
  <si>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</si>
  <si>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</si>
  <si>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</si>
  <si>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</si>
  <si>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</si>
  <si>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</si>
  <si>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</si>
  <si>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</si>
  <si>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</si>
  <si>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</si>
  <si>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</si>
  <si>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</si>
  <si>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</si>
  <si>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</si>
  <si>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</si>
  <si>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</si>
  <si>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</si>
  <si>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</si>
  <si>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</si>
  <si>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</si>
  <si>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</si>
  <si>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</si>
  <si>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</si>
  <si>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</si>
  <si>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</si>
  <si>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</si>
  <si>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</si>
  <si>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</si>
  <si>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</si>
  <si>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</si>
  <si>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</si>
  <si>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</si>
  <si>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</si>
  <si>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</si>
  <si>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</si>
  <si>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</si>
  <si>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</si>
  <si>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</si>
  <si>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</si>
  <si>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</si>
  <si>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</si>
  <si>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</si>
  <si>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</si>
  <si>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</si>
  <si>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</si>
  <si>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</si>
  <si>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</si>
  <si>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</si>
  <si>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</si>
  <si>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</si>
  <si>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</si>
  <si>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</si>
  <si>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</si>
  <si>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</si>
  <si>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</si>
  <si>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</si>
  <si>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</si>
  <si>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</si>
  <si>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</si>
  <si>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</si>
  <si>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</si>
  <si>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</si>
  <si>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</si>
  <si>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</si>
  <si>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</si>
  <si>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</si>
  <si>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</si>
  <si>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</si>
  <si>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</si>
  <si>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</si>
  <si>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</si>
  <si>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</si>
  <si>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- 910 Scranton</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</si>
  <si>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</si>
  <si>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</si>
  <si>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</si>
  <si>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</si>
  <si>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</si>
  <si>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</si>
  <si>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</si>
  <si>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</si>
  <si>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</si>
  <si>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</si>
  <si>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</si>
  <si>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</si>
  <si>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</si>
  <si>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</si>
  <si>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</si>
  <si>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Scranton</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</si>
  <si>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</si>
  <si>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</si>
  <si>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</si>
  <si>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</si>
  <si>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</si>
  <si>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</si>
  <si>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</si>
  <si>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</si>
  <si>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</si>
  <si>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</si>
  <si>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</si>
  <si>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</si>
  <si>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</si>
  <si>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</si>
  <si>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</si>
  <si>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</si>
  <si>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</si>
  <si>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</si>
  <si>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</si>
  <si>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</si>
  <si>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</si>
  <si>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</si>
  <si>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</si>
  <si>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</si>
  <si>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</si>
  <si>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</si>
  <si>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</si>
  <si>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</si>
  <si>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</si>
  <si>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</si>
  <si>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</si>
  <si>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</si>
  <si>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</si>
  <si>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</si>
  <si>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</si>
  <si>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</si>
  <si>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</si>
  <si>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</si>
  <si>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</si>
  <si>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</si>
  <si>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</si>
  <si>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</si>
  <si>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</si>
  <si>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 xml:space="preserve">2359001, 2359008, 2409002, 2409011, 2409003, 2359006, 2359014, 2409013, 2400070, 2400072, 2400128, 2409010, 2350032 </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</si>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</sst>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125.15100211248117</c:v>
                </c:pt>
                <c:pt idx="1">
                  <c:v>2.0024160337996988</c:v>
                </c:pt>
                <c:pt idx="2">
                  <c:v>123.14858607868146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5.8965296431803207</c:v>
                </c:pt>
                <c:pt idx="1">
                  <c:v>0.26113598867139654</c:v>
                </c:pt>
                <c:pt idx="2">
                  <c:v>26.484332952072851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28.908132021091543</c:v>
                </c:pt>
                <c:pt idx="1">
                  <c:v>0.56875750335916142</c:v>
                </c:pt>
                <c:pt idx="2">
                  <c:v>41.617798395444474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91</c:v>
                </c:pt>
                <c:pt idx="1">
                  <c:v>1.2666666666666666</c:v>
                </c:pt>
                <c:pt idx="2" formatCode="General">
                  <c:v>107.73333333333333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7,254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232.428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385.27199999999999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23.854857499999998</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199.47695918367447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48.831000000000003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6368.763816197411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$7,721,990/Yr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133411.34771999999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221142.27528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330866.87352499994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2703676.7501575649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677285.97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3655606.7428591521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5.6785169995812712</c:v>
                </c:pt>
                <c:pt idx="1">
                  <c:v>9.0856271993300333E-2</c:v>
                </c:pt>
                <c:pt idx="2">
                  <c:v>5.5876607275879708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image" Target="../media/image10.emf"/><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517825</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09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09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09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09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096"/>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097"/>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098"/>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099"/>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100"/>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101"/>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102"/>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103"/>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104"/>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105"/>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106"/>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107"/>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108"/>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109"/>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110"/>
                  </a:ext>
                </a:extLst>
              </xdr:cNvPicPr>
            </xdr:nvPicPr>
            <xdr:blipFill rotWithShape="1">
              <a:blip xmlns:r="http://schemas.openxmlformats.org/officeDocument/2006/relationships" r:embed="rId2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3425775</xdr:colOff>
      <xdr:row>1</xdr:row>
      <xdr:rowOff>21936</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6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54" name="Picture 110">
              <a:extLst>
                <a:ext uri="{FF2B5EF4-FFF2-40B4-BE49-F238E27FC236}">
                  <a16:creationId xmlns:a16="http://schemas.microsoft.com/office/drawing/2014/main" id="{62AB9648-B367-54C6-8F63-46D3F77E7813}"/>
                </a:ext>
              </a:extLst>
            </xdr:cNvPr>
            <xdr:cNvPicPr>
              <a:picLocks noChangeAspect="1" noChangeArrowheads="1"/>
              <a:extLst>
                <a:ext uri="{84589F7E-364E-4C9E-8A38-B11213B215E9}">
                  <a14:cameraTool cellRange="GremlinShow" spid="_x0000_s6656363"/>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55" name="Picture 255">
              <a:extLst>
                <a:ext uri="{FF2B5EF4-FFF2-40B4-BE49-F238E27FC236}">
                  <a16:creationId xmlns:a16="http://schemas.microsoft.com/office/drawing/2014/main" id="{8710546A-D9B1-56C4-4EFC-62175B3CBF67}"/>
                </a:ext>
              </a:extLst>
            </xdr:cNvPr>
            <xdr:cNvPicPr>
              <a:picLocks noChangeAspect="1" noChangeArrowheads="1"/>
              <a:extLst>
                <a:ext uri="{84589F7E-364E-4C9E-8A38-B11213B215E9}">
                  <a14:cameraTool cellRange="GremlinShow" spid="_x0000_s6656364"/>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9" sqref="AB9:AL9"/>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504284</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C13" sqref="C13"/>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- 910 Scranton</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16840.891</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2.3999999999999998E-3</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40.418138399999997</v>
      </c>
      <c r="Y15" s="84">
        <f>$Y$19/$Y$18*H15</f>
        <v>34.916201117318437</v>
      </c>
      <c r="Z15" s="114">
        <f>$Y$19/$Y$18*ABS(X15)</f>
        <v>8.3798882681564241E-2</v>
      </c>
      <c r="AA15" s="754">
        <f>IF(W15=1,input_VOS-input_VOS/(1+O15*AB15),Q15*AB15)</f>
        <v>40.321367118915077</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16800.569632881085</v>
      </c>
    </row>
    <row r="16" spans="1:33">
      <c r="A16" s="827"/>
      <c r="B16" s="448" t="s">
        <v>524</v>
      </c>
      <c r="C16" s="803" t="s">
        <v>726</v>
      </c>
      <c r="D16" s="700"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3" t="s">
        <v>723</v>
      </c>
      <c r="L16" s="491"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729</v>
      </c>
      <c r="U18" s="444"/>
      <c r="V18" s="827"/>
      <c r="W18" s="383"/>
      <c r="X18" s="385"/>
      <c r="Y18" s="84">
        <f>H15+H16+H17+IF(H15&gt;0,ABS(X15),0)+IF(H16&gt;0,ABS(X16),0)+IF(H17&gt;0,(ABS(X17)),)</f>
        <v>16881.3091384</v>
      </c>
      <c r="Z18" s="115"/>
      <c r="AA18" s="118"/>
      <c r="AB18" s="206"/>
      <c r="AC18" s="206"/>
      <c r="AD18" s="206"/>
      <c r="AE18" s="206"/>
      <c r="AF18" s="205">
        <f>SUM(AF15:AF17)</f>
        <v>0</v>
      </c>
      <c r="AG18" s="118" t="s">
        <v>730</v>
      </c>
    </row>
    <row r="19" spans="1:33" ht="13.5" thickBot="1">
      <c r="A19" s="827"/>
      <c r="B19" s="447"/>
      <c r="C19" s="995" t="s">
        <v>731</v>
      </c>
      <c r="D19" s="995"/>
      <c r="E19" s="995"/>
      <c r="F19" s="995"/>
      <c r="G19" s="205"/>
      <c r="H19" s="727">
        <f>IF(AF18&gt;0,"Select under/over",IF(H15&gt;0,IF(W15=1,H15/(1+O15*AB15),H15-Q15*AB15),0)+IF(H16&gt;0,IF(W16=1,H16/(1+O16*AB16),H16-Q16*AB16),0)-IF(H17&gt;0,IF(W17=1,H17/(1+O17*AB17),H17-Q17*AB17),0))</f>
        <v>16800.569632881085</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735</v>
      </c>
      <c r="D23" s="700" t="s">
        <v>723</v>
      </c>
      <c r="E23" s="463" t="s">
        <v>724</v>
      </c>
      <c r="F23" s="390">
        <f>'Interactive Data Grading'!D177</f>
        <v>9</v>
      </c>
      <c r="G23" s="79"/>
      <c r="H23" s="254">
        <v>9541.9429999999993</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13.667089370763602</v>
      </c>
      <c r="Z23" s="845"/>
      <c r="AA23" s="118" t="s">
        <v>736</v>
      </c>
      <c r="AB23" s="206"/>
      <c r="AC23" s="206"/>
      <c r="AD23" s="206"/>
      <c r="AE23" s="206"/>
      <c r="AF23" s="118"/>
      <c r="AG23" s="118"/>
    </row>
    <row r="24" spans="1:33">
      <c r="A24" s="827"/>
      <c r="B24" s="448" t="s">
        <v>544</v>
      </c>
      <c r="C24" s="803" t="s">
        <v>737</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0.33291062923639797</v>
      </c>
      <c r="Z24" s="835"/>
      <c r="AA24" s="118"/>
      <c r="AB24" s="206"/>
      <c r="AC24" s="206"/>
      <c r="AD24" s="206"/>
      <c r="AE24" s="206"/>
      <c r="AF24" s="118"/>
      <c r="AG24" s="118"/>
    </row>
    <row r="25" spans="1:33" ht="13.35" customHeight="1">
      <c r="A25" s="827"/>
      <c r="B25" s="448" t="s">
        <v>546</v>
      </c>
      <c r="C25" s="803" t="s">
        <v>738</v>
      </c>
      <c r="D25" s="700" t="s">
        <v>723</v>
      </c>
      <c r="E25" s="463" t="s">
        <v>724</v>
      </c>
      <c r="F25" s="390">
        <f>'Interactive Data Grading'!D224</f>
        <v>10</v>
      </c>
      <c r="G25" s="79"/>
      <c r="H25" s="395">
        <v>232.428</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9774.3709999999992</v>
      </c>
      <c r="Z25" s="835"/>
      <c r="AA25" s="118"/>
      <c r="AB25" s="206"/>
      <c r="AC25" s="206"/>
      <c r="AD25" s="206"/>
      <c r="AE25" s="206"/>
      <c r="AF25" s="439" t="s">
        <v>739</v>
      </c>
      <c r="AG25" s="118"/>
    </row>
    <row r="26" spans="1:33" ht="15" customHeight="1" thickBot="1">
      <c r="A26" s="827"/>
      <c r="B26" s="448" t="s">
        <v>550</v>
      </c>
      <c r="C26" s="803" t="s">
        <v>740</v>
      </c>
      <c r="D26" s="700" t="s">
        <v>723</v>
      </c>
      <c r="E26" s="463" t="s">
        <v>724</v>
      </c>
      <c r="F26" s="390">
        <f>'Interactive Data Grading'!D247</f>
        <v>5</v>
      </c>
      <c r="G26" s="79"/>
      <c r="H26" s="727">
        <f>IF(OR(W26=1,AND(W26=2,Q26=0)),O26*SUM(H23:H24),Q26)</f>
        <v>385.27199999999999</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385.27199999999999</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742</v>
      </c>
      <c r="D30" s="989"/>
      <c r="E30" s="989"/>
      <c r="F30" s="989"/>
      <c r="G30" s="205"/>
      <c r="H30" s="727">
        <f>SUM(H23:H26)</f>
        <v>10159.643</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6640.9266328810845</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745</v>
      </c>
      <c r="D39" s="700" t="s">
        <v>723</v>
      </c>
      <c r="E39" s="463" t="s">
        <v>724</v>
      </c>
      <c r="F39" s="390">
        <f>'Interactive Data Grading'!D271</f>
        <v>10</v>
      </c>
      <c r="G39" s="152"/>
      <c r="H39" s="847">
        <f>IF(OR(W39=1,AND(W39=2,Q39=0)),O39*SUM(H23:H24),Q39)</f>
        <v>48.831000000000003</v>
      </c>
      <c r="I39" s="728"/>
      <c r="J39" s="805" t="str">
        <f>IF('Start Page'!$AB$22="million gallons (US)","MG/Yr",IF('Start Page'!$AB$22="Megalitres (thousand cubic metres)","ML/Yr",IF('Start Page'!$AB$22="acre-feet","Acre-ft/Yr","")))</f>
        <v>MG/Yr</v>
      </c>
      <c r="K39" s="805"/>
      <c r="L39" s="805"/>
      <c r="M39" s="805"/>
      <c r="N39" s="805"/>
      <c r="O39" s="391">
        <v>2.5000000000000001E-3</v>
      </c>
      <c r="P39" s="467" t="s">
        <v>614</v>
      </c>
      <c r="Q39" s="992">
        <v>48.831000000000003</v>
      </c>
      <c r="R39" s="992"/>
      <c r="S39" s="389" t="str">
        <f>IF('Start Page'!$AB$22="million gallons (US)","MG/Yr",IF('Start Page'!$AB$22="Megalitres (thousand cubic metres)","ML/Yr",IF('Start Page'!$AB$22="acre-feet","acre-ft/yr","")))</f>
        <v>MG/Yr</v>
      </c>
      <c r="T39" s="118"/>
      <c r="U39" s="199"/>
      <c r="V39" s="827"/>
      <c r="W39" s="385">
        <f>IF(P39="default",1,2)</f>
        <v>2</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746</v>
      </c>
      <c r="D41" s="700" t="s">
        <v>723</v>
      </c>
      <c r="E41" s="463" t="s">
        <v>724</v>
      </c>
      <c r="F41" s="390">
        <f>'Interactive Data Grading'!D300</f>
        <v>7</v>
      </c>
      <c r="G41" s="152"/>
      <c r="H41" s="848">
        <f>IF(OR(T41="Select…..",T41=""),"Select under/over",IF(W41=1,((H23+H25)/(1-(O41*X41)))-(H23+H25),Q41*X41))</f>
        <v>199.4769591836739</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747</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723</v>
      </c>
      <c r="E43" s="463" t="s">
        <v>724</v>
      </c>
      <c r="F43" s="390">
        <f>'Interactive Data Grading'!D322</f>
        <v>3</v>
      </c>
      <c r="G43" s="152"/>
      <c r="H43" s="727">
        <f>IF(OR(W43=1,AND(W43=2,Q43=0)),O43*SUM(H23:H24),Q43)</f>
        <v>23.854857499999998</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272.1628166836739</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194.73353061224589</v>
      </c>
      <c r="Y50" s="854">
        <f>IFERROR(IF(W41=1,((H25)/(1-(O41*X41)))-(H25),Q41*H25/(H23+H25)),0)</f>
        <v>4.7434285714285807</v>
      </c>
      <c r="Z50" s="855">
        <f>SUM(X50:Y50)</f>
        <v>199.47695918367447</v>
      </c>
      <c r="AA50" s="990"/>
      <c r="AB50" s="990"/>
      <c r="AC50" s="990"/>
    </row>
    <row r="51" spans="1:29">
      <c r="A51" s="827"/>
      <c r="B51" s="448"/>
      <c r="C51" s="996" t="s">
        <v>754</v>
      </c>
      <c r="D51" s="996"/>
      <c r="E51" s="996"/>
      <c r="F51" s="996"/>
      <c r="G51" s="728"/>
      <c r="H51" s="727">
        <f>IFERROR(H35-H46,"")</f>
        <v>6368.763816197411</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2700954.0695918505</v>
      </c>
      <c r="Y51" s="856">
        <f>Y50*input_VPC</f>
        <v>2722.6805657142909</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6640.9266328810845</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7258.6266328810843</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723</v>
      </c>
      <c r="E61" s="463" t="s">
        <v>724</v>
      </c>
      <c r="F61" s="390">
        <f>'Interactive Data Grading'!D350</f>
        <v>10</v>
      </c>
      <c r="G61" s="47"/>
      <c r="H61" s="256">
        <v>1765.3</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723</v>
      </c>
      <c r="E62" s="463" t="s">
        <v>724</v>
      </c>
      <c r="F62" s="390">
        <f>'Interactive Data Grading'!D374</f>
        <v>10</v>
      </c>
      <c r="G62" s="47"/>
      <c r="H62" s="396">
        <v>126456</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71.63428312468136</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723</v>
      </c>
      <c r="E66" s="463" t="s">
        <v>724</v>
      </c>
      <c r="F66" s="390">
        <f>'Interactive Data Grading'!D398</f>
        <v>10</v>
      </c>
      <c r="G66" s="47"/>
      <c r="H66" s="256">
        <v>18.2</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18.2</v>
      </c>
      <c r="X67" s="171" t="s">
        <v>769</v>
      </c>
      <c r="Y67" s="171"/>
      <c r="Z67" s="171"/>
    </row>
    <row r="68" spans="1:26">
      <c r="A68" s="827"/>
      <c r="B68" s="448" t="s">
        <v>577</v>
      </c>
      <c r="C68" s="803" t="s">
        <v>770</v>
      </c>
      <c r="D68" s="700" t="s">
        <v>723</v>
      </c>
      <c r="E68" s="463" t="s">
        <v>724</v>
      </c>
      <c r="F68" s="390">
        <f>'Interactive Data Grading'!D422</f>
        <v>8</v>
      </c>
      <c r="G68" s="47"/>
      <c r="H68" s="256">
        <v>95</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774</v>
      </c>
      <c r="D76" s="700" t="s">
        <v>723</v>
      </c>
      <c r="E76" s="425" t="s">
        <v>724</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583</v>
      </c>
      <c r="C77" s="803" t="s">
        <v>777</v>
      </c>
      <c r="D77" s="700" t="s">
        <v>723</v>
      </c>
      <c r="E77" s="463" t="s">
        <v>724</v>
      </c>
      <c r="F77" s="390">
        <f>'Interactive Data Grading'!D469</f>
        <v>10</v>
      </c>
      <c r="G77" s="118"/>
      <c r="H77" s="864">
        <v>573.99</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48916768</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Billed Metered (BMAC)</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51" sqref="D251"/>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- 910 Scranton</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266</v>
      </c>
      <c r="E244" s="628" t="str">
        <f>IF(OR($D$247=10,$D$247=3),"",IFERROR(IF(H244=MIN($H$244:$H$246),"Limiting",""),""))</f>
        <v/>
      </c>
      <c r="F244" s="258"/>
      <c r="H244" s="677">
        <f>VLOOKUP('Interactive Data Grading'!D244,UUAC!$C$6:$F$15,4,FALSE)</f>
        <v>8</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264</v>
      </c>
      <c r="E246" s="628" t="str">
        <f>IF(OR($D$247=10,$D$247=3),"",IFERROR(IF(H246=MIN($H$244:$H$246),"Limiting",""),""))</f>
        <v>Limiting</v>
      </c>
      <c r="F246" s="258"/>
      <c r="H246" s="677">
        <f>VLOOKUP('Interactive Data Grading'!D246,UUAC!$E$6:$F$15,2,FALSE)</f>
        <v>5</v>
      </c>
      <c r="I246" s="678"/>
    </row>
    <row r="247" spans="1:18" ht="27.6" customHeight="1">
      <c r="A247" s="163"/>
      <c r="B247" s="163"/>
      <c r="C247" s="259" t="s">
        <v>808</v>
      </c>
      <c r="D247" s="753">
        <f>IFERROR((IF(D243=UUAC!A3,3,H247)),"")</f>
        <v>5</v>
      </c>
      <c r="E247" s="628"/>
      <c r="F247" s="258"/>
      <c r="H247" s="680">
        <f>MIN(H244:H246)</f>
        <v>5</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A system specific volume has been entered</v>
      </c>
      <c r="F266" s="258"/>
      <c r="H266" s="669" t="s">
        <v>849</v>
      </c>
      <c r="I266" s="676"/>
      <c r="J266" s="669" t="s">
        <v>845</v>
      </c>
    </row>
    <row r="267" spans="1:18" ht="27.6" customHeight="1">
      <c r="A267" s="163"/>
      <c r="B267" s="441" t="s">
        <v>352</v>
      </c>
      <c r="C267" s="743" t="str">
        <f>SDHE!B35</f>
        <v>Which best describes how the input was derived?</v>
      </c>
      <c r="D267" s="261" t="s">
        <v>369</v>
      </c>
      <c r="E267" s="628" t="str">
        <f>IF(OR($D$271=10,$D$271=3),"",IFERROR(IF(H267=MIN($H$267:$H$270),"Limiting",""),""))</f>
        <v/>
      </c>
      <c r="F267" s="258"/>
      <c r="H267" s="677">
        <f>VLOOKUP('Interactive Data Grading'!D267,SDHE!$C$6:$G$15,5,FALSE)</f>
        <v>10</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t="s">
        <v>370</v>
      </c>
      <c r="E268" s="628" t="str">
        <f>IF(OR($D$271=10,$D$271=3),"",IFERROR(IF(H268=MIN($H$267:$H$270),"Limiting",""),""))</f>
        <v/>
      </c>
      <c r="F268" s="258"/>
      <c r="H268" s="677">
        <f>VLOOKUP('Interactive Data Grading'!D268,SDHE!$D$6:$G$15,4,FALSE)</f>
        <v>10</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t="s">
        <v>371</v>
      </c>
      <c r="E269" s="628" t="str">
        <f>IF(OR($D$271=10,$D$271=3),"",IFERROR(IF(H269=MIN($H$267:$H$270),"Limiting",""),""))</f>
        <v/>
      </c>
      <c r="F269" s="258"/>
      <c r="H269" s="677">
        <f>VLOOKUP('Interactive Data Grading'!D269,SDHE!$E$6:$G$15,3,FALSE)</f>
        <v>10</v>
      </c>
      <c r="I269" s="678"/>
    </row>
    <row r="270" spans="1:18" ht="27.6" customHeight="1">
      <c r="A270" s="163"/>
      <c r="B270" s="441" t="s">
        <v>355</v>
      </c>
      <c r="C270" s="743" t="str">
        <f>SDHE!B38</f>
        <v>Which best describes auditing that takes place on the billing process?</v>
      </c>
      <c r="D270" s="261" t="s">
        <v>372</v>
      </c>
      <c r="E270" s="628" t="str">
        <f>IF(OR($D$271=10,$D$271=3),"",IFERROR(IF(H270=MIN($H$267:$H$270),"Limiting",""),""))</f>
        <v/>
      </c>
      <c r="F270" s="258"/>
      <c r="H270" s="677">
        <f>VLOOKUP('Interactive Data Grading'!D270,SDHE!$F$6:$G$15,2,FALSE)</f>
        <v>10</v>
      </c>
      <c r="I270" s="678"/>
      <c r="N270" s="1042"/>
      <c r="O270" s="1042"/>
    </row>
    <row r="271" spans="1:18" ht="27.6" customHeight="1">
      <c r="A271" s="163"/>
      <c r="B271" s="163"/>
      <c r="C271" s="259" t="s">
        <v>808</v>
      </c>
      <c r="D271" s="753">
        <f>IFERROR((IF(D266=SDHE!A3,3,H271)),"")</f>
        <v>10</v>
      </c>
      <c r="E271" s="628"/>
      <c r="F271" s="258"/>
      <c r="H271" s="680">
        <f>MIN(H267:H270)</f>
        <v>10</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480</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CC24" sqref="CC24"/>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- 910 Scranton</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91</v>
      </c>
      <c r="BS6" s="585"/>
      <c r="BT6" s="584"/>
      <c r="BU6" s="586"/>
      <c r="BV6" s="586"/>
      <c r="BW6" s="586"/>
      <c r="BX6" s="50"/>
      <c r="BY6" s="50"/>
    </row>
    <row r="7" spans="1:77" s="190" customFormat="1" ht="12.95" customHeight="1">
      <c r="A7" s="189"/>
      <c r="B7" s="265"/>
      <c r="C7" s="50"/>
      <c r="D7" s="193"/>
      <c r="E7" s="711"/>
      <c r="F7" s="193"/>
      <c r="G7" s="193"/>
      <c r="H7" s="553"/>
      <c r="I7" s="654" t="s">
        <v>887</v>
      </c>
      <c r="J7" s="1068">
        <f>BR6</f>
        <v>91</v>
      </c>
      <c r="K7" s="1068"/>
      <c r="L7" s="655"/>
      <c r="M7" s="655"/>
      <c r="N7" s="655"/>
      <c r="O7" s="655"/>
      <c r="P7" s="655"/>
      <c r="Q7" s="654" t="s">
        <v>888</v>
      </c>
      <c r="R7" s="1067" t="str">
        <f>IF(BO2&gt;0,"",BR4)</f>
        <v>Tier V (91-100)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585</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91</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107.73333333333333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result is above 90th %ile</v>
      </c>
      <c r="AC14" s="1053"/>
      <c r="AD14" s="1053"/>
      <c r="AE14" s="1053"/>
      <c r="AF14" s="557"/>
      <c r="AG14" s="500"/>
      <c r="AH14" s="555"/>
      <c r="AI14" s="555"/>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58.260868100696811</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57.801400497346833</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58.260868100696811</v>
      </c>
      <c r="AB18" s="1061"/>
      <c r="AC18" s="1061"/>
      <c r="AD18" s="730" t="str">
        <f>BD13</f>
        <v>$/conn/year</v>
      </c>
      <c r="AE18" s="731"/>
      <c r="AF18" s="732"/>
      <c r="AG18" s="732"/>
      <c r="AH18" s="733"/>
      <c r="AI18" s="733"/>
      <c r="AJ18" s="731"/>
      <c r="AK18" s="1061">
        <f>BS22</f>
        <v>29.352736079605272</v>
      </c>
      <c r="AL18" s="1061"/>
      <c r="AM18" s="1061"/>
      <c r="AN18" s="730" t="str">
        <f>BD13</f>
        <v>$/conn/year</v>
      </c>
      <c r="AO18" s="731"/>
      <c r="AP18" s="731"/>
      <c r="AQ18" s="731"/>
      <c r="AR18" s="731"/>
      <c r="AS18" s="731"/>
      <c r="AT18" s="731"/>
      <c r="AU18" s="1061">
        <f>BS29</f>
        <v>28.908132021091543</v>
      </c>
      <c r="AV18" s="1061"/>
      <c r="AW18" s="1061"/>
      <c r="AX18" s="730" t="str">
        <f>BD13</f>
        <v>$/conn/year</v>
      </c>
      <c r="AY18" s="576"/>
      <c r="AZ18" s="193"/>
      <c r="BA18" s="193"/>
      <c r="BB18" s="272"/>
      <c r="BC18" s="89"/>
      <c r="BD18" s="50" t="s">
        <v>911</v>
      </c>
      <c r="BE18" s="182">
        <f>(((5.41*Worksheet!H61)+(0.15*Worksheet!H62)+(7.5*(Worksheet!H62*Worksheet!W67/5280)))*Worksheet!H68)/1000000*365</f>
        <v>1102.2436293999997</v>
      </c>
      <c r="BN18" s="535"/>
      <c r="BO18" s="591" t="s">
        <v>928</v>
      </c>
      <c r="BP18" s="593">
        <f>BQ18-BQ17</f>
        <v>8.9525318444022357</v>
      </c>
      <c r="BQ18" s="758">
        <f t="shared" si="0"/>
        <v>18.283980813778896</v>
      </c>
      <c r="BR18" s="591" t="s">
        <v>900</v>
      </c>
      <c r="BS18" s="595">
        <f>SUM(BP16:BP20)-SUM(BS16,BS17)</f>
        <v>56.876578089389284</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3382.6570554849727</v>
      </c>
      <c r="BF19" s="181">
        <f>BE19*325851.427242/Worksheet!H62/365</f>
        <v>23.880603213766044</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6604.8135539999994</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29.352736079605272</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24.233075430263664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result is above 90th %ile</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result is above 90th %ile</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23.845346223379444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143.87865773185897</v>
      </c>
      <c r="AB29" s="1062"/>
      <c r="AC29" s="1062"/>
      <c r="AD29" s="729" t="str">
        <f>BD10</f>
        <v>gal/conn/day</v>
      </c>
      <c r="AE29" s="729"/>
      <c r="AF29" s="734"/>
      <c r="AG29" s="734"/>
      <c r="AH29" s="575"/>
      <c r="AI29" s="575"/>
      <c r="AJ29" s="575"/>
      <c r="AK29" s="1062">
        <f>BS43</f>
        <v>5.8965296431803207</v>
      </c>
      <c r="AL29" s="1062"/>
      <c r="AM29" s="1062"/>
      <c r="AN29" s="730" t="str">
        <f>BD10</f>
        <v>gal/conn/day</v>
      </c>
      <c r="AO29" s="575"/>
      <c r="AP29" s="575"/>
      <c r="AQ29" s="575"/>
      <c r="AR29" s="575"/>
      <c r="AS29" s="575"/>
      <c r="AT29" s="575"/>
      <c r="AU29" s="1057">
        <f>BS55</f>
        <v>137.98212808867865</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28.908132021091543</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28.908132021091543</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95</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41.617798395444474</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143.87865773185897</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result is above 90th %ile</v>
      </c>
      <c r="AJ37" s="1053"/>
      <c r="AK37" s="1053"/>
      <c r="AL37" s="1053"/>
      <c r="AM37" s="193"/>
      <c r="AN37" s="193"/>
      <c r="AO37" s="193"/>
      <c r="AP37" s="193"/>
      <c r="AQ37" s="193"/>
      <c r="AR37" s="193"/>
      <c r="AS37" s="193"/>
      <c r="AT37" s="1053" t="str">
        <f>IF(BS69&lt;0,"negative result check inputs",IF($BS$70=0,"result is below 10th %ile",IF($BS$69&gt;$BS$70,"result is above 90th %ile","")))</f>
        <v>result is above 90th %ile</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125.15100211248117</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123.14858607868146</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5.7780001138806423</v>
      </c>
      <c r="AI41" s="1056"/>
      <c r="AJ41" s="1056"/>
      <c r="AK41" s="729" t="s">
        <v>949</v>
      </c>
      <c r="AL41" s="661"/>
      <c r="AM41" s="662"/>
      <c r="AN41" s="658"/>
      <c r="AO41" s="658"/>
      <c r="AP41" s="658"/>
      <c r="AQ41" s="658"/>
      <c r="AR41" s="658"/>
      <c r="AS41" s="1055">
        <f>BS69</f>
        <v>9884.2508296504548</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1102.2436293999997</v>
      </c>
      <c r="AL43" s="1054"/>
      <c r="AM43" s="1054"/>
      <c r="AN43" s="1054"/>
      <c r="AO43" s="773" t="str">
        <f>BD7</f>
        <v>MG/Yr</v>
      </c>
      <c r="AP43" s="575"/>
      <c r="AQ43" s="575"/>
      <c r="AR43" s="575"/>
      <c r="AS43" s="1054">
        <f>IF(BG19=1,BF19,IFERROR(AK43*1000000/Worksheet!H62/365,""))</f>
        <v>23.880603213766044</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5.8965296431803207</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5.8965296431803207</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26.484332952072851</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744</v>
      </c>
      <c r="I49" s="1049">
        <f>IF(ISBLANK('Start Page'!$AB$22),"",Worksheet!H46)</f>
        <v>272.1628166836739</v>
      </c>
      <c r="J49" s="1049"/>
      <c r="K49" s="1049"/>
      <c r="L49" s="1049"/>
      <c r="M49" s="558"/>
      <c r="N49" s="1050">
        <f>IF(OR(ISBLANK('Start Page'!$AB$22),ISBLANK(Worksheet!J76)),"",(SUM(Worksheet!H43+Worksheet!H39+Worksheet!X50)*Worksheet!H76)*INDEX(Sheet1!B2:D4,MATCH('Start Page'!AB22,Sheet1!A2:A4,0),MATCH(Worksheet!J76,Sheet1!B1:D1,0))+Worksheet!Y50*Worksheet!H77)</f>
        <v>3711829.5936825643</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6368.763816197411</v>
      </c>
      <c r="J50" s="1049"/>
      <c r="K50" s="1049"/>
      <c r="L50" s="1049"/>
      <c r="M50" s="558"/>
      <c r="N50" s="1050">
        <f>IFERROR(IF(Worksheet!H41="Select under/over","",IF(ISBLANK('Start Page'!AB22),"",Worksheet!H51*(IF(BD29=FALSE,Worksheet!H77,IF(BD29=TRUE,Worksheet!H76*INDEX(Sheet1!B2:D4,MATCH('Start Page'!AB22,Sheet1!A2:A4,0),MATCH(Worksheet!J76,Sheet1!B1:D1,0)),""))))),"")</f>
        <v>3655606.7428591521</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617.70000000000005</v>
      </c>
      <c r="J51" s="1049"/>
      <c r="K51" s="1049"/>
      <c r="L51" s="1049"/>
      <c r="M51" s="558"/>
      <c r="N51" s="1050">
        <f>IFERROR(IF(SUM(Sheet1!D90:D91)=0,"",SUM(Sheet1!D90:D91)),"")</f>
        <v>354553.62300000002</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7258.6266328810843</v>
      </c>
      <c r="J52" s="1049"/>
      <c r="K52" s="1049"/>
      <c r="L52" s="1049"/>
      <c r="M52" s="558"/>
      <c r="N52" s="1050">
        <f>IF(SUM(N49:N51)=0,"",SUM(N49:N51))</f>
        <v>7721989.9595417157</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137.98212808867865</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115.43298001472428</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113.58605233448871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5.7780001138806423</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5.6785169995812712</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5.5876607275879708</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9884.2508296504548</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6074.127474647431</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5976.9414350530724</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42.665808526427512</v>
      </c>
      <c r="BQ83" s="608">
        <f>BP83+BQ78</f>
        <v>95</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57" activePane="bottomLeft" state="frozen"/>
      <selection activeCell="F138" sqref="F138"/>
      <selection pane="bottomLeft" activeCell="G34" sqref="G34:G36"/>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- 910 Scranton</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7,254 MG/Yr</v>
      </c>
    </row>
    <row r="79" spans="1:6" ht="16.5">
      <c r="B79" s="46"/>
      <c r="C79" s="46"/>
      <c r="D79" s="46"/>
      <c r="E79" s="8" t="str">
        <f>IFERROR("Total Cost of NRW = $"&amp;TEXT(SUM(D90,D91,D94,D95,D96,D97,D99),"#,###")&amp;"/Yr","")</f>
        <v>Total Cost of NRW = $7,721,990/Yr</v>
      </c>
      <c r="F79" s="46"/>
    </row>
    <row r="80" spans="1:6">
      <c r="A80"/>
      <c r="B80"/>
      <c r="C80" s="47" t="str">
        <f>"Volume ("&amp;Worksheet!J15&amp;")"</f>
        <v>Volume (MG/Yr)</v>
      </c>
      <c r="D80" s="47" t="s">
        <v>1041</v>
      </c>
      <c r="E80" s="79" t="s">
        <v>1042</v>
      </c>
      <c r="F80"/>
    </row>
    <row r="81" spans="1:6">
      <c r="A81" s="118" t="s">
        <v>1043</v>
      </c>
      <c r="B81" s="118"/>
      <c r="C81" s="100">
        <f>IF(Dashboard!BO$2&gt;0,"",Worksheet!H15)</f>
        <v>16840.891</v>
      </c>
      <c r="D81" s="872">
        <f>IF(Dashboard!BO$2&gt;0,"",C81*(Worksheet!$H$77))</f>
        <v>9666503.0250899997</v>
      </c>
      <c r="E81" s="489">
        <f>D81</f>
        <v>9666503.0250899997</v>
      </c>
      <c r="F81" s="75" t="s">
        <v>1044</v>
      </c>
    </row>
    <row r="82" spans="1:6">
      <c r="A82" s="118" t="str">
        <f>A81&amp;" MA"</f>
        <v>Vol. from own sources: MA</v>
      </c>
      <c r="B82" s="118"/>
      <c r="C82" s="100">
        <f>IF(Dashboard!BO$2&gt;0,"",Worksheet!X15)</f>
        <v>40.418138399999997</v>
      </c>
      <c r="D82" s="872">
        <f>IF(Dashboard!BO$2&gt;0,"",C82*(Worksheet!$H$77))</f>
        <v>23199.607260215998</v>
      </c>
      <c r="E82" s="489">
        <f t="shared" ref="E82:E100" si="0">D82</f>
        <v>23199.607260215998</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16800.569632881085</v>
      </c>
      <c r="D87" s="872">
        <f>IF(Dashboard!BO$2&gt;0,"",C87*(Worksheet!$H$77))</f>
        <v>9643358.9635774139</v>
      </c>
      <c r="E87" s="489">
        <f t="shared" si="0"/>
        <v>9643358.9635774139</v>
      </c>
      <c r="F87"/>
    </row>
    <row r="88" spans="1:6">
      <c r="A88" s="118" t="s">
        <v>1047</v>
      </c>
      <c r="B88"/>
      <c r="C88" s="100">
        <f>IF(Dashboard!BO$2&gt;0,"",Worksheet!H23)</f>
        <v>9541.9429999999993</v>
      </c>
      <c r="D88" s="872">
        <f>IF(Dashboard!BO$2&gt;0,"",C88*(Worksheet!$H$76*1000))</f>
        <v>132346749.41</v>
      </c>
      <c r="E88" s="489">
        <f t="shared" si="0"/>
        <v>132346749.41</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232.428</v>
      </c>
      <c r="D90" s="873">
        <f>IF(Dashboard!BO$2&gt;0,"",IF(ISBLANK('Start Page'!AB22),"",IF(AND(ISBLANK(Worksheet!H77),Worksheet!Z77&lt;&gt;1),"",Worksheet!H25*(IF(Dashboard!BD29=FALSE,Worksheet!H77,IF(Dashboard!BD29=TRUE,Worksheet!H76*INDEX(Sheet1!B2:D4,MATCH('Start Page'!AB22,Sheet1!A2:A4,0),MATCH(Worksheet!J76,Sheet1!B1:D1,0)),""))))))</f>
        <v>133411.34771999999</v>
      </c>
      <c r="E90" s="796">
        <f t="shared" si="0"/>
        <v>133411.34771999999</v>
      </c>
      <c r="F90"/>
    </row>
    <row r="91" spans="1:6">
      <c r="A91" s="797" t="str">
        <f>"Unbilled Unmetered (UUAC) valued at "&amp;A76&amp;""</f>
        <v xml:space="preserve">Unbilled Unmetered (UUAC) valued at </v>
      </c>
      <c r="B91" s="794"/>
      <c r="C91" s="795">
        <f>IF(Dashboard!BO$2&gt;0,"",Worksheet!H26)</f>
        <v>385.27199999999999</v>
      </c>
      <c r="D91" s="873">
        <f>IF(Dashboard!BO$2&gt;0,"",IF(ISBLANK('Start Page'!AB22),"",IF(AND(ISBLANK(Worksheet!H77),Worksheet!Z77&lt;&gt;1),"",Worksheet!H26*(IF(Dashboard!BD29=FALSE,Worksheet!H77,IF(Dashboard!BD29=TRUE,Worksheet!H76*INDEX(Sheet1!B2:D4,MATCH('Start Page'!AB22,Sheet1!A2:A4,0),MATCH(Worksheet!J76,Sheet1!B1:D1,0)),""))))))</f>
        <v>221142.27528</v>
      </c>
      <c r="E91" s="796">
        <f t="shared" si="0"/>
        <v>221142.27528</v>
      </c>
      <c r="F91"/>
    </row>
    <row r="92" spans="1:6">
      <c r="A92" s="118" t="s">
        <v>1049</v>
      </c>
      <c r="B92" s="874" t="s">
        <v>1050</v>
      </c>
      <c r="C92" s="100">
        <f>IF(Dashboard!BO$2&gt;0,"",Worksheet!H30)</f>
        <v>10159.643</v>
      </c>
      <c r="D92" s="872">
        <f>IF(Dashboard!BO$2&gt;0,"",C92*(Worksheet!$H$76*1000))</f>
        <v>140914248.41</v>
      </c>
      <c r="E92" s="489">
        <f t="shared" si="0"/>
        <v>140914248.41</v>
      </c>
      <c r="F92"/>
    </row>
    <row r="93" spans="1:6">
      <c r="A93" t="s">
        <v>1051</v>
      </c>
      <c r="B93"/>
      <c r="C93" s="100">
        <f>IF(Dashboard!BO$2&gt;0,"",Worksheet!H35)</f>
        <v>6640.9266328810845</v>
      </c>
      <c r="D93" s="872"/>
      <c r="E93" s="489">
        <f t="shared" si="0"/>
        <v>0</v>
      </c>
      <c r="F93"/>
    </row>
    <row r="94" spans="1:6">
      <c r="A94" s="171" t="s">
        <v>1052</v>
      </c>
      <c r="B94" s="118"/>
      <c r="C94" s="102">
        <f>IF(Dashboard!BO$2&gt;0,"",Worksheet!H43)</f>
        <v>23.854857499999998</v>
      </c>
      <c r="D94" s="875">
        <f>IF(Dashboard!BO$2&gt;0,"",IF(ISBLANK('Start Page'!AB22),"",IF(AND(ISBLANK(Worksheet!H77),Worksheet!Z77&lt;&gt;1),"",C94*Worksheet!H76*INDEX(Sheet1!B2:D4,MATCH('Start Page'!AB22,Sheet1!A2:A4,0),MATCH(Worksheet!J76,Sheet1!B1:D1,0)))))</f>
        <v>330866.87352499994</v>
      </c>
      <c r="E94" s="490">
        <f t="shared" si="0"/>
        <v>330866.87352499994</v>
      </c>
      <c r="F94" s="103"/>
    </row>
    <row r="95" spans="1:6">
      <c r="A95" s="785" t="s">
        <v>1053</v>
      </c>
      <c r="B95" s="785"/>
      <c r="C95" s="786">
        <f>Worksheet!X50</f>
        <v>194.73353061224589</v>
      </c>
      <c r="D95" s="876">
        <f>IF(Dashboard!BO$2&gt;0,"",IF(ISBLANK('Start Page'!AB22),"",IF(AND(ISBLANK(Worksheet!H77),Worksheet!Z77&lt;&gt;1),"",C95*Worksheet!H76*INDEX(Sheet1!B2:D4,MATCH('Start Page'!AB22,Sheet1!A2:A4,0),MATCH(Worksheet!J76,Sheet1!B1:D1,0)))))</f>
        <v>2700954.0695918505</v>
      </c>
      <c r="E95" s="787">
        <f t="shared" si="0"/>
        <v>2700954.0695918505</v>
      </c>
      <c r="F95" s="103"/>
    </row>
    <row r="96" spans="1:6">
      <c r="A96" s="785" t="s">
        <v>1054</v>
      </c>
      <c r="B96" s="785"/>
      <c r="C96" s="786">
        <f>Worksheet!Y50</f>
        <v>4.7434285714285807</v>
      </c>
      <c r="D96" s="876">
        <f>C96*input_VPC</f>
        <v>2722.6805657142909</v>
      </c>
      <c r="E96" s="787">
        <f t="shared" si="0"/>
        <v>2722.6805657142909</v>
      </c>
      <c r="F96" s="788" t="s">
        <v>1055</v>
      </c>
    </row>
    <row r="97" spans="1:7">
      <c r="A97" s="171" t="s">
        <v>1056</v>
      </c>
      <c r="B97" s="118"/>
      <c r="C97" s="102">
        <f>IF(Dashboard!BO$2&gt;0,"",Worksheet!H39)</f>
        <v>48.831000000000003</v>
      </c>
      <c r="D97" s="875">
        <f>IF(Dashboard!BO$2&gt;0,"",IF(ISBLANK('Start Page'!AB22),"",IF(AND(ISBLANK(Worksheet!H77),Worksheet!Z77&lt;&gt;1),"",C97*Worksheet!H76*INDEX(Sheet1!B2:D4,MATCH('Start Page'!AB22,Sheet1!A2:A4,0),MATCH(Worksheet!J76,Sheet1!B1:D1,0)))))</f>
        <v>677285.97</v>
      </c>
      <c r="E97" s="490">
        <f t="shared" si="0"/>
        <v>677285.97</v>
      </c>
      <c r="F97" s="103"/>
    </row>
    <row r="98" spans="1:7">
      <c r="A98" s="792" t="s">
        <v>749</v>
      </c>
      <c r="B98" s="792"/>
      <c r="C98" s="793">
        <f>IF(Dashboard!BO$2&gt;0,"",Worksheet!H46)</f>
        <v>272.1628166836739</v>
      </c>
      <c r="D98" s="877">
        <f>IF(Dashboard!BO$2&gt;0,"",SUM(D94:D97))</f>
        <v>3711829.5936825648</v>
      </c>
      <c r="E98" s="489">
        <f t="shared" si="0"/>
        <v>3711829.5936825648</v>
      </c>
      <c r="F98"/>
    </row>
    <row r="99" spans="1:7">
      <c r="A99" s="171" t="str">
        <f>"Real Losses valued at "&amp;A76&amp;""</f>
        <v xml:space="preserve">Real Losses valued at </v>
      </c>
      <c r="B99" s="118"/>
      <c r="C99" s="102">
        <f>IF(Dashboard!BO$2&gt;0,"",Worksheet!H51)</f>
        <v>6368.763816197411</v>
      </c>
      <c r="D99" s="878">
        <f>IF(Dashboard!BO$2&gt;0,"",Dashboard!N50)</f>
        <v>3655606.7428591521</v>
      </c>
      <c r="E99" s="490">
        <f t="shared" si="0"/>
        <v>3655606.7428591521</v>
      </c>
      <c r="F99" s="489"/>
    </row>
    <row r="100" spans="1:7">
      <c r="A100" t="s">
        <v>757</v>
      </c>
      <c r="B100"/>
      <c r="C100" s="100">
        <f>IF(Dashboard!BO$2&gt;0,"",Worksheet!H57)</f>
        <v>7258.6266328810843</v>
      </c>
      <c r="D100" s="101">
        <f>IF(Dashboard!BO$2&gt;0,"",D98+D99+D90+D91)</f>
        <v>7721989.9595417166</v>
      </c>
      <c r="E100" s="489">
        <f t="shared" si="0"/>
        <v>7721989.9595417166</v>
      </c>
      <c r="F100"/>
      <c r="G100" s="104"/>
    </row>
    <row r="101" spans="1:7">
      <c r="A101" s="789"/>
    </row>
    <row r="102" spans="1:7">
      <c r="A102" s="789" t="s">
        <v>1057</v>
      </c>
      <c r="C102" s="790">
        <f>C95+C96</f>
        <v>199.47695918367447</v>
      </c>
      <c r="D102" s="104">
        <f>D95+D96</f>
        <v>2703676.7501575649</v>
      </c>
      <c r="E102" s="104">
        <f>E95+E96</f>
        <v>2703676.7501575649</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topLeftCell="A11" zoomScale="110" zoomScaleNormal="110" workbookViewId="0">
      <selection activeCell="G24" sqref="G24"/>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- 910 Scranton</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9541.9429999999993</v>
      </c>
      <c r="H12" s="881"/>
      <c r="I12" s="4"/>
      <c r="K12" s="756"/>
    </row>
    <row r="13" spans="2:16" ht="22.5" customHeight="1">
      <c r="B13" s="1089"/>
      <c r="C13" s="288"/>
      <c r="D13" s="286"/>
      <c r="E13" s="1098"/>
      <c r="F13" s="290">
        <f>Worksheet!H23+Worksheet!H24</f>
        <v>9541.9429999999993</v>
      </c>
      <c r="G13" s="485" t="s">
        <v>1069</v>
      </c>
      <c r="H13" s="291">
        <f>SUM(G12+G14)</f>
        <v>9541.9429999999993</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10159.643</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232.428</v>
      </c>
      <c r="H16" s="1097"/>
      <c r="I16" s="4"/>
      <c r="K16" s="118"/>
    </row>
    <row r="17" spans="2:16" ht="22.5" customHeight="1">
      <c r="B17" s="299">
        <f>Worksheet!AG15</f>
        <v>16800.569632881085</v>
      </c>
      <c r="C17" s="300"/>
      <c r="D17" s="301"/>
      <c r="E17" s="194"/>
      <c r="F17" s="302">
        <f>Worksheet!H25+Worksheet!H26</f>
        <v>617.70000000000005</v>
      </c>
      <c r="G17" s="289" t="s">
        <v>1074</v>
      </c>
      <c r="H17" s="881"/>
      <c r="I17" s="4"/>
      <c r="K17" s="118"/>
      <c r="L17" s="99"/>
      <c r="M17" s="99"/>
      <c r="N17" s="99"/>
      <c r="O17" s="99"/>
      <c r="P17" s="99"/>
    </row>
    <row r="18" spans="2:16" ht="15.75" customHeight="1">
      <c r="B18" s="297"/>
      <c r="C18" s="1110" t="s">
        <v>1075</v>
      </c>
      <c r="D18" s="286"/>
      <c r="E18" s="303"/>
      <c r="F18" s="294"/>
      <c r="G18" s="304">
        <f>Worksheet!H26</f>
        <v>385.27199999999999</v>
      </c>
      <c r="H18" s="881"/>
      <c r="I18" s="4"/>
      <c r="K18" s="118"/>
    </row>
    <row r="19" spans="2:16" ht="22.5" customHeight="1">
      <c r="B19" s="297"/>
      <c r="C19" s="1110"/>
      <c r="D19" s="815" t="s">
        <v>1076</v>
      </c>
      <c r="E19" s="282"/>
      <c r="F19" s="884"/>
      <c r="G19" s="485" t="s">
        <v>1077</v>
      </c>
      <c r="H19" s="305">
        <f>Worksheet!H25+Worksheet!H26+Worksheet!H46+Worksheet!H51</f>
        <v>7258.6266328810852</v>
      </c>
      <c r="I19" s="4"/>
      <c r="K19" s="118"/>
      <c r="L19" s="99"/>
      <c r="M19" s="99"/>
      <c r="N19" s="99"/>
      <c r="O19" s="99"/>
      <c r="P19" s="99"/>
    </row>
    <row r="20" spans="2:16" ht="15.75" customHeight="1">
      <c r="B20" s="297"/>
      <c r="C20" s="306">
        <f>B17+B27</f>
        <v>16800.569632881085</v>
      </c>
      <c r="D20" s="286"/>
      <c r="E20" s="194"/>
      <c r="F20" s="307" t="s">
        <v>744</v>
      </c>
      <c r="G20" s="298">
        <f>Worksheet!H39</f>
        <v>48.831000000000003</v>
      </c>
      <c r="H20" s="881"/>
      <c r="I20" s="4"/>
      <c r="K20" s="118"/>
    </row>
    <row r="21" spans="2:16" ht="14.25" customHeight="1">
      <c r="B21" s="308"/>
      <c r="C21" s="309"/>
      <c r="D21" s="306">
        <f>Worksheet!H19</f>
        <v>16800.569632881085</v>
      </c>
      <c r="E21" s="310"/>
      <c r="F21" s="302">
        <f>Worksheet!H46</f>
        <v>272.1628166836739</v>
      </c>
      <c r="G21" s="289" t="s">
        <v>1078</v>
      </c>
      <c r="H21" s="881"/>
      <c r="I21" s="4"/>
      <c r="K21" s="118"/>
      <c r="L21" s="99"/>
      <c r="M21" s="99"/>
      <c r="N21" s="99"/>
      <c r="O21" s="99"/>
      <c r="P21" s="99"/>
    </row>
    <row r="22" spans="2:16" ht="15.75" customHeight="1">
      <c r="B22" s="297"/>
      <c r="C22" s="285"/>
      <c r="D22" s="286"/>
      <c r="E22" s="194"/>
      <c r="F22" s="310"/>
      <c r="G22" s="311">
        <f>Worksheet!H41</f>
        <v>199.4769591836739</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23.854857499999998</v>
      </c>
      <c r="H24" s="881"/>
      <c r="I24" s="4"/>
      <c r="K24" s="118"/>
    </row>
    <row r="25" spans="2:16" ht="26.25" customHeight="1">
      <c r="B25" s="1088" t="s">
        <v>1080</v>
      </c>
      <c r="C25" s="288"/>
      <c r="D25" s="286"/>
      <c r="E25" s="313">
        <f>Worksheet!H53</f>
        <v>6640.9266328810845</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6368.763816197411</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13" zoomScaleNormal="100" workbookViewId="0">
      <selection activeCell="BA12" sqref="BA1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- 910 Scranton</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V (91-100)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34.916201117318437</v>
      </c>
      <c r="AF98" s="35">
        <f t="shared" ref="AF98:AF103" si="0">AE98</f>
        <v>34.916201117318437</v>
      </c>
      <c r="AG98" s="35">
        <f>IF(AE98&lt;&gt;0,AF98/10,0)</f>
        <v>3.4916201117318435</v>
      </c>
      <c r="AH98" s="35">
        <f>IFERROR(AD98*AG98,0)</f>
        <v>34.916201117318437</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8.3798882681564241E-2</v>
      </c>
      <c r="AF99" s="35">
        <f t="shared" si="0"/>
        <v>8.3798882681564241E-2</v>
      </c>
      <c r="AG99" s="35">
        <f t="shared" ref="AG99:AG117" si="3">IF(AE99&lt;&gt;0,AF99/10,0)</f>
        <v>8.3798882681564244E-3</v>
      </c>
      <c r="AH99" s="35">
        <f t="shared" ref="AH99:AH106" si="4">IFERROR(AD99*AG99,0)</f>
        <v>8.3798882681564241E-2</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13.667089370763602</v>
      </c>
      <c r="AF104" s="67">
        <f t="shared" ref="AF104:AF117" si="8">AE104/$AE$120</f>
        <v>16.761524699993096</v>
      </c>
      <c r="AG104" s="67">
        <f t="shared" si="3"/>
        <v>1.6761524699993096</v>
      </c>
      <c r="AH104" s="67">
        <f t="shared" ref="AH104:AH117" si="9">AD104*AG104</f>
        <v>15.085372229993785</v>
      </c>
      <c r="AI104" s="67">
        <f t="shared" si="1"/>
        <v>1.6761524699993107</v>
      </c>
      <c r="AJ104" s="68">
        <f t="array" aca="1" ref="AJ104" ca="1">SUM(1*(AI104&lt;$AI$98:$AI$117))+1+IF(ROW(AI104)-ROW($AI$98)=0,0,SUM(1*(AI104=OFFSET($AI$98,0,0,INDEX(ROW(AI104)-ROW($AI$98)+1,1)-1,1))))</f>
        <v>3</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0.33291062923639797</v>
      </c>
      <c r="AF106" s="71">
        <f t="shared" si="8"/>
        <v>0.40828662076162014</v>
      </c>
      <c r="AG106" s="71">
        <f t="shared" si="3"/>
        <v>4.0828662076162016E-2</v>
      </c>
      <c r="AH106" s="35">
        <f t="shared" si="4"/>
        <v>0.40828662076162014</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5</v>
      </c>
      <c r="AE107" s="62">
        <v>2</v>
      </c>
      <c r="AF107" s="63">
        <f t="shared" si="8"/>
        <v>2.4528301886792452</v>
      </c>
      <c r="AG107" s="63">
        <f t="shared" si="3"/>
        <v>0.24528301886792453</v>
      </c>
      <c r="AH107" s="63">
        <f t="shared" si="9"/>
        <v>1.2264150943396226</v>
      </c>
      <c r="AI107" s="63">
        <f t="shared" si="1"/>
        <v>1.2264150943396226</v>
      </c>
      <c r="AJ107" s="64">
        <f t="array" aca="1" ref="AJ107" ca="1">SUM(1*(AI107&lt;$AI$98:$AI$117))+1+IF(ROW(AI107)-ROW($AI$98)=0,0,SUM(1*(AI107=OFFSET($AI$98,0,0,INDEX(ROW(AI107)-ROW($AI$98)+1,1)-1,1))))</f>
        <v>4</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2</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14</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91.394602246981833</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8" zoomScale="115" zoomScaleNormal="115" zoomScaleSheetLayoutView="100" workbookViewId="0">
      <selection activeCell="C42" sqref="C42:L42"/>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9"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9AEB3281-A84D-4761-A1F3-A2EACA39F8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2024-05-22T14:03:46Z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