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32AC513B-63AC-4104-9159-A9627D63D6D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<sst xmlns="http://schemas.openxmlformats.org/spreadsheetml/2006/main" count="2541" uniqueCount="1283">
  <si>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</si>
  <si>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</si>
  <si>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</si>
  <si>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</si>
  <si>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</si>
  <si>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</si>
  <si>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</si>
  <si>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</si>
  <si>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</si>
  <si>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</si>
  <si>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</si>
  <si>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</si>
  <si>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</si>
  <si>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</si>
  <si>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</si>
  <si>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</si>
  <si>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</si>
  <si>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</si>
  <si>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</si>
  <si>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</si>
  <si>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</si>
  <si>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</si>
  <si>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</si>
  <si>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</si>
  <si>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</si>
  <si>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</si>
  <si>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</si>
  <si>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</si>
  <si>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</si>
  <si>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</si>
  <si>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</si>
  <si>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</si>
  <si>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</si>
  <si>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</si>
  <si>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</si>
  <si>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</si>
  <si>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</si>
  <si>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</si>
  <si>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</si>
  <si>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</si>
  <si>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</si>
  <si>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</si>
  <si>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</si>
  <si>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</si>
  <si>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</si>
  <si>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</si>
  <si>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</si>
  <si>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</si>
  <si>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</si>
  <si>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</si>
  <si>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</si>
  <si>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</si>
  <si>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</si>
  <si>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</si>
  <si>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</si>
  <si>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</si>
  <si>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</si>
  <si>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</si>
  <si>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</si>
  <si>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</si>
  <si>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</si>
  <si>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</si>
  <si>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</si>
  <si>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</si>
  <si>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</si>
  <si>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</si>
  <si>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</si>
  <si>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</si>
  <si>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</si>
  <si>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</si>
  <si>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</si>
  <si>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</si>
  <si>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</si>
  <si>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</si>
  <si>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</si>
  <si>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</si>
  <si>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</si>
  <si>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</si>
  <si>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</si>
  <si>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</si>
  <si>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</si>
  <si>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</si>
  <si>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</si>
  <si>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</si>
  <si>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</si>
  <si>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</si>
  <si>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</si>
  <si>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</si>
  <si>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</si>
  <si>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</si>
  <si>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</si>
  <si>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</si>
  <si>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</si>
  <si>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</si>
  <si>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</si>
  <si>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</si>
  <si>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</si>
  <si>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</si>
  <si>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</si>
  <si>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</si>
  <si>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</si>
  <si>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</si>
  <si>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</si>
  <si>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</si>
  <si>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</si>
  <si>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</si>
  <si>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</si>
  <si>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</si>
  <si>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</si>
  <si>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</si>
  <si>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</si>
  <si>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</si>
  <si>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</si>
  <si>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</si>
  <si>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</si>
  <si>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</si>
  <si>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</si>
  <si>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</si>
  <si>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</si>
  <si>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</si>
  <si>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</si>
  <si>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</si>
  <si>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</si>
  <si>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</si>
  <si>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</si>
  <si>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</si>
  <si>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</si>
  <si>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</si>
  <si>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</si>
  <si>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</si>
  <si>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</si>
  <si>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</si>
  <si>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</si>
  <si>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</si>
  <si>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</si>
  <si>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</si>
  <si>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</si>
  <si>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</si>
  <si>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</si>
  <si>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</si>
  <si>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</si>
  <si>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</si>
  <si>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</si>
  <si>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</si>
  <si>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</si>
  <si>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</si>
  <si>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</si>
  <si>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</si>
  <si>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</si>
  <si>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</si>
  <si>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</si>
  <si>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</si>
  <si>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</si>
  <si>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</si>
  <si>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</si>
  <si>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</si>
  <si>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</si>
  <si>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</si>
  <si>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</si>
  <si>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</si>
  <si>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</si>
  <si>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</si>
  <si>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</si>
  <si>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</si>
  <si>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</si>
  <si>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</si>
  <si>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</si>
  <si>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</si>
  <si>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</si>
  <si>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</si>
  <si>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</si>
  <si>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</si>
  <si>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</si>
  <si>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</si>
  <si>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</si>
  <si>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</si>
  <si>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</si>
  <si>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</si>
  <si>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</si>
  <si>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</si>
  <si>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</si>
  <si>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</si>
  <si>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</si>
  <si>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</si>
  <si>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</si>
  <si>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</si>
  <si>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</si>
  <si>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</si>
  <si>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</si>
  <si>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</si>
  <si>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</si>
  <si>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</si>
  <si>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</si>
  <si>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</si>
  <si>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</si>
  <si>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</si>
  <si>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</si>
  <si>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</si>
  <si>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</si>
  <si>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</si>
  <si>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</si>
  <si>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</si>
  <si>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</si>
  <si>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</si>
  <si>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</si>
  <si>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</si>
  <si>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</si>
  <si>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</si>
  <si>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</si>
  <si>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</si>
  <si>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</si>
  <si>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</si>
  <si>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</si>
  <si>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</si>
  <si>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</si>
  <si>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</si>
  <si>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</si>
  <si>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</si>
  <si>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</si>
  <si>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</si>
  <si>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</si>
  <si>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</si>
  <si>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</si>
  <si>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</si>
  <si>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</si>
  <si>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</si>
  <si>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</si>
  <si>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</si>
  <si>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</si>
  <si>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</si>
  <si>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</si>
  <si>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</si>
  <si>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</si>
  <si>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</si>
  <si>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</si>
  <si>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</si>
  <si>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</si>
  <si>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</si>
  <si>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</si>
  <si>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</si>
  <si>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</si>
  <si>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</si>
  <si>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</si>
  <si>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</si>
  <si>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</si>
  <si>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</si>
  <si>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</si>
  <si>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</si>
  <si>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</si>
  <si>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</si>
  <si>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</si>
  <si>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</si>
  <si>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</si>
  <si>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</si>
  <si>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</si>
  <si>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</si>
  <si>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</si>
  <si>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</si>
  <si>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</si>
  <si>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</si>
  <si>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</si>
  <si>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</si>
  <si>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</si>
  <si>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</si>
  <si>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</si>
  <si>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</si>
  <si>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</si>
  <si>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</si>
  <si>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</si>
  <si>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</si>
  <si>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</si>
  <si>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</si>
  <si>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</si>
  <si>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</si>
  <si>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</si>
  <si>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</si>
  <si>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</si>
  <si>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</si>
  <si>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</si>
  <si>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</si>
  <si>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</si>
  <si>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</si>
  <si>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</si>
  <si>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</si>
  <si>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</si>
  <si>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</si>
  <si>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</si>
  <si>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</si>
  <si>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</si>
  <si>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</si>
  <si>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</si>
  <si>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</si>
  <si>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</si>
  <si>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</si>
  <si>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</si>
  <si>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</si>
  <si>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</si>
  <si>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</si>
  <si>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</si>
  <si>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</si>
  <si>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</si>
  <si>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</si>
  <si>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</si>
  <si>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</si>
  <si>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</si>
  <si>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</si>
  <si>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</si>
  <si>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</si>
  <si>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</si>
  <si>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</si>
  <si>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</si>
  <si>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</si>
  <si>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</si>
  <si>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</si>
  <si>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</si>
  <si>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</si>
  <si>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</si>
  <si>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</si>
  <si>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</si>
  <si>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</si>
  <si>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</si>
  <si>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</si>
  <si>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</si>
  <si>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</si>
  <si>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</si>
  <si>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</si>
  <si>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</si>
  <si>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</si>
  <si>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</si>
  <si>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</si>
  <si>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</si>
  <si>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</si>
  <si>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</si>
  <si>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</si>
  <si>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</si>
  <si>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</si>
  <si>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</si>
  <si>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</si>
  <si>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</si>
  <si>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</si>
  <si>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</si>
  <si>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</si>
  <si>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</si>
  <si>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</si>
  <si>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</si>
  <si>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</si>
  <si>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</si>
  <si>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</si>
  <si>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</si>
  <si>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</si>
  <si>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</si>
  <si>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</si>
  <si>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</si>
  <si>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</si>
  <si>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</si>
  <si>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</si>
  <si>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</si>
  <si>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</si>
  <si>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</si>
  <si>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</si>
  <si>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</si>
  <si>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</si>
  <si>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</si>
  <si>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</si>
  <si>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</si>
  <si>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</si>
  <si>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</si>
  <si>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</si>
  <si>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</si>
  <si>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</si>
  <si>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</si>
  <si>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</si>
  <si>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</si>
  <si>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</si>
  <si>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</si>
  <si>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</si>
  <si>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</si>
  <si>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</si>
  <si>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</si>
  <si>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</si>
  <si>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</si>
  <si>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</si>
  <si>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</si>
  <si>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</si>
  <si>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</si>
  <si>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</si>
  <si>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</si>
  <si>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</si>
  <si>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</si>
  <si>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</si>
  <si>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</si>
  <si>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</si>
  <si>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</si>
  <si>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</si>
  <si>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</si>
  <si>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</si>
  <si>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</si>
  <si>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</si>
  <si>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</si>
  <si>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</si>
  <si>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</si>
  <si>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</si>
  <si>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</si>
  <si>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</si>
  <si>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</si>
  <si>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</si>
  <si>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</si>
  <si>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</si>
  <si>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</si>
  <si>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</si>
  <si>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</si>
  <si>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</si>
  <si>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</si>
  <si>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</si>
  <si>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</si>
  <si>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</si>
  <si>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</si>
  <si>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</si>
  <si>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</si>
  <si>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</si>
  <si>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</si>
  <si>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</si>
  <si>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</si>
  <si>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</si>
  <si>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</si>
  <si>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</si>
  <si>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</si>
  <si>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</si>
  <si>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</si>
  <si>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</si>
  <si>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</si>
  <si>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</si>
  <si>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</si>
  <si>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</si>
  <si>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</si>
  <si>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</si>
  <si>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</si>
  <si>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</si>
  <si>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</si>
  <si>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</si>
  <si>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</si>
  <si>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</si>
  <si>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</si>
  <si>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</si>
  <si>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</si>
  <si>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</si>
  <si>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</si>
  <si>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</si>
  <si>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</si>
  <si>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</si>
  <si>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</si>
  <si>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</si>
  <si>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</si>
  <si>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</si>
  <si>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</si>
  <si>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</si>
  <si>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</si>
  <si>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</si>
  <si>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</si>
  <si>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</si>
  <si>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</si>
  <si>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</si>
  <si>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</si>
  <si>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</si>
  <si>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</si>
  <si>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</si>
  <si>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</si>
  <si>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</si>
  <si>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</si>
  <si>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</si>
  <si>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</si>
  <si>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</si>
  <si>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</si>
  <si>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</si>
  <si>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</si>
  <si>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</si>
  <si>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</si>
  <si>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</si>
  <si>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</si>
  <si>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</si>
  <si>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</si>
  <si>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</si>
  <si>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</si>
  <si>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</si>
  <si>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</si>
  <si>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</si>
  <si>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</si>
  <si>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</si>
  <si>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</si>
  <si>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</si>
  <si>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</si>
  <si>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</si>
  <si>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</si>
  <si>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</si>
  <si>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</si>
  <si>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</si>
  <si>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</si>
  <si>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</si>
  <si>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</si>
  <si>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</si>
  <si>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</si>
  <si>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</si>
  <si>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</si>
  <si>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</si>
  <si>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</si>
  <si>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</si>
  <si>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</si>
  <si>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</si>
  <si>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</si>
  <si>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</si>
  <si>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</si>
  <si>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</si>
  <si>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</si>
  <si>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</si>
  <si>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</si>
  <si>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</si>
  <si>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- 770 Boggs</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</si>
  <si>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</si>
  <si>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</si>
  <si>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</si>
  <si>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</si>
  <si>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</si>
  <si>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</si>
  <si>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</si>
  <si>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</si>
  <si>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</si>
  <si>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</si>
  <si>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</si>
  <si>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</si>
  <si>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</si>
  <si>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</si>
  <si>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</si>
  <si>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Boggs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</si>
  <si>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</si>
  <si>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</si>
  <si>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</si>
  <si>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</si>
  <si>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</si>
  <si>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</si>
  <si>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</si>
  <si>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</si>
  <si>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</si>
  <si>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</si>
  <si>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</si>
  <si>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</si>
  <si>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</si>
  <si>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</si>
  <si>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</si>
  <si>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</si>
  <si>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</si>
  <si>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</si>
  <si>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</si>
  <si>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</si>
  <si>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</si>
  <si>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</si>
  <si>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</si>
  <si>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</si>
  <si>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</si>
  <si>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</si>
  <si>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</si>
  <si>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</si>
  <si>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</si>
  <si>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</si>
  <si>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</si>
  <si>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</si>
  <si>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</si>
  <si>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</si>
  <si>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</si>
  <si>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</si>
  <si>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</si>
  <si>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</si>
  <si>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</si>
  <si>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</si>
  <si>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</si>
  <si>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</si>
  <si>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</si>
  <si>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4140101</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</si>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</sst>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7.7168949771689102</c:v>
                </c:pt>
                <c:pt idx="1">
                  <c:v>0.26113598867139654</c:v>
                </c:pt>
                <c:pt idx="2">
                  <c:v>24.663967618084261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76</c:v>
                </c:pt>
                <c:pt idx="1">
                  <c:v>1.2666666666666666</c:v>
                </c:pt>
                <c:pt idx="2" formatCode="General">
                  <c:v>122.73333333333333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0.20899999999999999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1.0725E-2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4.3333333333333002E-2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1.0725E-2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1.6045840136054428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$5,038/Yr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476.98397999999992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148.75575000000001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601.03333333332864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148.75575000000001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3662.0137275306133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1.6273970799769886</c:v>
                </c:pt>
                <c:pt idx="1">
                  <c:v>9.0856271993300333E-2</c:v>
                </c:pt>
                <c:pt idx="2">
                  <c:v>9.6387806471922541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1046.6953774334265</c:v>
                </c:pt>
                <c:pt idx="1">
                  <c:v>97.186039594358903</c:v>
                </c:pt>
                <c:pt idx="2" formatCode="_(* #,##0_);_(* \(#,##0\);_(* &quot;-&quot;??_);_(@_)">
                  <c:v>11004.373532267076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I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EA"/><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BU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7.emf"/><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2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2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28"/>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29"/>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30"/>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31"/>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32"/>
                  </a:ext>
                </a:extLst>
              </xdr:cNvPicPr>
            </xdr:nvPicPr>
            <xdr:blipFill rotWithShape="1">
              <a:blip xmlns:r="http://schemas.openxmlformats.org/officeDocument/2006/relationships" r:embed="rId8"/>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1"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33"/>
                  </a:ext>
                </a:extLst>
              </xdr:cNvPicPr>
            </xdr:nvPicPr>
            <xdr:blipFill rotWithShape="1">
              <a:blip xmlns:r="http://schemas.openxmlformats.org/officeDocument/2006/relationships" r:embed="rId8"/>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2"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34"/>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3"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35"/>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36"/>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37"/>
                  </a:ext>
                </a:extLst>
              </xdr:cNvPicPr>
            </xdr:nvPicPr>
            <xdr:blipFill rotWithShape="1">
              <a:blip xmlns:r="http://schemas.openxmlformats.org/officeDocument/2006/relationships" r:embed="rId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38"/>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39"/>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40"/>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41"/>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42"/>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43"/>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44"/>
                  </a:ext>
                </a:extLst>
              </xdr:cNvPicPr>
            </xdr:nvPicPr>
            <xdr:blipFill rotWithShape="1">
              <a:blip xmlns:r="http://schemas.openxmlformats.org/officeDocument/2006/relationships" r:embed="rId1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0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07"/>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51">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5"/>
    </row>
    <row r="3" spans="1:55" s="41" customFormat="1" ht="12.95" customHeight="1">
      <c r="A3" s="82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4"/>
    </row>
    <row r="4" spans="1:55" s="41" customFormat="1" ht="12.95" customHeight="1">
      <c r="A4" s="82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4"/>
    </row>
    <row r="5" spans="1:55" s="41" customFormat="1" ht="12.95" customHeight="1">
      <c r="A5" s="82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4"/>
    </row>
    <row r="6" spans="1:55" s="41" customFormat="1" ht="12.95" customHeight="1">
      <c r="A6" s="82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4"/>
    </row>
    <row r="7" spans="1:55" s="41" customFormat="1" ht="12.95" customHeight="1">
      <c r="A7" s="82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4"/>
    </row>
    <row r="8" spans="1:55" s="41" customFormat="1" ht="16.899999999999999" customHeight="1">
      <c r="A8" s="82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4"/>
    </row>
    <row r="9" spans="1:55" s="41" customFormat="1" ht="12.95" customHeight="1">
      <c r="A9" s="82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4"/>
    </row>
    <row r="10" spans="1:55" s="41" customFormat="1" ht="12.95" customHeight="1">
      <c r="A10" s="82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45360</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4"/>
    </row>
    <row r="26" spans="1:55" s="41" customFormat="1" ht="12.95" customHeight="1">
      <c r="A26" s="82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4"/>
    </row>
    <row r="27" spans="1:55" s="41" customFormat="1" ht="12.95" customHeight="1">
      <c r="A27" s="824"/>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4"/>
    </row>
    <row r="28" spans="1:55" s="41" customFormat="1" ht="12.95" customHeight="1">
      <c r="A28" s="82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584</v>
      </c>
      <c r="AI28" s="929">
        <v>85</v>
      </c>
      <c r="AJ28" s="930"/>
      <c r="AK28" s="930"/>
      <c r="AL28" s="931"/>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45" t="s">
        <v>585</v>
      </c>
      <c r="C30" s="946"/>
      <c r="D30" s="946"/>
      <c r="E30" s="946"/>
      <c r="F30" s="946"/>
      <c r="G30" s="947" t="s">
        <v>586</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587</v>
      </c>
      <c r="Z31" s="502"/>
      <c r="AA31" s="118"/>
      <c r="AB31" s="118"/>
      <c r="AC31" s="826"/>
      <c r="AD31" s="521" t="s">
        <v>588</v>
      </c>
      <c r="AE31" s="515"/>
      <c r="AF31" s="516"/>
      <c r="AG31" s="517"/>
      <c r="AH31" s="518"/>
      <c r="AI31" s="519"/>
      <c r="AJ31" s="519"/>
      <c r="AK31" s="519"/>
      <c r="AL31" s="521" t="s">
        <v>589</v>
      </c>
      <c r="AM31" s="520"/>
      <c r="AN31" s="520"/>
      <c r="AO31" s="520"/>
      <c r="AP31" s="519"/>
      <c r="AQ31" s="519"/>
      <c r="AR31" s="519"/>
      <c r="AS31" s="519"/>
      <c r="AT31" s="826"/>
      <c r="AU31" s="514" t="s">
        <v>590</v>
      </c>
      <c r="AV31" s="528"/>
      <c r="AW31" s="529"/>
      <c r="AX31" s="530"/>
      <c r="AY31" s="499"/>
      <c r="AZ31" s="499"/>
      <c r="BA31" s="499"/>
      <c r="BB31" s="469"/>
      <c r="BC31" s="824"/>
    </row>
    <row r="32" spans="1:55" s="41" customFormat="1" ht="12.95" customHeight="1">
      <c r="A32" s="82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45" t="s">
        <v>591</v>
      </c>
      <c r="C33" s="946"/>
      <c r="D33" s="946"/>
      <c r="E33" s="946"/>
      <c r="F33" s="946"/>
      <c r="G33" s="947" t="s">
        <v>592</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45"/>
      <c r="C34" s="946"/>
      <c r="D34" s="946"/>
      <c r="E34" s="946"/>
      <c r="F34" s="946"/>
      <c r="G34" s="947"/>
      <c r="H34" s="947"/>
      <c r="I34" s="947"/>
      <c r="J34" s="947"/>
      <c r="K34" s="947"/>
      <c r="L34" s="947"/>
      <c r="M34" s="947"/>
      <c r="N34" s="947"/>
      <c r="O34" s="947"/>
      <c r="P34" s="947"/>
      <c r="Q34" s="947"/>
      <c r="R34" s="947"/>
      <c r="S34" s="947"/>
      <c r="T34" s="947"/>
      <c r="U34" s="801"/>
      <c r="V34" s="502"/>
      <c r="W34" s="118"/>
      <c r="X34" s="525"/>
      <c r="Y34" s="525"/>
      <c r="Z34" s="118"/>
      <c r="AA34" s="765" t="s">
        <v>593</v>
      </c>
      <c r="AB34" s="933" t="s">
        <v>525</v>
      </c>
      <c r="AC34" s="933"/>
      <c r="AD34" s="933"/>
      <c r="AE34" s="933"/>
      <c r="AF34" s="493"/>
      <c r="AG34" s="493"/>
      <c r="AH34" s="493"/>
      <c r="AI34" s="493"/>
      <c r="AJ34" s="500"/>
      <c r="AK34" s="500"/>
      <c r="AL34" s="118"/>
      <c r="AM34" s="525"/>
      <c r="AN34" s="525"/>
      <c r="AO34" s="525"/>
      <c r="AP34" s="118"/>
      <c r="AQ34" s="118"/>
      <c r="AR34" s="765" t="s">
        <v>593</v>
      </c>
      <c r="AS34" s="933" t="s">
        <v>538</v>
      </c>
      <c r="AT34" s="933"/>
      <c r="AU34" s="933"/>
      <c r="AV34" s="933"/>
      <c r="AW34" s="933"/>
      <c r="AX34" s="933"/>
      <c r="AY34" s="933"/>
      <c r="AZ34" s="933"/>
      <c r="BA34" s="501"/>
      <c r="BB34" s="469"/>
      <c r="BC34" s="824"/>
    </row>
    <row r="35" spans="1:55" s="41" customFormat="1" ht="12.95" customHeight="1">
      <c r="A35" s="824"/>
      <c r="B35" s="945"/>
      <c r="C35" s="946"/>
      <c r="D35" s="946"/>
      <c r="E35" s="946"/>
      <c r="F35" s="946"/>
      <c r="G35" s="947"/>
      <c r="H35" s="947"/>
      <c r="I35" s="947"/>
      <c r="J35" s="947"/>
      <c r="K35" s="947"/>
      <c r="L35" s="947"/>
      <c r="M35" s="947"/>
      <c r="N35" s="947"/>
      <c r="O35" s="947"/>
      <c r="P35" s="947"/>
      <c r="Q35" s="947"/>
      <c r="R35" s="947"/>
      <c r="S35" s="947"/>
      <c r="T35" s="947"/>
      <c r="U35" s="80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4"/>
    </row>
    <row r="37" spans="1:55" s="41" customFormat="1" ht="12.95" customHeight="1">
      <c r="A37" s="824"/>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4"/>
    </row>
    <row r="38" spans="1:55" s="41" customFormat="1" ht="12.95" customHeight="1">
      <c r="A38" s="824"/>
      <c r="B38" s="945"/>
      <c r="C38" s="946"/>
      <c r="D38" s="946"/>
      <c r="E38" s="946"/>
      <c r="F38" s="946"/>
      <c r="G38" s="947"/>
      <c r="H38" s="947"/>
      <c r="I38" s="947"/>
      <c r="J38" s="947"/>
      <c r="K38" s="947"/>
      <c r="L38" s="947"/>
      <c r="M38" s="947"/>
      <c r="N38" s="947"/>
      <c r="O38" s="947"/>
      <c r="P38" s="947"/>
      <c r="Q38" s="947"/>
      <c r="R38" s="947"/>
      <c r="S38" s="947"/>
      <c r="T38" s="947"/>
      <c r="U38" s="801"/>
      <c r="V38" s="509"/>
      <c r="W38" s="509"/>
      <c r="X38" s="932" t="s">
        <v>599</v>
      </c>
      <c r="Y38" s="932"/>
      <c r="Z38" s="932"/>
      <c r="AA38" s="932"/>
      <c r="AB38" s="932"/>
      <c r="AC38" s="932"/>
      <c r="AD38" s="932"/>
      <c r="AE38" s="509"/>
      <c r="AF38" s="509"/>
      <c r="AG38" s="798"/>
      <c r="AH38" s="798"/>
      <c r="AI38" s="798"/>
      <c r="AJ38" s="798"/>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45" t="s">
        <v>600</v>
      </c>
      <c r="C39" s="946"/>
      <c r="D39" s="946"/>
      <c r="E39" s="946"/>
      <c r="F39" s="946"/>
      <c r="G39" s="947" t="s">
        <v>601</v>
      </c>
      <c r="H39" s="947"/>
      <c r="I39" s="947"/>
      <c r="J39" s="947"/>
      <c r="K39" s="947"/>
      <c r="L39" s="947"/>
      <c r="M39" s="947"/>
      <c r="N39" s="947"/>
      <c r="O39" s="947"/>
      <c r="P39" s="947"/>
      <c r="Q39" s="947"/>
      <c r="R39" s="947"/>
      <c r="S39" s="947"/>
      <c r="T39" s="947"/>
      <c r="U39" s="801"/>
      <c r="V39" s="509"/>
      <c r="W39" s="936">
        <v>0.01</v>
      </c>
      <c r="X39" s="936"/>
      <c r="Y39" s="936"/>
      <c r="Z39" s="922" t="s">
        <v>602</v>
      </c>
      <c r="AA39" s="923"/>
      <c r="AB39" s="924"/>
      <c r="AC39" s="507" t="s">
        <v>603</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24"/>
    </row>
    <row r="40" spans="1:55" s="41" customFormat="1" ht="12.95" customHeight="1">
      <c r="A40" s="824"/>
      <c r="B40" s="945"/>
      <c r="C40" s="946"/>
      <c r="D40" s="946"/>
      <c r="E40" s="946"/>
      <c r="F40" s="946"/>
      <c r="G40" s="947"/>
      <c r="H40" s="947"/>
      <c r="I40" s="947"/>
      <c r="J40" s="947"/>
      <c r="K40" s="947"/>
      <c r="L40" s="947"/>
      <c r="M40" s="947"/>
      <c r="N40" s="947"/>
      <c r="O40" s="947"/>
      <c r="P40" s="947"/>
      <c r="Q40" s="947"/>
      <c r="R40" s="947"/>
      <c r="S40" s="947"/>
      <c r="T40" s="947"/>
      <c r="U40" s="801"/>
      <c r="V40" s="509"/>
      <c r="W40" s="509"/>
      <c r="X40" s="509"/>
      <c r="Y40" s="509"/>
      <c r="Z40" s="922" t="s">
        <v>604</v>
      </c>
      <c r="AA40" s="923"/>
      <c r="AB40" s="924"/>
      <c r="AC40" s="925" t="s">
        <v>605</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24"/>
    </row>
    <row r="41" spans="1:55" s="41" customFormat="1" ht="12.95" customHeight="1">
      <c r="A41" s="824"/>
      <c r="B41" s="945"/>
      <c r="C41" s="946"/>
      <c r="D41" s="946"/>
      <c r="E41" s="946"/>
      <c r="F41" s="946"/>
      <c r="G41" s="947"/>
      <c r="H41" s="947"/>
      <c r="I41" s="947"/>
      <c r="J41" s="947"/>
      <c r="K41" s="947"/>
      <c r="L41" s="947"/>
      <c r="M41" s="947"/>
      <c r="N41" s="947"/>
      <c r="O41" s="947"/>
      <c r="P41" s="947"/>
      <c r="Q41" s="947"/>
      <c r="R41" s="947"/>
      <c r="S41" s="947"/>
      <c r="T41" s="947"/>
      <c r="U41" s="801"/>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09"/>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24"/>
    </row>
    <row r="44" spans="1:55" s="41" customFormat="1" ht="12.95" customHeight="1">
      <c r="A44" s="824"/>
      <c r="B44" s="478"/>
      <c r="C44" s="149" t="s">
        <v>609</v>
      </c>
      <c r="D44" s="503"/>
      <c r="E44" s="503"/>
      <c r="F44" s="118"/>
      <c r="G44" s="118"/>
      <c r="H44" s="118"/>
      <c r="I44" s="118"/>
      <c r="J44" s="118"/>
      <c r="K44" s="118"/>
      <c r="L44" s="118"/>
      <c r="M44" s="118"/>
      <c r="N44" s="118"/>
      <c r="O44" s="118"/>
      <c r="P44" s="118"/>
      <c r="Q44" s="118"/>
      <c r="R44" s="118"/>
      <c r="S44" s="118"/>
      <c r="T44" s="118"/>
      <c r="U44" s="801"/>
      <c r="V44" s="509"/>
      <c r="W44" s="509"/>
      <c r="X44" s="932" t="s">
        <v>599</v>
      </c>
      <c r="Y44" s="932"/>
      <c r="Z44" s="932"/>
      <c r="AA44" s="932"/>
      <c r="AB44" s="932"/>
      <c r="AC44" s="932"/>
      <c r="AD44" s="932"/>
      <c r="AE44" s="509"/>
      <c r="AF44" s="509"/>
      <c r="AG44" s="798"/>
      <c r="AH44" s="935"/>
      <c r="AI44" s="935"/>
      <c r="AJ44" s="935"/>
      <c r="AK44" s="935"/>
      <c r="AL44" s="935"/>
      <c r="AM44" s="935"/>
      <c r="AN44" s="935"/>
      <c r="AO44" s="935"/>
      <c r="AP44" s="935"/>
      <c r="AQ44" s="935"/>
      <c r="AR44" s="935"/>
      <c r="AS44" s="935"/>
      <c r="AT44" s="935"/>
      <c r="AU44" s="935"/>
      <c r="AV44" s="935"/>
      <c r="AW44" s="935"/>
      <c r="AX44" s="799"/>
      <c r="AY44" s="799"/>
      <c r="AZ44" s="799"/>
      <c r="BA44" s="501"/>
      <c r="BB44" s="469"/>
      <c r="BC44" s="824"/>
    </row>
    <row r="45" spans="1:55" s="41" customFormat="1" ht="12.95" customHeight="1">
      <c r="A45" s="824"/>
      <c r="B45" s="478"/>
      <c r="C45" s="644" t="s">
        <v>610</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611</v>
      </c>
      <c r="AA45" s="923"/>
      <c r="AB45" s="924"/>
      <c r="AC45" s="507" t="s">
        <v>603</v>
      </c>
      <c r="AD45" s="509"/>
      <c r="AE45" s="509"/>
      <c r="AF45" s="509"/>
      <c r="AG45" s="798"/>
      <c r="AH45" s="798"/>
      <c r="AI45" s="938" t="s">
        <v>612</v>
      </c>
      <c r="AJ45" s="938"/>
      <c r="AK45" s="938"/>
      <c r="AL45" s="938"/>
      <c r="AM45" s="938"/>
      <c r="AN45" s="938"/>
      <c r="AO45" s="938"/>
      <c r="AP45" s="938"/>
      <c r="AQ45" s="938"/>
      <c r="AR45" s="938"/>
      <c r="AS45" s="938"/>
      <c r="AT45" s="938"/>
      <c r="AU45" s="938"/>
      <c r="AV45" s="938"/>
      <c r="AW45" s="938"/>
      <c r="AX45" s="501"/>
      <c r="AY45" s="501"/>
      <c r="AZ45" s="501"/>
      <c r="BA45" s="501"/>
      <c r="BB45" s="469"/>
      <c r="BC45" s="824"/>
    </row>
    <row r="46" spans="1:55" s="41" customFormat="1" ht="12.95" customHeight="1">
      <c r="A46" s="82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614</v>
      </c>
      <c r="AA46" s="923"/>
      <c r="AB46" s="924"/>
      <c r="AC46" s="925" t="s">
        <v>615</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24"/>
    </row>
    <row r="47" spans="1:55" s="41" customFormat="1" ht="12.95" customHeight="1">
      <c r="A47" s="82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00"/>
      <c r="AY47" s="800"/>
      <c r="AZ47" s="800"/>
      <c r="BA47" s="501"/>
      <c r="BB47" s="469"/>
      <c r="BC47" s="824"/>
    </row>
    <row r="48" spans="1:55" s="41" customFormat="1" ht="12.95" customHeight="1">
      <c r="A48" s="82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1"/>
      <c r="BB48" s="469"/>
      <c r="BC48" s="824"/>
    </row>
    <row r="49" spans="1:55" s="41" customFormat="1" ht="12.95" customHeight="1">
      <c r="A49" s="82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24"/>
    </row>
    <row r="50" spans="1:55" s="41" customFormat="1" ht="12.95" customHeight="1">
      <c r="A50" s="824"/>
      <c r="B50" s="479"/>
      <c r="C50" s="645" t="s">
        <v>621</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24"/>
    </row>
    <row r="51" spans="1:55" s="41" customFormat="1" ht="12.95" customHeight="1">
      <c r="A51" s="82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L34" sqref="L34"/>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1014" t="s">
        <v>703</v>
      </c>
      <c r="C2" s="1015"/>
      <c r="D2" s="1015"/>
      <c r="E2" s="1015"/>
      <c r="F2" s="1015"/>
      <c r="G2" s="1015"/>
      <c r="H2" s="1015"/>
      <c r="I2" s="1015"/>
      <c r="J2" s="1015"/>
      <c r="K2" s="1015"/>
      <c r="L2" s="1015"/>
      <c r="M2" s="1015"/>
      <c r="N2" s="1015"/>
      <c r="O2" s="1015"/>
      <c r="P2" s="1015"/>
      <c r="Q2" s="1015"/>
      <c r="R2" s="1015"/>
      <c r="S2" s="1015"/>
      <c r="T2" s="1015"/>
      <c r="U2" s="1016"/>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704</v>
      </c>
      <c r="D4" s="1018" t="str">
        <f>IF(ISBLANK('Start Page'!AB9),"&lt;&lt; Please enter system details on the Start Page &gt;&gt;",'Start Page'!AB9&amp;IF(ISBLANK('Start Page'!AM28),"","  ("&amp;'Start Page'!AM28&amp;")"))</f>
        <v>PAW - 770 Boggs</v>
      </c>
      <c r="E4" s="1019"/>
      <c r="F4" s="1019"/>
      <c r="G4" s="1019"/>
      <c r="H4" s="1020"/>
      <c r="I4" s="1020"/>
      <c r="J4" s="1020"/>
      <c r="K4" s="1020"/>
      <c r="L4" s="1020"/>
      <c r="M4" s="1020"/>
      <c r="N4" s="1020"/>
      <c r="O4" s="1020"/>
      <c r="P4" s="1021"/>
      <c r="Q4" s="118"/>
      <c r="R4" s="118"/>
      <c r="S4" s="118"/>
      <c r="T4" s="118"/>
      <c r="U4" s="199"/>
      <c r="V4" s="824"/>
      <c r="W4" s="118"/>
      <c r="X4" s="118"/>
      <c r="Y4" s="118"/>
      <c r="Z4" s="118"/>
      <c r="AA4" s="118"/>
      <c r="AB4" s="206"/>
      <c r="AC4" s="206"/>
      <c r="AD4" s="206"/>
      <c r="AE4" s="206"/>
      <c r="AF4" s="118"/>
      <c r="AG4" s="118"/>
    </row>
    <row r="5" spans="1:33">
      <c r="A5" s="824"/>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987" t="s">
        <v>706</v>
      </c>
      <c r="R8" s="988"/>
      <c r="S8" s="47"/>
      <c r="T8" s="47"/>
      <c r="U8" s="807"/>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1024"/>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1024"/>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6"/>
      <c r="K12" s="1028" t="s">
        <v>707</v>
      </c>
      <c r="L12" s="1028"/>
      <c r="M12" s="1028"/>
      <c r="N12" s="1028"/>
      <c r="O12" s="1028"/>
      <c r="P12" s="1028"/>
      <c r="Q12" s="1028"/>
      <c r="R12" s="1028"/>
      <c r="S12" s="1028"/>
      <c r="T12" s="1028"/>
      <c r="U12" s="1024"/>
      <c r="V12" s="824"/>
      <c r="W12" s="118"/>
      <c r="X12" s="118"/>
      <c r="Y12" s="75" t="s">
        <v>708</v>
      </c>
      <c r="Z12" s="118"/>
      <c r="AA12" s="118"/>
      <c r="AB12" s="206" t="s">
        <v>709</v>
      </c>
      <c r="AC12" s="206" t="s">
        <v>710</v>
      </c>
      <c r="AD12" s="206" t="s">
        <v>711</v>
      </c>
      <c r="AE12" s="206" t="s">
        <v>712</v>
      </c>
      <c r="AF12" s="118"/>
      <c r="AG12" s="118"/>
    </row>
    <row r="13" spans="1:33">
      <c r="A13" s="824"/>
      <c r="B13" s="202"/>
      <c r="C13" s="47" t="s">
        <v>713</v>
      </c>
      <c r="D13" s="407"/>
      <c r="E13" s="407"/>
      <c r="F13" s="829"/>
      <c r="G13" s="829"/>
      <c r="H13" s="829"/>
      <c r="I13" s="829"/>
      <c r="J13" s="829"/>
      <c r="K13" s="700"/>
      <c r="L13" s="829"/>
      <c r="M13" s="829"/>
      <c r="N13" s="804"/>
      <c r="O13" s="205"/>
      <c r="P13" s="492" t="s">
        <v>599</v>
      </c>
      <c r="Q13" s="205"/>
      <c r="R13" s="205"/>
      <c r="S13" s="388"/>
      <c r="T13" s="388"/>
      <c r="U13" s="1024"/>
      <c r="V13" s="824"/>
      <c r="W13" s="111" t="s">
        <v>714</v>
      </c>
      <c r="X13" s="830"/>
      <c r="Y13" s="112" t="s">
        <v>715</v>
      </c>
      <c r="Z13" s="113" t="s">
        <v>716</v>
      </c>
      <c r="AA13" s="118" t="s">
        <v>717</v>
      </c>
      <c r="AB13" s="206" t="s">
        <v>718</v>
      </c>
      <c r="AC13" s="206" t="s">
        <v>719</v>
      </c>
      <c r="AD13" s="206" t="s">
        <v>720</v>
      </c>
      <c r="AE13" s="206" t="s">
        <v>720</v>
      </c>
      <c r="AF13" s="118"/>
      <c r="AG13" s="205" t="s">
        <v>721</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3" t="s">
        <v>722</v>
      </c>
      <c r="D15" s="699" t="s">
        <v>723</v>
      </c>
      <c r="E15" s="463" t="s">
        <v>724</v>
      </c>
      <c r="F15" s="390">
        <f>'Interactive Data Grading'!D20</f>
        <v>7</v>
      </c>
      <c r="G15" s="79"/>
      <c r="H15" s="424">
        <v>6.0449999999999999</v>
      </c>
      <c r="I15" s="468"/>
      <c r="J15" s="805" t="str">
        <f>IF('Start Page'!$AB$22="million gallons (US)","MG/Yr",IF('Start Page'!$AB$22="Megalitres (thousand cubic metres)","ML/Yr",IF('Start Page'!$AB$22="acre-feet","Acre-ft/Yr","")))</f>
        <v>MG/Yr</v>
      </c>
      <c r="K15" s="702" t="s">
        <v>723</v>
      </c>
      <c r="L15" s="490" t="s">
        <v>724</v>
      </c>
      <c r="M15" s="390">
        <f>'Interactive Data Grading'!D43</f>
        <v>10</v>
      </c>
      <c r="N15" s="805"/>
      <c r="O15" s="386">
        <v>0.02</v>
      </c>
      <c r="P15" s="466" t="s">
        <v>602</v>
      </c>
      <c r="Q15" s="992"/>
      <c r="R15" s="1022"/>
      <c r="S15" s="389" t="str">
        <f>IF('Start Page'!$AB$22="million gallons (US)","MG/Yr",IF('Start Page'!$AB$22="Megalitres (thousand cubic metres)","ML/Yr",IF('Start Page'!$AB$22="acre-feet","acre-ft/yr","")))</f>
        <v>MG/Yr</v>
      </c>
      <c r="T15" s="797" t="s">
        <v>725</v>
      </c>
      <c r="U15" s="445" t="s">
        <v>520</v>
      </c>
      <c r="V15" s="824"/>
      <c r="W15" s="383">
        <f>IF(P15="percent",1,2)</f>
        <v>1</v>
      </c>
      <c r="X15" s="833">
        <f>IF(H15&gt;0,IF(W15=1,O15*H15,Q15),0)</f>
        <v>0.12090000000000001</v>
      </c>
      <c r="Y15" s="84">
        <f>$Y$19/$Y$18*H15</f>
        <v>34.313725490196077</v>
      </c>
      <c r="Z15" s="114">
        <f>$Y$19/$Y$18*ABS(X15)</f>
        <v>0.68627450980392168</v>
      </c>
      <c r="AA15" s="753">
        <f>IF(W15=1,input_VOS-input_VOS/(1+O15*AB15),Q15*AB15)</f>
        <v>-0.12336734693877549</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6.1683673469387754</v>
      </c>
    </row>
    <row r="16" spans="1:33">
      <c r="A16" s="824"/>
      <c r="B16" s="448" t="s">
        <v>524</v>
      </c>
      <c r="C16" s="803" t="s">
        <v>726</v>
      </c>
      <c r="D16" s="699"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2" t="s">
        <v>723</v>
      </c>
      <c r="L16" s="490"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797" t="s">
        <v>727</v>
      </c>
      <c r="U16" s="445" t="s">
        <v>529</v>
      </c>
      <c r="V16" s="824"/>
      <c r="W16" s="383">
        <f t="shared" ref="W16:W17" si="0">IF(P16="percent",1,2)</f>
        <v>1</v>
      </c>
      <c r="X16" s="833">
        <f>IF(H16&gt;0,IF(W16=1,O16*H16,Q16),0)</f>
        <v>0</v>
      </c>
      <c r="Y16" s="84">
        <f>$Y$19/$Y$18*H16</f>
        <v>0</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24"/>
      <c r="B17" s="448" t="s">
        <v>533</v>
      </c>
      <c r="C17" s="803" t="s">
        <v>728</v>
      </c>
      <c r="D17" s="699"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2" t="s">
        <v>723</v>
      </c>
      <c r="L17" s="490"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797" t="s">
        <v>727</v>
      </c>
      <c r="U17" s="445" t="s">
        <v>536</v>
      </c>
      <c r="V17" s="824"/>
      <c r="W17" s="383">
        <f t="shared" si="0"/>
        <v>1</v>
      </c>
      <c r="X17" s="833">
        <f>IF(H17&gt;0,IF(W17=1,O17*H17,Q17),0)</f>
        <v>0</v>
      </c>
      <c r="Y17" s="84">
        <f>$Y$19/$Y$18*H17</f>
        <v>0</v>
      </c>
      <c r="Z17" s="114">
        <f>$Y$19/$Y$18*ABS(X17)</f>
        <v>0</v>
      </c>
      <c r="AA17" s="753">
        <f>IF(W17=1,input_WE-input_WE/(1+O17*AB17),Q17*AB17)</f>
        <v>0</v>
      </c>
      <c r="AB17" s="834">
        <f t="shared" si="1"/>
        <v>0</v>
      </c>
      <c r="AC17" s="206" t="str">
        <f t="shared" si="2"/>
        <v>no</v>
      </c>
      <c r="AD17" s="206" t="str">
        <f>IF(OR(T17="select…..",T17=""),"no","yes")</f>
        <v>no</v>
      </c>
      <c r="AE17" s="206" t="str">
        <f t="shared" si="3"/>
        <v>no</v>
      </c>
      <c r="AF17" s="205">
        <f t="shared" si="4"/>
        <v>0</v>
      </c>
      <c r="AG17" s="753">
        <f>input_WE-AA17</f>
        <v>0</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991" t="s">
        <v>729</v>
      </c>
      <c r="U18" s="444"/>
      <c r="V18" s="824"/>
      <c r="W18" s="383"/>
      <c r="X18" s="385"/>
      <c r="Y18" s="84">
        <f>H15+H16+H17+IF(H15&gt;0,ABS(X15),0)+IF(H16&gt;0,ABS(X16),0)+IF(H17&gt;0,(ABS(X17)),)</f>
        <v>6.1658999999999997</v>
      </c>
      <c r="Z18" s="115"/>
      <c r="AA18" s="118"/>
      <c r="AB18" s="206"/>
      <c r="AC18" s="206"/>
      <c r="AD18" s="206"/>
      <c r="AE18" s="206"/>
      <c r="AF18" s="205">
        <f>SUM(AF15:AF17)</f>
        <v>0</v>
      </c>
      <c r="AG18" s="118" t="s">
        <v>730</v>
      </c>
    </row>
    <row r="19" spans="1:33" ht="13.5" thickBot="1">
      <c r="A19" s="824"/>
      <c r="B19" s="447"/>
      <c r="C19" s="995" t="s">
        <v>731</v>
      </c>
      <c r="D19" s="995"/>
      <c r="E19" s="995"/>
      <c r="F19" s="995"/>
      <c r="G19" s="205"/>
      <c r="H19" s="726">
        <f>IF(AF18&gt;0,"Select under/over",IF(H15&gt;0,IF(W15=1,H15/(1+O15*AB15),H15-Q15*AB15),0)+IF(H16&gt;0,IF(W16=1,H16/(1+O16*AB16),H16-Q16*AB16),0)-IF(H17&gt;0,IF(W17=1,H17/(1+O17*AB17),H17-Q17*AB17),0))</f>
        <v>6.1683673469387754</v>
      </c>
      <c r="I19" s="836"/>
      <c r="J19" s="805" t="str">
        <f>IF('Start Page'!$AB$22="million gallons (US)","MG/Yr",IF('Start Page'!$AB$22="Megalitres (thousand cubic metres)","ML/Yr",IF('Start Page'!$AB$22="acre-feet","Acre-ft/Yr","")))</f>
        <v>MG/Yr</v>
      </c>
      <c r="K19" s="524" t="str">
        <f>IF(H19="Select under/over","----------------&gt;----------------&gt;----------------&gt;----------------&gt;----------------&gt;","")</f>
        <v/>
      </c>
      <c r="L19" s="805"/>
      <c r="M19" s="118"/>
      <c r="N19" s="805"/>
      <c r="O19" s="255"/>
      <c r="P19" s="205"/>
      <c r="Q19" s="205"/>
      <c r="R19" s="118"/>
      <c r="S19" s="118"/>
      <c r="T19" s="991"/>
      <c r="U19" s="807"/>
      <c r="V19" s="824"/>
      <c r="W19" s="837"/>
      <c r="X19" s="838"/>
      <c r="Y19" s="838">
        <f>'M36 Refs'!AE121</f>
        <v>35</v>
      </c>
      <c r="Z19" s="117" t="s">
        <v>732</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991"/>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733</v>
      </c>
      <c r="G21" s="434"/>
      <c r="H21" s="839"/>
      <c r="I21" s="839"/>
      <c r="J21" s="839"/>
      <c r="K21" s="839"/>
      <c r="L21" s="839"/>
      <c r="M21" s="839"/>
      <c r="N21" s="839"/>
      <c r="O21" s="840"/>
      <c r="P21" s="840"/>
      <c r="Q21" s="840"/>
      <c r="R21" s="839"/>
      <c r="S21" s="118"/>
      <c r="T21" s="991"/>
      <c r="U21" s="199"/>
      <c r="V21" s="824"/>
      <c r="W21" s="118"/>
      <c r="X21" s="118"/>
      <c r="Y21" s="118"/>
      <c r="Z21" s="118"/>
      <c r="AA21" s="118"/>
      <c r="AB21" s="206"/>
      <c r="AC21" s="206"/>
      <c r="AD21" s="206"/>
      <c r="AE21" s="206"/>
      <c r="AF21" s="118"/>
      <c r="AG21" s="118"/>
    </row>
    <row r="22" spans="1:33" ht="13.5" thickBot="1">
      <c r="A22" s="824"/>
      <c r="B22" s="447"/>
      <c r="C22" s="47" t="s">
        <v>734</v>
      </c>
      <c r="D22" s="405"/>
      <c r="E22" s="405"/>
      <c r="F22" s="210"/>
      <c r="G22" s="47"/>
      <c r="H22" s="47"/>
      <c r="I22" s="47"/>
      <c r="J22" s="47"/>
      <c r="K22" s="47"/>
      <c r="L22" s="47"/>
      <c r="M22" s="47"/>
      <c r="N22" s="47"/>
      <c r="O22" s="47"/>
      <c r="P22" s="47"/>
      <c r="Q22" s="47"/>
      <c r="R22" s="47"/>
      <c r="S22" s="47"/>
      <c r="T22" s="991"/>
      <c r="U22" s="199"/>
      <c r="V22" s="824"/>
      <c r="W22" s="118"/>
      <c r="X22" s="118"/>
      <c r="Y22" s="118"/>
      <c r="Z22" s="118"/>
      <c r="AA22" s="118"/>
      <c r="AB22" s="206"/>
      <c r="AC22" s="206"/>
      <c r="AD22" s="206"/>
      <c r="AE22" s="206"/>
      <c r="AF22" s="118"/>
      <c r="AG22" s="118"/>
    </row>
    <row r="23" spans="1:33">
      <c r="A23" s="824"/>
      <c r="B23" s="448" t="s">
        <v>541</v>
      </c>
      <c r="C23" s="803" t="s">
        <v>735</v>
      </c>
      <c r="D23" s="699" t="s">
        <v>723</v>
      </c>
      <c r="E23" s="463" t="s">
        <v>724</v>
      </c>
      <c r="F23" s="390">
        <f>'Interactive Data Grading'!D177</f>
        <v>9</v>
      </c>
      <c r="G23" s="79"/>
      <c r="H23" s="254">
        <v>4.29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4"/>
      <c r="W23" s="841"/>
      <c r="X23" s="830"/>
      <c r="Y23" s="116">
        <f>IFERROR($Y$26/$Y$25*H23,7)</f>
        <v>14</v>
      </c>
      <c r="Z23" s="842"/>
      <c r="AA23" s="118" t="s">
        <v>736</v>
      </c>
      <c r="AB23" s="206"/>
      <c r="AC23" s="206"/>
      <c r="AD23" s="206"/>
      <c r="AE23" s="206"/>
      <c r="AF23" s="118"/>
      <c r="AG23" s="118"/>
    </row>
    <row r="24" spans="1:33">
      <c r="A24" s="824"/>
      <c r="B24" s="448" t="s">
        <v>544</v>
      </c>
      <c r="C24" s="803" t="s">
        <v>737</v>
      </c>
      <c r="D24" s="699"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4"/>
      <c r="W24" s="383"/>
      <c r="X24" s="118"/>
      <c r="Y24" s="84">
        <f>IFERROR($Y$26/$Y$25*H25,7)</f>
        <v>0</v>
      </c>
      <c r="Z24" s="832"/>
      <c r="AA24" s="118"/>
      <c r="AB24" s="206"/>
      <c r="AC24" s="206"/>
      <c r="AD24" s="206"/>
      <c r="AE24" s="206"/>
      <c r="AF24" s="118"/>
      <c r="AG24" s="118"/>
    </row>
    <row r="25" spans="1:33" ht="13.35" customHeight="1">
      <c r="A25" s="824"/>
      <c r="B25" s="448" t="s">
        <v>546</v>
      </c>
      <c r="C25" s="803" t="s">
        <v>738</v>
      </c>
      <c r="D25" s="699" t="s">
        <v>723</v>
      </c>
      <c r="E25" s="463" t="s">
        <v>724</v>
      </c>
      <c r="F25" s="390" t="str">
        <f>'Interactive Data Grading'!D224</f>
        <v>n/a</v>
      </c>
      <c r="G25" s="79"/>
      <c r="H25" s="395">
        <v>0</v>
      </c>
      <c r="I25" s="468"/>
      <c r="J25" s="805" t="str">
        <f>IF('Start Page'!$AB$22="million gallons (US)","MG/Yr",IF('Start Page'!$AB$22="Megalitres (thousand cubic metres)","ML/Yr",IF('Start Page'!$AB$22="acre-feet","Acre-ft/Yr","")))</f>
        <v>MG/Yr</v>
      </c>
      <c r="K25" s="805"/>
      <c r="L25" s="805"/>
      <c r="M25" s="805"/>
      <c r="N25" s="805"/>
      <c r="O25" s="205"/>
      <c r="P25" s="812" t="s">
        <v>599</v>
      </c>
      <c r="Q25" s="205"/>
      <c r="R25" s="118"/>
      <c r="S25" s="118"/>
      <c r="T25" s="118"/>
      <c r="U25" s="199"/>
      <c r="V25" s="824"/>
      <c r="W25" s="383"/>
      <c r="X25" s="118"/>
      <c r="Y25" s="753">
        <f>H23+H25</f>
        <v>4.29</v>
      </c>
      <c r="Z25" s="832"/>
      <c r="AA25" s="118"/>
      <c r="AB25" s="206"/>
      <c r="AC25" s="206"/>
      <c r="AD25" s="206"/>
      <c r="AE25" s="206"/>
      <c r="AF25" s="439" t="s">
        <v>739</v>
      </c>
      <c r="AG25" s="118"/>
    </row>
    <row r="26" spans="1:33" ht="15" customHeight="1" thickBot="1">
      <c r="A26" s="824"/>
      <c r="B26" s="448" t="s">
        <v>550</v>
      </c>
      <c r="C26" s="803" t="s">
        <v>740</v>
      </c>
      <c r="D26" s="699" t="s">
        <v>723</v>
      </c>
      <c r="E26" s="463" t="s">
        <v>724</v>
      </c>
      <c r="F26" s="390">
        <f>'Interactive Data Grading'!D247</f>
        <v>10</v>
      </c>
      <c r="G26" s="79"/>
      <c r="H26" s="726">
        <f>IF(OR(W26=1,AND(W26=2,Q26=0)),O26*SUM(H23:H24),Q26)</f>
        <v>0.20899999999999999</v>
      </c>
      <c r="I26" s="468"/>
      <c r="J26" s="805" t="str">
        <f>IF('Start Page'!$AB$22="million gallons (US)","MG/Yr",IF('Start Page'!$AB$22="Megalitres (thousand cubic metres)","ML/Yr",IF('Start Page'!$AB$22="acre-feet","Acre-ft/Yr","")))</f>
        <v>MG/Yr</v>
      </c>
      <c r="K26" s="805"/>
      <c r="L26" s="805"/>
      <c r="M26" s="805"/>
      <c r="N26" s="805"/>
      <c r="O26" s="391">
        <v>2.5000000000000001E-3</v>
      </c>
      <c r="P26" s="523" t="s">
        <v>614</v>
      </c>
      <c r="Q26" s="992">
        <v>0.20899999999999999</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732</v>
      </c>
      <c r="AA26" s="118" t="s">
        <v>741</v>
      </c>
      <c r="AB26" s="206"/>
      <c r="AC26" s="206"/>
      <c r="AD26" s="206"/>
      <c r="AE26" s="206"/>
      <c r="AF26" s="118"/>
      <c r="AG26" s="118"/>
    </row>
    <row r="27" spans="1:33" ht="2.25" customHeight="1">
      <c r="A27" s="824"/>
      <c r="B27" s="448"/>
      <c r="C27" s="164"/>
      <c r="D27" s="164"/>
      <c r="E27" s="409"/>
      <c r="F27" s="152"/>
      <c r="G27" s="152"/>
      <c r="H27" s="152"/>
      <c r="I27" s="152"/>
      <c r="J27" s="805"/>
      <c r="K27" s="805"/>
      <c r="L27" s="805"/>
      <c r="M27" s="805"/>
      <c r="N27" s="805"/>
      <c r="O27" s="805"/>
      <c r="P27" s="805"/>
      <c r="Q27" s="805">
        <v>24061</v>
      </c>
      <c r="R27" s="805"/>
      <c r="S27" s="805"/>
      <c r="T27" s="805"/>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989" t="s">
        <v>742</v>
      </c>
      <c r="D30" s="989"/>
      <c r="E30" s="989"/>
      <c r="F30" s="989"/>
      <c r="G30" s="205"/>
      <c r="H30" s="726">
        <f>SUM(H23:H26)</f>
        <v>4.4989999999999997</v>
      </c>
      <c r="I30" s="836"/>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743</v>
      </c>
      <c r="D35" s="47"/>
      <c r="E35" s="405"/>
      <c r="F35" s="213"/>
      <c r="G35" s="47"/>
      <c r="H35" s="726">
        <f>IFERROR(H19-H30,"")</f>
        <v>1.6693673469387758</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1017"/>
      <c r="Q36" s="118"/>
      <c r="R36" s="118"/>
      <c r="S36" s="118"/>
      <c r="T36" s="387"/>
      <c r="U36" s="199"/>
      <c r="V36" s="824"/>
      <c r="W36" s="118"/>
      <c r="X36" s="118"/>
      <c r="Y36" s="118"/>
      <c r="Z36" s="118"/>
      <c r="AA36" s="118"/>
      <c r="AB36" s="206"/>
      <c r="AC36" s="206"/>
    </row>
    <row r="37" spans="1:29">
      <c r="A37" s="824"/>
      <c r="B37" s="448"/>
      <c r="C37" s="79" t="s">
        <v>744</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2" t="s">
        <v>599</v>
      </c>
      <c r="Q38" s="468"/>
      <c r="R38" s="118"/>
      <c r="S38" s="118"/>
      <c r="T38" s="387"/>
      <c r="U38" s="199"/>
      <c r="V38" s="824"/>
      <c r="W38" s="385"/>
      <c r="X38" s="118"/>
      <c r="Y38" s="118"/>
      <c r="Z38" s="118"/>
      <c r="AA38" s="118"/>
      <c r="AB38" s="206"/>
      <c r="AC38" s="206"/>
    </row>
    <row r="39" spans="1:29" ht="13.35" customHeight="1">
      <c r="A39" s="824"/>
      <c r="B39" s="448" t="s">
        <v>554</v>
      </c>
      <c r="C39" s="803" t="s">
        <v>745</v>
      </c>
      <c r="D39" s="699" t="s">
        <v>723</v>
      </c>
      <c r="E39" s="463" t="s">
        <v>724</v>
      </c>
      <c r="F39" s="390">
        <f>'Interactive Data Grading'!D271</f>
        <v>3</v>
      </c>
      <c r="G39" s="152"/>
      <c r="H39" s="844">
        <f>IF(OR(W39=1,AND(W39=2,Q39=0)),O39*SUM(H23:H24),Q39)</f>
        <v>1.0725E-2</v>
      </c>
      <c r="I39" s="727"/>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4"/>
      <c r="W39" s="385">
        <f>IF(P39="default",1,2)</f>
        <v>1</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5"/>
      <c r="K40" s="805"/>
      <c r="L40" s="805"/>
      <c r="M40" s="805"/>
      <c r="N40" s="805"/>
      <c r="O40" s="118"/>
      <c r="P40" s="468"/>
      <c r="Q40" s="468"/>
      <c r="R40" s="118"/>
      <c r="S40" s="118"/>
      <c r="T40" s="118"/>
      <c r="U40" s="199"/>
      <c r="V40" s="824"/>
      <c r="W40" s="385"/>
      <c r="X40" s="118"/>
      <c r="Y40" s="118"/>
      <c r="Z40" s="118"/>
      <c r="AA40" s="118"/>
      <c r="AB40" s="206"/>
      <c r="AC40" s="206"/>
    </row>
    <row r="41" spans="1:29" ht="15" customHeight="1">
      <c r="A41" s="824"/>
      <c r="B41" s="448" t="s">
        <v>556</v>
      </c>
      <c r="C41" s="803" t="s">
        <v>746</v>
      </c>
      <c r="D41" s="699" t="s">
        <v>723</v>
      </c>
      <c r="E41" s="463" t="s">
        <v>724</v>
      </c>
      <c r="F41" s="390">
        <f>'Interactive Data Grading'!D300</f>
        <v>3</v>
      </c>
      <c r="G41" s="152"/>
      <c r="H41" s="845">
        <f>IF(OR(T41="Select…..",T41=""),"Select under/over",IF(W41=1,((H23+H25)/(1-(O41*X41)))-(H23+H25),Q41*X41))</f>
        <v>4.3333333333333002E-2</v>
      </c>
      <c r="I41" s="727"/>
      <c r="J41" s="805" t="str">
        <f>IF('Start Page'!$AB$22="million gallons (US)","MG/Yr",IF('Start Page'!$AB$22="Megalitres (thousand cubic metres)","ML/Yr",IF('Start Page'!$AB$22="acre-feet","Acre-ft/Yr","")))</f>
        <v>MG/Yr</v>
      </c>
      <c r="K41" s="805"/>
      <c r="L41" s="805"/>
      <c r="M41" s="805"/>
      <c r="N41" s="805"/>
      <c r="O41" s="422">
        <v>0.01</v>
      </c>
      <c r="P41" s="467" t="s">
        <v>602</v>
      </c>
      <c r="Q41" s="992"/>
      <c r="R41" s="992"/>
      <c r="S41" s="389" t="str">
        <f>IF('Start Page'!$AB$22="million gallons (US)","MG/Yr",IF('Start Page'!$AB$22="Megalitres (thousand cubic metres)","ML/Yr",IF('Start Page'!$AB$22="acre-feet","acre-ft/yr","")))</f>
        <v>MG/Yr</v>
      </c>
      <c r="T41" s="491" t="s">
        <v>725</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3" t="s">
        <v>747</v>
      </c>
      <c r="D43" s="699" t="s">
        <v>723</v>
      </c>
      <c r="E43" s="463" t="s">
        <v>724</v>
      </c>
      <c r="F43" s="390">
        <f>'Interactive Data Grading'!D322</f>
        <v>3</v>
      </c>
      <c r="G43" s="152"/>
      <c r="H43" s="726">
        <f>IF(OR(W43=1,AND(W43=2,Q43=0)),O43*SUM(H23:H24),Q43)</f>
        <v>1.0725E-2</v>
      </c>
      <c r="I43" s="727"/>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4"/>
      <c r="W43" s="385">
        <f>IF(P43="default",1,2)</f>
        <v>1</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5"/>
      <c r="N45" s="805"/>
      <c r="O45" s="118"/>
      <c r="P45" s="468"/>
      <c r="Q45" s="217"/>
      <c r="R45" s="217"/>
      <c r="S45" s="217"/>
      <c r="T45" s="993"/>
      <c r="U45" s="199"/>
      <c r="V45" s="824"/>
      <c r="W45" s="118"/>
      <c r="X45" s="118"/>
      <c r="Y45" s="118"/>
      <c r="Z45" s="118"/>
      <c r="AA45" s="118"/>
      <c r="AB45" s="206"/>
      <c r="AC45" s="206"/>
    </row>
    <row r="46" spans="1:29" ht="14.1" customHeight="1">
      <c r="A46" s="824"/>
      <c r="B46" s="448"/>
      <c r="C46" s="996" t="s">
        <v>748</v>
      </c>
      <c r="D46" s="996"/>
      <c r="E46" s="996"/>
      <c r="F46" s="996"/>
      <c r="G46" s="164"/>
      <c r="H46" s="726">
        <f t="array" ref="H46">SUM(IF(ISNUMBER(H39:H43),H39:H43))</f>
        <v>6.4783333333332999E-2</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4"/>
      <c r="W46" s="118"/>
      <c r="X46" s="118" t="s">
        <v>749</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2"/>
      <c r="T47" s="993"/>
      <c r="U47" s="199"/>
      <c r="V47" s="824"/>
      <c r="W47" s="118"/>
      <c r="X47" s="118"/>
      <c r="Y47" s="118"/>
      <c r="Z47" s="118"/>
      <c r="AA47" s="118"/>
      <c r="AB47" s="206"/>
      <c r="AC47" s="206"/>
    </row>
    <row r="48" spans="1:29" ht="18" customHeight="1">
      <c r="A48" s="82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4"/>
      <c r="W48" s="118"/>
      <c r="X48" s="105" t="s">
        <v>750</v>
      </c>
      <c r="Y48" s="106" t="s">
        <v>751</v>
      </c>
      <c r="Z48" s="118"/>
      <c r="AA48" s="990"/>
      <c r="AB48" s="990"/>
      <c r="AC48" s="990"/>
    </row>
    <row r="49" spans="1:29" ht="2.25" customHeight="1">
      <c r="A49" s="824"/>
      <c r="B49" s="448"/>
      <c r="C49" s="152"/>
      <c r="D49" s="220"/>
      <c r="E49" s="412"/>
      <c r="F49" s="221"/>
      <c r="G49" s="220"/>
      <c r="H49" s="118"/>
      <c r="I49" s="220"/>
      <c r="J49" s="836"/>
      <c r="K49" s="836"/>
      <c r="L49" s="836"/>
      <c r="M49" s="836"/>
      <c r="N49" s="836"/>
      <c r="O49" s="468"/>
      <c r="P49" s="118"/>
      <c r="Q49" s="217"/>
      <c r="R49" s="217"/>
      <c r="S49" s="217"/>
      <c r="T49" s="993"/>
      <c r="U49" s="199"/>
      <c r="V49" s="824"/>
      <c r="W49" s="118"/>
      <c r="X49" s="848"/>
      <c r="Y49" s="849"/>
      <c r="Z49" s="118"/>
      <c r="AA49" s="990"/>
      <c r="AB49" s="990"/>
      <c r="AC49" s="990"/>
    </row>
    <row r="50" spans="1:29" ht="15" customHeight="1" thickBot="1">
      <c r="A50" s="824"/>
      <c r="B50" s="448"/>
      <c r="C50" s="79" t="s">
        <v>752</v>
      </c>
      <c r="D50" s="220"/>
      <c r="E50" s="412"/>
      <c r="F50" s="219"/>
      <c r="G50" s="220"/>
      <c r="H50" s="788"/>
      <c r="I50" s="118"/>
      <c r="J50" s="788"/>
      <c r="K50" s="788"/>
      <c r="L50" s="788"/>
      <c r="M50" s="222"/>
      <c r="N50" s="788"/>
      <c r="O50" s="118"/>
      <c r="P50" s="118"/>
      <c r="Q50" s="217"/>
      <c r="R50" s="217"/>
      <c r="S50" s="217"/>
      <c r="T50" s="993"/>
      <c r="U50" s="199"/>
      <c r="V50" s="824"/>
      <c r="W50" s="118"/>
      <c r="X50" s="850">
        <f>IFERROR(IF(W41=1,((H23)/(1-(O41*X41)))-(H23),Q41*H23/(H23+H25)),0)</f>
        <v>4.3333333333333002E-2</v>
      </c>
      <c r="Y50" s="851">
        <f>IFERROR(IF(W41=1,((H25)/(1-(O41*X41)))-(H25),Q41*H25/(H23+H25)),0)</f>
        <v>0</v>
      </c>
      <c r="Z50" s="852">
        <f>SUM(X50:Y50)</f>
        <v>4.3333333333333002E-2</v>
      </c>
      <c r="AA50" s="990"/>
      <c r="AB50" s="990"/>
      <c r="AC50" s="990"/>
    </row>
    <row r="51" spans="1:29">
      <c r="A51" s="824"/>
      <c r="B51" s="448"/>
      <c r="C51" s="996" t="s">
        <v>753</v>
      </c>
      <c r="D51" s="996"/>
      <c r="E51" s="996"/>
      <c r="F51" s="996"/>
      <c r="G51" s="727"/>
      <c r="H51" s="726">
        <f>IFERROR(H35-H46,"")</f>
        <v>1.6045840136054428</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4"/>
      <c r="W51" s="118"/>
      <c r="X51" s="853">
        <f>X50*input_CRUC*1000</f>
        <v>601.03333333332864</v>
      </c>
      <c r="Y51" s="853">
        <f>Y50*input_VPC</f>
        <v>0</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989" t="s">
        <v>754</v>
      </c>
      <c r="D53" s="989"/>
      <c r="E53" s="989"/>
      <c r="F53" s="989"/>
      <c r="G53" s="468"/>
      <c r="H53" s="726">
        <f>IFERROR(H46+H51,"")</f>
        <v>1.6693673469387758</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755</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989" t="s">
        <v>756</v>
      </c>
      <c r="D57" s="989"/>
      <c r="E57" s="989"/>
      <c r="F57" s="989"/>
      <c r="G57" s="727"/>
      <c r="H57" s="726">
        <f>IFERROR(H35+H25+H26,"")</f>
        <v>1.8783673469387758</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757</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3" t="s">
        <v>758</v>
      </c>
      <c r="D61" s="699" t="s">
        <v>723</v>
      </c>
      <c r="E61" s="463" t="s">
        <v>724</v>
      </c>
      <c r="F61" s="390">
        <f>'Interactive Data Grading'!D350</f>
        <v>10</v>
      </c>
      <c r="G61" s="47"/>
      <c r="H61" s="256">
        <v>4.2</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4"/>
      <c r="W61" s="118"/>
      <c r="X61" s="118"/>
      <c r="Y61" s="118"/>
      <c r="Z61" s="118"/>
      <c r="AA61" s="118"/>
      <c r="AB61" s="206"/>
      <c r="AC61" s="206"/>
    </row>
    <row r="62" spans="1:29">
      <c r="A62" s="824"/>
      <c r="B62" s="448" t="s">
        <v>567</v>
      </c>
      <c r="C62" s="803" t="s">
        <v>760</v>
      </c>
      <c r="D62" s="699" t="s">
        <v>723</v>
      </c>
      <c r="E62" s="463" t="s">
        <v>724</v>
      </c>
      <c r="F62" s="390">
        <f>'Interactive Data Grading'!D374</f>
        <v>10</v>
      </c>
      <c r="G62" s="47"/>
      <c r="H62" s="396">
        <v>23</v>
      </c>
      <c r="I62" s="227"/>
      <c r="J62" s="228"/>
      <c r="K62" s="788"/>
      <c r="L62" s="788"/>
      <c r="M62" s="228" t="s">
        <v>761</v>
      </c>
      <c r="N62" s="788"/>
      <c r="O62" s="118"/>
      <c r="P62" s="118"/>
      <c r="Q62" s="118"/>
      <c r="R62" s="118"/>
      <c r="S62" s="118"/>
      <c r="T62" s="118"/>
      <c r="U62" s="199"/>
      <c r="V62" s="824"/>
      <c r="W62" s="118"/>
      <c r="X62" s="118"/>
      <c r="Y62" s="118"/>
      <c r="Z62" s="118"/>
      <c r="AA62" s="118"/>
      <c r="AB62" s="206"/>
      <c r="AC62" s="206"/>
    </row>
    <row r="63" spans="1:29">
      <c r="A63" s="824"/>
      <c r="B63" s="448"/>
      <c r="C63" s="803" t="s">
        <v>762</v>
      </c>
      <c r="D63" s="47"/>
      <c r="E63" s="405"/>
      <c r="F63" s="210"/>
      <c r="G63" s="47"/>
      <c r="H63" s="855">
        <f>IF(ISERROR(H62/H61),"",H62/H61)</f>
        <v>5.4761904761904763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1013" t="s">
        <v>763</v>
      </c>
      <c r="D65" s="1013"/>
      <c r="E65" s="1013"/>
      <c r="F65" s="1013"/>
      <c r="G65" s="210"/>
      <c r="H65" s="257" t="s">
        <v>49</v>
      </c>
      <c r="I65" s="118"/>
      <c r="J65" s="228"/>
      <c r="K65" s="228"/>
      <c r="L65" s="228"/>
      <c r="M65" s="229"/>
      <c r="N65" s="228"/>
      <c r="O65" s="118"/>
      <c r="P65" s="118"/>
      <c r="Q65" s="118"/>
      <c r="R65" s="118"/>
      <c r="S65" s="118"/>
      <c r="T65" s="118"/>
      <c r="U65" s="199"/>
      <c r="V65" s="824"/>
      <c r="W65" s="856">
        <f>IF(H65="Yes",1,0)</f>
        <v>0</v>
      </c>
      <c r="X65" s="171" t="s">
        <v>764</v>
      </c>
      <c r="Y65" s="171"/>
      <c r="Z65" s="171"/>
    </row>
    <row r="66" spans="1:26" ht="13.5" customHeight="1">
      <c r="A66" s="824"/>
      <c r="B66" s="448" t="s">
        <v>573</v>
      </c>
      <c r="C66" s="803" t="s">
        <v>765</v>
      </c>
      <c r="D66" s="699" t="s">
        <v>723</v>
      </c>
      <c r="E66" s="463" t="s">
        <v>724</v>
      </c>
      <c r="F66" s="390">
        <f>'Interactive Data Grading'!D398</f>
        <v>10</v>
      </c>
      <c r="G66" s="47"/>
      <c r="H66" s="256">
        <v>34.1</v>
      </c>
      <c r="I66" s="47"/>
      <c r="J66" s="228" t="str">
        <f>IF(ISBLANK('Start Page'!$AB$22),"",IF('Start Page'!AB22="Megalitres (thousand cubic metres)","metres","ft"))</f>
        <v>ft</v>
      </c>
      <c r="K66" s="228"/>
      <c r="L66" s="228"/>
      <c r="M66" s="228" t="s">
        <v>766</v>
      </c>
      <c r="N66" s="228"/>
      <c r="O66" s="230"/>
      <c r="P66" s="230"/>
      <c r="Q66" s="230"/>
      <c r="R66" s="230"/>
      <c r="S66" s="230"/>
      <c r="T66" s="230"/>
      <c r="U66" s="199"/>
      <c r="V66" s="824"/>
      <c r="W66" s="856">
        <f>IF(H65="Yes",10,F66)</f>
        <v>10</v>
      </c>
      <c r="X66" s="171" t="s">
        <v>767</v>
      </c>
      <c r="Y66" s="171"/>
      <c r="Z66" s="171"/>
    </row>
    <row r="67" spans="1:26" ht="14.45" customHeight="1">
      <c r="A67" s="82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4"/>
      <c r="W67" s="856">
        <f>IF(H65="Yes",0,H66)</f>
        <v>34.1</v>
      </c>
      <c r="X67" s="171" t="s">
        <v>768</v>
      </c>
      <c r="Y67" s="171"/>
      <c r="Z67" s="171"/>
    </row>
    <row r="68" spans="1:26">
      <c r="A68" s="824"/>
      <c r="B68" s="448" t="s">
        <v>577</v>
      </c>
      <c r="C68" s="803" t="s">
        <v>769</v>
      </c>
      <c r="D68" s="699" t="s">
        <v>723</v>
      </c>
      <c r="E68" s="463" t="s">
        <v>724</v>
      </c>
      <c r="F68" s="390">
        <f>'Interactive Data Grading'!D422</f>
        <v>8</v>
      </c>
      <c r="G68" s="47"/>
      <c r="H68" s="256">
        <v>99</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770</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771</v>
      </c>
      <c r="D75" s="152"/>
      <c r="E75" s="410"/>
      <c r="F75" s="208" t="e">
        <f>'Interactive Data Grading'!#REF!</f>
        <v>#REF!</v>
      </c>
      <c r="G75" s="118"/>
      <c r="H75" s="860">
        <v>1000000</v>
      </c>
      <c r="I75" s="118"/>
      <c r="J75" s="228" t="s">
        <v>772</v>
      </c>
      <c r="K75" s="228"/>
      <c r="L75" s="228"/>
      <c r="M75" s="228"/>
      <c r="N75" s="118"/>
      <c r="O75" s="118"/>
      <c r="P75" s="118"/>
      <c r="Q75" s="118"/>
      <c r="R75" s="118"/>
      <c r="S75" s="118"/>
      <c r="T75" s="118"/>
      <c r="U75" s="199"/>
      <c r="V75" s="824"/>
      <c r="W75" s="118"/>
      <c r="X75" s="118"/>
      <c r="Y75" s="118"/>
      <c r="Z75" s="118"/>
    </row>
    <row r="76" spans="1:26" ht="14.25" customHeight="1">
      <c r="A76" s="824"/>
      <c r="B76" s="448" t="s">
        <v>579</v>
      </c>
      <c r="C76" s="803" t="s">
        <v>773</v>
      </c>
      <c r="D76" s="699" t="s">
        <v>723</v>
      </c>
      <c r="E76" s="425" t="s">
        <v>724</v>
      </c>
      <c r="F76" s="390">
        <f>'Interactive Data Grading'!D446</f>
        <v>10</v>
      </c>
      <c r="G76" s="118"/>
      <c r="H76" s="861">
        <v>13.87</v>
      </c>
      <c r="I76" s="118"/>
      <c r="J76" s="1003" t="s">
        <v>774</v>
      </c>
      <c r="K76" s="1004"/>
      <c r="L76" s="1004"/>
      <c r="M76" s="1005"/>
      <c r="N76" s="118"/>
      <c r="O76" s="1006" t="str">
        <f>IF(AND(NOT(ISBLANK(H76)),ISBLANK(J76)),"&lt;----Enter units","")</f>
        <v/>
      </c>
      <c r="P76" s="1006"/>
      <c r="Q76" s="1010" t="s">
        <v>775</v>
      </c>
      <c r="R76" s="1010"/>
      <c r="S76" s="1010"/>
      <c r="T76" s="118"/>
      <c r="U76" s="199"/>
      <c r="V76" s="824"/>
      <c r="W76" s="118"/>
      <c r="X76" s="118"/>
      <c r="Y76" s="118"/>
      <c r="Z76" s="118"/>
    </row>
    <row r="77" spans="1:26" ht="13.5" customHeight="1">
      <c r="A77" s="824"/>
      <c r="B77" s="448" t="s">
        <v>583</v>
      </c>
      <c r="C77" s="803" t="s">
        <v>776</v>
      </c>
      <c r="D77" s="699" t="s">
        <v>723</v>
      </c>
      <c r="E77" s="463" t="s">
        <v>724</v>
      </c>
      <c r="F77" s="390">
        <f>'Interactive Data Grading'!D469</f>
        <v>10</v>
      </c>
      <c r="G77" s="118"/>
      <c r="H77" s="861">
        <v>2282.2199999999998</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8220</v>
      </c>
      <c r="R77" s="1008"/>
      <c r="S77" s="1009"/>
      <c r="T77" s="195" t="s">
        <v>777</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780</v>
      </c>
      <c r="D87" s="741"/>
      <c r="E87" s="741"/>
      <c r="F87" s="470"/>
      <c r="G87" s="470"/>
      <c r="H87" s="470"/>
      <c r="I87" s="470"/>
      <c r="J87" s="470"/>
      <c r="K87" s="470"/>
      <c r="L87" s="498" t="s">
        <v>781</v>
      </c>
      <c r="N87" s="470"/>
      <c r="O87" s="118"/>
      <c r="P87" s="456"/>
      <c r="Q87" s="456"/>
      <c r="R87" s="456"/>
      <c r="S87" s="245"/>
      <c r="T87" s="245"/>
      <c r="U87" s="240"/>
      <c r="V87" s="82"/>
      <c r="AB87" s="49"/>
      <c r="AC87" s="49"/>
      <c r="AD87" s="49"/>
      <c r="AE87" s="49"/>
    </row>
    <row r="88" spans="1:31" s="46" customFormat="1" ht="19.5" customHeight="1">
      <c r="A88" s="82"/>
      <c r="B88" s="449"/>
      <c r="C88" s="716" t="s">
        <v>782</v>
      </c>
      <c r="D88" s="246"/>
      <c r="E88" s="246"/>
      <c r="F88" s="246"/>
      <c r="G88" s="246"/>
      <c r="H88" s="246"/>
      <c r="I88" s="246"/>
      <c r="J88" s="246"/>
      <c r="K88" s="246"/>
      <c r="L88" s="716"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1" t="s">
        <v>784</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1" t="s">
        <v>785</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1" t="s">
        <v>786</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787</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4" activePane="bottomLeft" state="frozen"/>
      <selection activeCell="B15" sqref="B15:F17"/>
      <selection pane="bottomLeft" activeCell="D417" sqref="D41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- 770 Boggs</v>
      </c>
      <c r="C1" s="494"/>
      <c r="D1" s="495"/>
      <c r="E1" s="749" t="s">
        <v>789</v>
      </c>
    </row>
    <row r="2" spans="1:20" ht="30.6" customHeight="1">
      <c r="A2" s="367"/>
      <c r="B2" s="748">
        <f>IF(ISBLANK('Start Page'!AB18),"",'Start Page'!AB18)</f>
        <v>2023</v>
      </c>
      <c r="C2" s="367"/>
      <c r="D2" s="367"/>
      <c r="E2" s="1040" t="s">
        <v>790</v>
      </c>
    </row>
    <row r="3" spans="1:20" ht="38.25" customHeight="1">
      <c r="A3" s="367"/>
      <c r="B3" s="705"/>
      <c r="C3" s="367"/>
      <c r="D3" s="367"/>
      <c r="E3" s="1041"/>
    </row>
    <row r="4" spans="1:20" ht="1.35" customHeight="1"/>
    <row r="5" spans="1:20" s="368" customFormat="1" ht="16.350000000000001" customHeight="1">
      <c r="A5" s="1034" t="s">
        <v>791</v>
      </c>
      <c r="B5" s="1035"/>
      <c r="C5" s="1036" t="s">
        <v>792</v>
      </c>
      <c r="D5" s="1036"/>
      <c r="E5" s="749" t="s">
        <v>793</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794</v>
      </c>
      <c r="T6" s="162" t="s">
        <v>795</v>
      </c>
    </row>
    <row r="7" spans="1:20" s="462" customFormat="1" ht="12">
      <c r="A7" s="458"/>
      <c r="B7" s="459" t="s">
        <v>796</v>
      </c>
      <c r="C7" s="460" t="s">
        <v>797</v>
      </c>
      <c r="D7" s="460" t="s">
        <v>798</v>
      </c>
      <c r="E7" s="627"/>
      <c r="F7" s="461"/>
      <c r="G7" s="673"/>
      <c r="H7" s="674" t="s">
        <v>799</v>
      </c>
      <c r="I7" s="674" t="s">
        <v>800</v>
      </c>
      <c r="J7" s="673" t="s">
        <v>801</v>
      </c>
      <c r="K7" s="673"/>
      <c r="L7" s="673"/>
      <c r="M7" s="673"/>
      <c r="N7" s="673"/>
      <c r="O7" s="673"/>
      <c r="P7" s="692" t="str">
        <f>VOS!C23</f>
        <v>&lt;25%</v>
      </c>
      <c r="Q7" s="693">
        <v>0</v>
      </c>
      <c r="R7" s="673">
        <f>VLOOKUP(D9,$P$7:$Q$15,2,FALSE)</f>
        <v>1</v>
      </c>
      <c r="S7" s="462" t="s">
        <v>517</v>
      </c>
      <c r="T7" s="462">
        <v>1</v>
      </c>
    </row>
    <row r="8" spans="1:20" ht="20.100000000000001" customHeight="1">
      <c r="A8" s="163"/>
      <c r="B8" s="441" t="s">
        <v>802</v>
      </c>
      <c r="C8" s="742" t="str">
        <f>VOS!B34</f>
        <v>Did the water utility supply any water from its own sources during the audit year?</v>
      </c>
      <c r="D8" s="264" t="s">
        <v>62</v>
      </c>
      <c r="E8" s="627"/>
      <c r="F8" s="258"/>
      <c r="I8" s="675"/>
      <c r="J8" s="668" t="s">
        <v>803</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t="e">
        <f>VLOOKUP(D116,$P$7:$Q$15,2,FALSE)</f>
        <v>#N/A</v>
      </c>
      <c r="S9" s="162" t="s">
        <v>533</v>
      </c>
      <c r="T9" s="162">
        <v>3</v>
      </c>
    </row>
    <row r="10" spans="1:20" ht="64.150000000000006" customHeight="1">
      <c r="A10" s="163"/>
      <c r="C10" s="1045" t="s">
        <v>804</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48</v>
      </c>
      <c r="E11" s="627" t="str">
        <f>IFERROR(IF(OR(D20=10,NOT(ISNUMBER(D20))),"",IF(I11=I20,"Limiting","")),"")</f>
        <v>Limiting</v>
      </c>
      <c r="F11" s="258"/>
      <c r="G11" s="668">
        <f>IFERROR(IF(H9&lt;7,1,IF(LEN(D11)&gt;0,1,0)),"")</f>
        <v>1</v>
      </c>
      <c r="H11" s="676">
        <f>VLOOKUP('Interactive Data Grading'!D11,VOS!$D$6:$M$16,10,FALSE)</f>
        <v>5</v>
      </c>
      <c r="I11" s="677">
        <f>IF(AND(H11&gt;=7,H14&gt;=7),MAX(H11,9),IF(AND(H11&gt;3,H11&lt;7,H14&gt;3,H14&lt;7),MAX(H11,H14),IF(H14&gt;=7,MAX(7,H11),H11)))</f>
        <v>7</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7</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805</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806</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807</v>
      </c>
      <c r="D20" s="630">
        <f>IF(D8="","",IF(D8="No","n/a",IF(G20=0,"",IF(R7=0,H9,I20))))</f>
        <v>7</v>
      </c>
      <c r="E20" s="627"/>
      <c r="F20" s="258"/>
      <c r="G20" s="669">
        <f>MIN(G9:G19)</f>
        <v>1</v>
      </c>
      <c r="H20" s="679">
        <f>MIN(H9:H19)</f>
        <v>5</v>
      </c>
      <c r="I20" s="679">
        <f t="array" ref="I20">MIN(IF(ISNUMBER(I9:I19),I9:I19))</f>
        <v>7</v>
      </c>
      <c r="J20" s="669" t="s">
        <v>808</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791</v>
      </c>
      <c r="B36" s="1035"/>
      <c r="C36" s="1036" t="s">
        <v>809</v>
      </c>
      <c r="D36" s="1036"/>
      <c r="E36" s="749" t="s">
        <v>793</v>
      </c>
      <c r="G36" s="680"/>
      <c r="H36" s="680" t="s">
        <v>810</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811</v>
      </c>
      <c r="C38" s="460" t="s">
        <v>797</v>
      </c>
      <c r="D38" s="460" t="s">
        <v>798</v>
      </c>
      <c r="E38" s="627"/>
      <c r="F38" s="461"/>
      <c r="G38" s="673"/>
      <c r="H38" s="674" t="s">
        <v>799</v>
      </c>
      <c r="I38" s="674"/>
      <c r="J38" s="673" t="s">
        <v>801</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88</v>
      </c>
      <c r="E42" s="627" t="str">
        <f t="shared" si="3"/>
        <v/>
      </c>
      <c r="F42" s="258"/>
      <c r="G42" s="682">
        <f t="shared" si="4"/>
        <v>1</v>
      </c>
      <c r="H42" s="676">
        <f>VLOOKUP('Interactive Data Grading'!D42,VOSEA!$F$6:$G$18,2,FALSE)</f>
        <v>10</v>
      </c>
      <c r="I42" s="675"/>
    </row>
    <row r="43" spans="1:18" ht="27.6" customHeight="1">
      <c r="A43" s="163"/>
      <c r="B43" s="163"/>
      <c r="C43" s="457" t="s">
        <v>807</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791</v>
      </c>
      <c r="B59" s="1035"/>
      <c r="C59" s="1036" t="s">
        <v>812</v>
      </c>
      <c r="D59" s="1036"/>
      <c r="E59" s="749" t="s">
        <v>793</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813</v>
      </c>
      <c r="C61" s="460" t="s">
        <v>797</v>
      </c>
      <c r="D61" s="460" t="s">
        <v>798</v>
      </c>
      <c r="E61" s="627"/>
      <c r="F61" s="461"/>
      <c r="G61" s="673"/>
      <c r="H61" s="674" t="s">
        <v>799</v>
      </c>
      <c r="I61" s="674" t="s">
        <v>800</v>
      </c>
      <c r="J61" s="673" t="s">
        <v>801</v>
      </c>
      <c r="K61" s="673"/>
      <c r="L61" s="673"/>
      <c r="M61" s="673"/>
      <c r="N61" s="673"/>
      <c r="O61" s="673"/>
      <c r="P61" s="673"/>
      <c r="Q61" s="673"/>
      <c r="R61" s="673"/>
    </row>
    <row r="62" spans="1:18" ht="18" customHeight="1">
      <c r="A62" s="163"/>
      <c r="B62" s="441" t="s">
        <v>814</v>
      </c>
      <c r="C62" s="742" t="str">
        <f>WI!B34</f>
        <v>Did the water utility import any water during the audit year?</v>
      </c>
      <c r="D62" s="264" t="s">
        <v>49</v>
      </c>
      <c r="E62" s="627"/>
      <c r="F62" s="258"/>
      <c r="I62" s="675"/>
      <c r="J62" s="668" t="s">
        <v>803</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38" t="s">
        <v>815</v>
      </c>
      <c r="D64" s="1039"/>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816</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817</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807</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791</v>
      </c>
      <c r="B89" s="1035"/>
      <c r="C89" s="1036" t="s">
        <v>818</v>
      </c>
      <c r="D89" s="1036"/>
      <c r="E89" s="749" t="s">
        <v>793</v>
      </c>
      <c r="G89" s="680"/>
      <c r="H89" s="680" t="s">
        <v>819</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820</v>
      </c>
      <c r="C91" s="460" t="s">
        <v>797</v>
      </c>
      <c r="D91" s="460" t="s">
        <v>798</v>
      </c>
      <c r="E91" s="627"/>
      <c r="F91" s="461"/>
      <c r="G91" s="673"/>
      <c r="H91" s="674" t="s">
        <v>799</v>
      </c>
      <c r="I91" s="674"/>
      <c r="J91" s="673" t="s">
        <v>801</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807</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791</v>
      </c>
      <c r="B112" s="1035"/>
      <c r="C112" s="1036" t="s">
        <v>821</v>
      </c>
      <c r="D112" s="1036"/>
      <c r="E112" s="749" t="s">
        <v>793</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822</v>
      </c>
      <c r="C114" s="460" t="s">
        <v>797</v>
      </c>
      <c r="D114" s="460" t="s">
        <v>798</v>
      </c>
      <c r="E114" s="627"/>
      <c r="F114" s="461"/>
      <c r="G114" s="673"/>
      <c r="H114" s="674" t="s">
        <v>799</v>
      </c>
      <c r="I114" s="674" t="s">
        <v>800</v>
      </c>
      <c r="J114" s="673" t="s">
        <v>801</v>
      </c>
      <c r="K114" s="673"/>
      <c r="L114" s="673"/>
      <c r="M114" s="673"/>
      <c r="N114" s="673"/>
      <c r="O114" s="673"/>
      <c r="P114" s="673"/>
      <c r="Q114" s="673"/>
      <c r="R114" s="673"/>
    </row>
    <row r="115" spans="1:18" ht="18" customHeight="1">
      <c r="A115" s="163"/>
      <c r="B115" s="163" t="s">
        <v>823</v>
      </c>
      <c r="C115" s="742" t="str">
        <f>WE!B34</f>
        <v>Did the water utility export any water during the audit year?</v>
      </c>
      <c r="D115" s="264" t="s">
        <v>49</v>
      </c>
      <c r="E115" s="627"/>
      <c r="F115" s="258"/>
      <c r="H115" s="668" t="s">
        <v>824</v>
      </c>
      <c r="I115" s="675"/>
      <c r="J115" s="668" t="s">
        <v>803</v>
      </c>
    </row>
    <row r="116" spans="1:18" ht="17.45" customHeight="1">
      <c r="A116" s="163"/>
      <c r="B116" s="163" t="s">
        <v>143</v>
      </c>
      <c r="C116" s="742" t="str">
        <f>WE!B35</f>
        <v>What percent of water exported is metered?</v>
      </c>
      <c r="D116" s="264"/>
      <c r="E116" s="627" t="str">
        <f>IF(OR(D127=10,NOT(ISNUMBER(D127))),"",IF(I116=I127,"Limiting",IF(VLOOKUP(D116,$P$7:$Q$15,2,FALSE)=0,"Limiting","")))</f>
        <v/>
      </c>
      <c r="F116" s="258"/>
      <c r="G116" s="668">
        <f>IF(LEN(D116)&gt;0,1,0)</f>
        <v>0</v>
      </c>
      <c r="H116" s="676" t="e">
        <f>VLOOKUP('Interactive Data Grading'!D116,WE!$C$6:$M$16,11,FALSE)</f>
        <v>#N/A</v>
      </c>
      <c r="I116" s="676" t="e">
        <f>H116</f>
        <v>#N/A</v>
      </c>
    </row>
    <row r="117" spans="1:18" ht="67.150000000000006" customHeight="1">
      <c r="A117" s="163"/>
      <c r="C117" s="1038" t="s">
        <v>825</v>
      </c>
      <c r="D117" s="1039"/>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t="str">
        <f>IFERROR(IF(H116&lt;7,1,IF(LEN(D118)&gt;0,1,0)),"")</f>
        <v/>
      </c>
      <c r="H118" s="676" t="e">
        <f>VLOOKUP('Interactive Data Grading'!D118,WE!$D$6:$M$16,10,FALSE)</f>
        <v>#N/A</v>
      </c>
      <c r="I118" s="677" t="e">
        <f>IF(AND(H118&gt;=7,H121&gt;=7),MAX(H118,9),IF(AND(H118&gt;3,H118&lt;7,H121&gt;3,H121&lt;7),MAX(H118,H121),IF(H121&gt;=7,MAX(7,H118),H118)))</f>
        <v>#N/A</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t="str">
        <f>IFERROR(IF(H116&lt;7,1,IF(OR(D118=WE!D23,D118=WE!D27),1,IF(LEN(D119)&gt;0,1,0))),"")</f>
        <v/>
      </c>
      <c r="H119" s="676" t="e">
        <f>VLOOKUP('Interactive Data Grading'!D119,WE!$E$6:$M$16,9,FALSE)</f>
        <v>#N/A</v>
      </c>
      <c r="I119" s="676" t="e">
        <f>H119</f>
        <v>#N/A</v>
      </c>
      <c r="J119" s="668" t="s">
        <v>826</v>
      </c>
    </row>
    <row r="120" spans="1:18" ht="18" customHeight="1">
      <c r="A120" s="163"/>
      <c r="B120" s="163" t="s">
        <v>146</v>
      </c>
      <c r="C120" s="742" t="str">
        <f>WE!B38</f>
        <v>Is the most recent electronic calibration documentation available?</v>
      </c>
      <c r="D120" s="264"/>
      <c r="E120" s="627" t="str">
        <f t="shared" si="9"/>
        <v/>
      </c>
      <c r="F120" s="258"/>
      <c r="G120" s="668" t="str">
        <f>IFERROR(IF(H116&lt;7,1,IF(OR(D118=WE!D23,D118=WE!D27),1,IF(LEN(D120)&gt;0,1,0))),"")</f>
        <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c r="E121" s="627" t="str">
        <f t="shared" si="9"/>
        <v/>
      </c>
      <c r="F121" s="258"/>
      <c r="G121" s="668" t="str">
        <f>IFERROR(IF(H116&lt;7,1,IF(LEN(D121)&gt;0,1,0)),"")</f>
        <v/>
      </c>
      <c r="H121" s="676" t="e">
        <f>VLOOKUP('Interactive Data Grading'!D121,WE!$G$6:$M$16,7,FALSE)</f>
        <v>#N/A</v>
      </c>
      <c r="I121" s="677" t="e">
        <f>IF(AND(H118&gt;=7,H121&gt;=7),MAX(H121,9),IF(AND(H118&gt;3,H118&lt;7,H121&gt;3,H121&lt;7),MAX(H118,H121),IF(H118&gt;=7,MAX(7,H121),H121)))</f>
        <v>#N/A</v>
      </c>
    </row>
    <row r="122" spans="1:18" ht="19.899999999999999" customHeight="1">
      <c r="A122" s="163"/>
      <c r="B122" s="163" t="s">
        <v>148</v>
      </c>
      <c r="C122" s="742" t="str">
        <f>WE!B40</f>
        <v>Is the most recent in-situ flow accuracy testing documentation available?</v>
      </c>
      <c r="D122" s="264"/>
      <c r="E122" s="627" t="str">
        <f t="shared" si="9"/>
        <v/>
      </c>
      <c r="F122" s="258"/>
      <c r="G122" s="668" t="str">
        <f>IFERROR(IF(H116&lt;7,1,IF(D121=WE!G23,1,IF(LEN(D122)&gt;0,1,0))),"")</f>
        <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t="str">
        <f>IFERROR(IF(H116&lt;7,1,IF(OR(D121=WE!G23,D122=WE!H23),1,IF(LEN(D123)&gt;0,1,0))),"")</f>
        <v/>
      </c>
      <c r="H123" s="676" t="e">
        <f>VLOOKUP('Interactive Data Grading'!D123,WE!$I$6:$M$16,5,FALSE)</f>
        <v>#N/A</v>
      </c>
      <c r="I123" s="676" t="e">
        <f>IF(OR(D121=WE!G23,D122=WE!H23),X,H123)</f>
        <v>#N/A</v>
      </c>
      <c r="J123" s="668" t="s">
        <v>827</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t="str">
        <f>IFERROR(IF(H116&lt;7,1,IF(AND(OR(D118=WE!D23,D118=WE!D27),D121=WE!G23),1,IF(LEN(D124)&gt;0,1,0))),"")</f>
        <v/>
      </c>
      <c r="H124" s="676" t="e">
        <f>VLOOKUP('Interactive Data Grading'!D124,WE!$J$6:$M$16,4,FALSE)</f>
        <v>#N/A</v>
      </c>
      <c r="I124" s="676" t="e">
        <f>IF(OR(D121=WE!G23,D122=WE!H23),X,H124)</f>
        <v>#N/A</v>
      </c>
      <c r="J124" s="678" t="s">
        <v>828</v>
      </c>
    </row>
    <row r="125" spans="1:18" ht="25.15" customHeight="1">
      <c r="A125" s="163"/>
      <c r="B125" s="163" t="s">
        <v>151</v>
      </c>
      <c r="C125" s="742" t="str">
        <f>WE!B43</f>
        <v>Which best describes the frequency of meter readings (data collection frequency as opposed to billing frequency)?</v>
      </c>
      <c r="D125" s="264"/>
      <c r="E125" s="627" t="str">
        <f t="shared" si="9"/>
        <v/>
      </c>
      <c r="F125" s="258"/>
      <c r="G125" s="668" t="str">
        <f>IFERROR(IF(H116&lt;7,1,IF(LEN(D125)&gt;0,1,0)),"")</f>
        <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t="str">
        <f>IFERROR(IF(H116&lt;7,1,IF(LEN(D126)&gt;0,1,0)),"")</f>
        <v/>
      </c>
      <c r="H126" s="676" t="e">
        <f>VLOOKUP('Interactive Data Grading'!D126,WE!$L$6:$M$16,2,FALSE)</f>
        <v>#N/A</v>
      </c>
      <c r="I126" s="676" t="e">
        <f>H126</f>
        <v>#N/A</v>
      </c>
    </row>
    <row r="127" spans="1:18" ht="27.6" customHeight="1">
      <c r="A127" s="163"/>
      <c r="B127" s="163"/>
      <c r="C127" s="259" t="s">
        <v>807</v>
      </c>
      <c r="D127" s="630" t="str">
        <f>IF(D115="","",IF(D115="No","n/a",IF(G127=0,"",IF(R9=0,H116,I127))))</f>
        <v>n/a</v>
      </c>
      <c r="E127" s="627"/>
      <c r="F127" s="258"/>
      <c r="G127" s="668">
        <f>MIN(G116:G126)</f>
        <v>0</v>
      </c>
      <c r="H127" s="679" t="e">
        <f>MIN(H116:H126)</f>
        <v>#N/A</v>
      </c>
      <c r="I127" s="679">
        <f t="array" ref="I127">MIN(IF(ISNUMBER(I116:I126),I116:I126))</f>
        <v>0</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791</v>
      </c>
      <c r="B143" s="1035"/>
      <c r="C143" s="1036" t="s">
        <v>829</v>
      </c>
      <c r="D143" s="1036"/>
      <c r="E143" s="749" t="s">
        <v>793</v>
      </c>
      <c r="G143" s="680"/>
      <c r="H143" s="680" t="s">
        <v>824</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830</v>
      </c>
      <c r="C145" s="460" t="s">
        <v>797</v>
      </c>
      <c r="D145" s="460" t="s">
        <v>798</v>
      </c>
      <c r="E145" s="627"/>
      <c r="F145" s="461"/>
      <c r="G145" s="673"/>
      <c r="H145" s="674" t="s">
        <v>799</v>
      </c>
      <c r="I145" s="674"/>
      <c r="J145" s="673" t="s">
        <v>801</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807</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791</v>
      </c>
      <c r="B166" s="1035"/>
      <c r="C166" s="1036" t="s">
        <v>831</v>
      </c>
      <c r="D166" s="1036"/>
      <c r="E166" s="749" t="s">
        <v>793</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832</v>
      </c>
      <c r="C168" s="460" t="s">
        <v>797</v>
      </c>
      <c r="D168" s="460" t="s">
        <v>798</v>
      </c>
      <c r="E168" s="627"/>
      <c r="F168" s="461"/>
      <c r="G168" s="673"/>
      <c r="H168" s="674" t="s">
        <v>799</v>
      </c>
      <c r="I168" s="674"/>
      <c r="J168" s="673" t="s">
        <v>801</v>
      </c>
      <c r="K168" s="673"/>
      <c r="L168" s="673"/>
      <c r="M168" s="673"/>
      <c r="N168" s="673"/>
      <c r="O168" s="673"/>
      <c r="P168" s="673"/>
      <c r="Q168" s="673"/>
      <c r="R168" s="673"/>
    </row>
    <row r="169" spans="1:18" ht="20.100000000000001" customHeight="1">
      <c r="A169" s="163"/>
      <c r="B169" s="441" t="s">
        <v>833</v>
      </c>
      <c r="C169" s="742" t="str">
        <f>BMAC!B34</f>
        <v xml:space="preserve">Were any customers metered in the audit year? </v>
      </c>
      <c r="D169" s="264" t="s">
        <v>62</v>
      </c>
      <c r="E169" s="627"/>
      <c r="F169" s="258"/>
      <c r="H169" s="668" t="str">
        <f>IF(D169="",X,"")</f>
        <v/>
      </c>
      <c r="I169" s="675"/>
      <c r="J169" s="668" t="s">
        <v>834</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807</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791</v>
      </c>
      <c r="B193" s="1035"/>
      <c r="C193" s="1036" t="s">
        <v>835</v>
      </c>
      <c r="D193" s="1036"/>
      <c r="E193" s="749" t="s">
        <v>793</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
      </c>
      <c r="D194" s="1037"/>
      <c r="E194" s="628"/>
      <c r="F194" s="258"/>
      <c r="H194" s="672"/>
      <c r="I194" s="672"/>
    </row>
    <row r="195" spans="1:18" s="462" customFormat="1" ht="12">
      <c r="A195" s="458"/>
      <c r="B195" s="459" t="s">
        <v>836</v>
      </c>
      <c r="C195" s="460" t="s">
        <v>797</v>
      </c>
      <c r="D195" s="460" t="s">
        <v>798</v>
      </c>
      <c r="E195" s="627"/>
      <c r="F195" s="461"/>
      <c r="G195" s="673"/>
      <c r="H195" s="674" t="s">
        <v>799</v>
      </c>
      <c r="I195" s="674"/>
      <c r="J195" s="673" t="s">
        <v>801</v>
      </c>
      <c r="K195" s="673"/>
      <c r="L195" s="673"/>
      <c r="M195" s="673"/>
      <c r="N195" s="673"/>
      <c r="O195" s="673"/>
      <c r="P195" s="673"/>
      <c r="Q195" s="673"/>
      <c r="R195" s="673"/>
    </row>
    <row r="196" spans="1:18" ht="27.6" customHeight="1">
      <c r="A196" s="163"/>
      <c r="B196" s="441" t="s">
        <v>837</v>
      </c>
      <c r="C196" s="742" t="str">
        <f>BUAC!B34</f>
        <v>Was there any billed consumption on unmetered accounts in the audit year?</v>
      </c>
      <c r="D196" s="264" t="s">
        <v>49</v>
      </c>
      <c r="E196" s="627"/>
      <c r="F196" s="258"/>
      <c r="H196" s="668" t="str">
        <f>IF(D196="",X,"")</f>
        <v/>
      </c>
      <c r="I196" s="675"/>
      <c r="J196" s="668" t="s">
        <v>834</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807</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791</v>
      </c>
      <c r="B216" s="1035"/>
      <c r="C216" s="1036" t="s">
        <v>838</v>
      </c>
      <c r="D216" s="1036"/>
      <c r="E216" s="749" t="s">
        <v>793</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839</v>
      </c>
      <c r="C218" s="460" t="s">
        <v>797</v>
      </c>
      <c r="D218" s="460" t="s">
        <v>798</v>
      </c>
      <c r="E218" s="627"/>
      <c r="F218" s="461"/>
      <c r="G218" s="673"/>
      <c r="H218" s="674" t="s">
        <v>799</v>
      </c>
      <c r="I218" s="674"/>
      <c r="J218" s="673" t="s">
        <v>801</v>
      </c>
      <c r="K218" s="673"/>
      <c r="L218" s="673"/>
      <c r="M218" s="673"/>
      <c r="N218" s="673"/>
      <c r="O218" s="673"/>
      <c r="P218" s="673"/>
      <c r="Q218" s="673"/>
      <c r="R218" s="673"/>
    </row>
    <row r="219" spans="1:18" ht="27.6" customHeight="1">
      <c r="A219" s="163"/>
      <c r="B219" s="441" t="s">
        <v>840</v>
      </c>
      <c r="C219" s="742" t="str">
        <f>UMAC!B34</f>
        <v>Did the water utility have any unbilled-metered consumption in the audit year?</v>
      </c>
      <c r="D219" s="264" t="s">
        <v>49</v>
      </c>
      <c r="E219" s="627"/>
      <c r="F219" s="258"/>
      <c r="H219" s="668" t="str">
        <f>IF(D219="",X,"")</f>
        <v/>
      </c>
      <c r="I219" s="675"/>
      <c r="J219" s="668" t="s">
        <v>834</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807</v>
      </c>
      <c r="D224" s="630" t="str">
        <f>IFERROR((IF(D219="No","n/a",H224)),"")</f>
        <v>n/a</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791</v>
      </c>
      <c r="B240" s="1035"/>
      <c r="C240" s="1036" t="s">
        <v>841</v>
      </c>
      <c r="D240" s="1036"/>
      <c r="E240" s="749" t="s">
        <v>793</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842</v>
      </c>
      <c r="C242" s="460" t="s">
        <v>797</v>
      </c>
      <c r="D242" s="460" t="s">
        <v>798</v>
      </c>
      <c r="E242" s="627"/>
      <c r="F242" s="461"/>
      <c r="G242" s="673"/>
      <c r="H242" s="674" t="s">
        <v>799</v>
      </c>
      <c r="I242" s="674"/>
      <c r="J242" s="673" t="s">
        <v>801</v>
      </c>
      <c r="K242" s="673"/>
      <c r="L242" s="673"/>
      <c r="M242" s="673"/>
      <c r="N242" s="673"/>
      <c r="O242" s="673"/>
      <c r="P242" s="673"/>
      <c r="Q242" s="673"/>
      <c r="R242" s="673"/>
    </row>
    <row r="243" spans="1:18" ht="27.6" customHeight="1">
      <c r="A243" s="163"/>
      <c r="B243" s="441" t="s">
        <v>843</v>
      </c>
      <c r="C243" s="742" t="str">
        <f>UUAC!B34</f>
        <v xml:space="preserve">On the Worksheet, the status of the default option is: </v>
      </c>
      <c r="D243" s="262" t="str">
        <f>IF(AND(Worksheet!W26=2,Worksheet!Q26&gt;0),UUAC!A2,UUAC!A3)</f>
        <v>A system specific volume has been entered</v>
      </c>
      <c r="E243" s="627"/>
      <c r="F243" s="258"/>
      <c r="I243" s="675"/>
      <c r="J243" s="668" t="s">
        <v>844</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807</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791</v>
      </c>
      <c r="B263" s="1035"/>
      <c r="C263" s="1036" t="s">
        <v>845</v>
      </c>
      <c r="D263" s="1036"/>
      <c r="E263" s="749" t="s">
        <v>793</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8"/>
      <c r="F264" s="258"/>
      <c r="H264" s="672"/>
      <c r="I264" s="672"/>
    </row>
    <row r="265" spans="1:18" s="462" customFormat="1" ht="12">
      <c r="A265" s="458"/>
      <c r="B265" s="459" t="s">
        <v>846</v>
      </c>
      <c r="C265" s="460" t="s">
        <v>797</v>
      </c>
      <c r="D265" s="460" t="s">
        <v>798</v>
      </c>
      <c r="E265" s="627"/>
      <c r="F265" s="461"/>
      <c r="G265" s="673"/>
      <c r="H265" s="674" t="s">
        <v>799</v>
      </c>
      <c r="I265" s="674"/>
      <c r="J265" s="673" t="s">
        <v>801</v>
      </c>
      <c r="K265" s="673"/>
      <c r="L265" s="673"/>
      <c r="M265" s="673"/>
      <c r="N265" s="673"/>
      <c r="O265" s="673"/>
      <c r="P265" s="673"/>
      <c r="Q265" s="673"/>
      <c r="R265" s="673"/>
    </row>
    <row r="266" spans="1:18" ht="27.6" customHeight="1">
      <c r="A266" s="163"/>
      <c r="B266" s="441" t="s">
        <v>847</v>
      </c>
      <c r="C266" s="742" t="str">
        <f>SDHE!B34</f>
        <v xml:space="preserve">On the Worksheet, the status of the default option is: </v>
      </c>
      <c r="D266" s="263" t="str">
        <f>IF(AND(Worksheet!W39=2,Worksheet!Q39&gt;0),SDHE!A2,SDHE!A3)</f>
        <v>Default is used because Custom Value is selected but no value has been entered</v>
      </c>
      <c r="F266" s="258"/>
      <c r="H266" s="668" t="s">
        <v>848</v>
      </c>
      <c r="I266" s="675"/>
      <c r="J266" s="668" t="s">
        <v>844</v>
      </c>
    </row>
    <row r="267" spans="1:18" ht="27.6" customHeight="1">
      <c r="A267" s="163"/>
      <c r="B267" s="441" t="s">
        <v>352</v>
      </c>
      <c r="C267" s="742" t="str">
        <f>SDHE!B35</f>
        <v>Which best describes how the input was derived?</v>
      </c>
      <c r="D267" s="261"/>
      <c r="E267" s="627" t="str">
        <f>IF(OR($D$271=10,$D$271=3),"",IFERROR(IF(H267=MIN($H$267:$H$270),"Limiting",""),""))</f>
        <v/>
      </c>
      <c r="F267" s="258"/>
      <c r="H267" s="676" t="e">
        <f>VLOOKUP('Interactive Data Grading'!D267,SDHE!$C$6:$G$15,5,FALSE)</f>
        <v>#N/A</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c r="E268" s="627" t="str">
        <f>IF(OR($D$271=10,$D$271=3),"",IFERROR(IF(H268=MIN($H$267:$H$270),"Limiting",""),""))</f>
        <v/>
      </c>
      <c r="F268" s="258"/>
      <c r="H268" s="676" t="e">
        <f>VLOOKUP('Interactive Data Grading'!D268,SDHE!$D$6:$G$15,4,FALSE)</f>
        <v>#N/A</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c r="E269" s="627" t="str">
        <f>IF(OR($D$271=10,$D$271=3),"",IFERROR(IF(H269=MIN($H$267:$H$270),"Limiting",""),""))</f>
        <v/>
      </c>
      <c r="F269" s="258"/>
      <c r="H269" s="676" t="e">
        <f>VLOOKUP('Interactive Data Grading'!D269,SDHE!$E$6:$G$15,3,FALSE)</f>
        <v>#N/A</v>
      </c>
      <c r="I269" s="677"/>
    </row>
    <row r="270" spans="1:18" ht="27.6" customHeight="1">
      <c r="A270" s="163"/>
      <c r="B270" s="441" t="s">
        <v>355</v>
      </c>
      <c r="C270" s="742" t="str">
        <f>SDHE!B38</f>
        <v>Which best describes auditing that takes place on the billing process?</v>
      </c>
      <c r="D270" s="261"/>
      <c r="E270" s="627" t="str">
        <f>IF(OR($D$271=10,$D$271=3),"",IFERROR(IF(H270=MIN($H$267:$H$270),"Limiting",""),""))</f>
        <v/>
      </c>
      <c r="F270" s="258"/>
      <c r="H270" s="676" t="e">
        <f>VLOOKUP('Interactive Data Grading'!D270,SDHE!$F$6:$G$15,2,FALSE)</f>
        <v>#N/A</v>
      </c>
      <c r="I270" s="677"/>
      <c r="N270" s="1042"/>
      <c r="O270" s="1042"/>
    </row>
    <row r="271" spans="1:18" ht="27.6" customHeight="1">
      <c r="A271" s="163"/>
      <c r="B271" s="163"/>
      <c r="C271" s="259" t="s">
        <v>807</v>
      </c>
      <c r="D271" s="752">
        <f>IFERROR((IF(D266=SDHE!A3,3,H271)),"")</f>
        <v>3</v>
      </c>
      <c r="E271" s="627"/>
      <c r="F271" s="258"/>
      <c r="H271" s="679" t="e">
        <f>MIN(H267:H270)</f>
        <v>#N/A</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791</v>
      </c>
      <c r="B287" s="1035"/>
      <c r="C287" s="1036" t="s">
        <v>849</v>
      </c>
      <c r="D287" s="1036"/>
      <c r="E287" s="749" t="s">
        <v>793</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850</v>
      </c>
      <c r="C289" s="460" t="s">
        <v>797</v>
      </c>
      <c r="D289" s="460" t="s">
        <v>798</v>
      </c>
      <c r="E289" s="627"/>
      <c r="F289" s="461"/>
      <c r="G289" s="673"/>
      <c r="H289" s="674" t="s">
        <v>799</v>
      </c>
      <c r="I289" s="674"/>
      <c r="J289" s="673" t="s">
        <v>801</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851</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326</v>
      </c>
      <c r="E292" s="627" t="str">
        <f t="shared" si="17"/>
        <v>Limiting</v>
      </c>
      <c r="F292" s="258"/>
      <c r="G292" s="668">
        <f t="shared" si="16"/>
        <v>1</v>
      </c>
      <c r="H292" s="676">
        <f>VLOOKUP('Interactive Data Grading'!D292,CMI!$D$6:$J$16,7,FALSE)</f>
        <v>3</v>
      </c>
      <c r="I292" s="676">
        <f>H292</f>
        <v>3</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t="e">
        <f>IF(OR(D292=CMI!D23,D292=CMI!D24),X,H293)</f>
        <v>#NAME?</v>
      </c>
      <c r="J293" s="668" t="s">
        <v>295</v>
      </c>
    </row>
    <row r="294" spans="1:18" ht="29.45" customHeight="1">
      <c r="A294" s="163"/>
      <c r="B294" s="441" t="s">
        <v>297</v>
      </c>
      <c r="C294" s="742" t="str">
        <f>CMI!B38</f>
        <v>For mid and large size customer meters, which best describes the frequency of the proactive testing program?</v>
      </c>
      <c r="D294" s="264" t="s">
        <v>327</v>
      </c>
      <c r="E294" s="627" t="str">
        <f t="shared" si="17"/>
        <v>Limiting</v>
      </c>
      <c r="F294" s="258"/>
      <c r="G294" s="668">
        <f t="shared" si="16"/>
        <v>1</v>
      </c>
      <c r="H294" s="676">
        <f>VLOOKUP('Interactive Data Grading'!D294,CMI!$F$6:$J$16,5,FALSE)</f>
        <v>3</v>
      </c>
      <c r="I294" s="676">
        <f>H294</f>
        <v>3</v>
      </c>
    </row>
    <row r="295" spans="1:18" ht="29.45" customHeight="1">
      <c r="A295" s="163"/>
      <c r="B295" s="441" t="s">
        <v>350</v>
      </c>
      <c r="C295" s="742" t="str">
        <f>CMI!B39</f>
        <v xml:space="preserve">Which best describes what meters are included in the proactive mid- and large customer meter testing activities? </v>
      </c>
      <c r="D295" s="264" t="s">
        <v>336</v>
      </c>
      <c r="E295" s="627" t="str">
        <f t="shared" si="17"/>
        <v/>
      </c>
      <c r="F295" s="258"/>
      <c r="G295" s="756">
        <f>IF(OR($D$294=CMI!$F$23,$D$294=CMI!F$24),1,IF(LEN(D295)&gt;0,1,0))</f>
        <v>1</v>
      </c>
      <c r="H295" s="676">
        <f>VLOOKUP('Interactive Data Grading'!D295,CMI!$G$6:$J$16,4,FALSE)</f>
        <v>7</v>
      </c>
      <c r="I295" s="676" t="e">
        <f>IF(OR(D294=CMI!F23,D294=CMI!F24),X,H295)</f>
        <v>#NAME?</v>
      </c>
      <c r="J295" s="668" t="s">
        <v>297</v>
      </c>
    </row>
    <row r="296" spans="1:18" ht="29.45" customHeight="1">
      <c r="A296" s="163"/>
      <c r="B296" s="441" t="s">
        <v>299</v>
      </c>
      <c r="C296" s="742" t="str">
        <f>CMI!B40</f>
        <v>Which best describes how the input was derived?</v>
      </c>
      <c r="D296" s="264" t="s">
        <v>334</v>
      </c>
      <c r="E296" s="627" t="str">
        <f t="shared" si="17"/>
        <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852</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852</v>
      </c>
    </row>
    <row r="300" spans="1:18" ht="29.45" customHeight="1">
      <c r="A300" s="163"/>
      <c r="B300" s="163"/>
      <c r="C300" s="259" t="s">
        <v>807</v>
      </c>
      <c r="D300" s="863">
        <f>IF(D290="No","n/a",IF(G300=0,"",I300))</f>
        <v>3</v>
      </c>
      <c r="E300" s="627"/>
      <c r="F300" s="258"/>
      <c r="G300" s="668">
        <f>MIN(G290:G299)</f>
        <v>1</v>
      </c>
      <c r="H300" s="679">
        <f t="array" ref="H300">MIN(IF(ISNUMBER(H291:H297),H291:H297))</f>
        <v>3</v>
      </c>
      <c r="I300" s="679">
        <f t="array" ref="I300">MIN(IF(ISNUMBER(I290:I299),I290:I299))</f>
        <v>3</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791</v>
      </c>
      <c r="B316" s="1035"/>
      <c r="C316" s="1036" t="s">
        <v>853</v>
      </c>
      <c r="D316" s="1036"/>
      <c r="E316" s="749" t="s">
        <v>793</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8"/>
      <c r="F317" s="258"/>
      <c r="H317" s="672"/>
      <c r="I317" s="672"/>
    </row>
    <row r="318" spans="1:18" s="462" customFormat="1" ht="12">
      <c r="A318" s="458"/>
      <c r="B318" s="459" t="s">
        <v>854</v>
      </c>
      <c r="C318" s="460" t="s">
        <v>797</v>
      </c>
      <c r="D318" s="460" t="s">
        <v>798</v>
      </c>
      <c r="E318" s="627"/>
      <c r="F318" s="461"/>
      <c r="G318" s="673"/>
      <c r="H318" s="674" t="s">
        <v>799</v>
      </c>
      <c r="I318" s="674"/>
      <c r="J318" s="673" t="s">
        <v>801</v>
      </c>
      <c r="K318" s="673"/>
      <c r="L318" s="673"/>
      <c r="M318" s="673"/>
      <c r="N318" s="673"/>
      <c r="O318" s="673"/>
      <c r="P318" s="673"/>
      <c r="Q318" s="673"/>
      <c r="R318" s="673"/>
    </row>
    <row r="319" spans="1:18" ht="27.6" customHeight="1">
      <c r="A319" s="163"/>
      <c r="B319" s="441" t="s">
        <v>855</v>
      </c>
      <c r="C319" s="742" t="str">
        <f>UC!B34</f>
        <v xml:space="preserve">On the Worksheet, the status of the default option is: </v>
      </c>
      <c r="D319" s="263" t="str">
        <f>IF(AND(Worksheet!W43=2,Worksheet!Q43&gt;0),UC!A2,UC!A3)</f>
        <v>Default is used because Custom Value is selected but no value has been entered</v>
      </c>
      <c r="E319" s="627"/>
      <c r="F319" s="258"/>
      <c r="I319" s="675"/>
      <c r="J319" s="668" t="s">
        <v>844</v>
      </c>
    </row>
    <row r="320" spans="1:18" ht="27.6" customHeight="1">
      <c r="A320" s="163"/>
      <c r="B320" s="441" t="s">
        <v>275</v>
      </c>
      <c r="C320" s="742" t="str">
        <f>UC!B35</f>
        <v>Which best describes how the input was derived?</v>
      </c>
      <c r="D320" s="261"/>
      <c r="E320" s="627" t="str">
        <f>IF(OR($D$322=10,$D$322=3),"",IFERROR(IF(H320=MIN($H$320:$H$321),"Limiting",""),""))</f>
        <v/>
      </c>
      <c r="F320" s="258"/>
      <c r="H320" s="676" t="e">
        <f>VLOOKUP('Interactive Data Grading'!D320,UC!$C$6:$E$15,3,FALSE)</f>
        <v>#N/A</v>
      </c>
      <c r="I320" s="676"/>
    </row>
    <row r="321" spans="1:18" ht="27.6" customHeight="1">
      <c r="A321" s="163"/>
      <c r="B321" s="441" t="s">
        <v>276</v>
      </c>
      <c r="C321" s="742" t="str">
        <f>UC!B36</f>
        <v>Which best describes the extent of unauthorized consumption tracking and oversight?</v>
      </c>
      <c r="D321" s="261"/>
      <c r="E321" s="627" t="str">
        <f>IF(OR($D$322=10,$D$322=3),"",IFERROR(IF(H321=MIN($H$320:$H$321),"Limiting",""),""))</f>
        <v/>
      </c>
      <c r="F321" s="258"/>
      <c r="H321" s="676" t="e">
        <f>VLOOKUP('Interactive Data Grading'!D321,UC!$D$6:$E$15,2,FALSE)</f>
        <v>#N/A</v>
      </c>
      <c r="I321" s="677"/>
    </row>
    <row r="322" spans="1:18" ht="27.6" customHeight="1">
      <c r="A322" s="163"/>
      <c r="B322" s="163"/>
      <c r="C322" s="259" t="s">
        <v>807</v>
      </c>
      <c r="D322" s="752">
        <f>IFERROR((IF(D319=UC!A3,3,H322)),"")</f>
        <v>3</v>
      </c>
      <c r="E322" s="627"/>
      <c r="F322" s="258"/>
      <c r="H322" s="679" t="e">
        <f>MIN(H320:H321)</f>
        <v>#N/A</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791</v>
      </c>
      <c r="B343" s="1035"/>
      <c r="C343" s="1036" t="s">
        <v>856</v>
      </c>
      <c r="D343" s="1036"/>
      <c r="E343" s="749" t="s">
        <v>793</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797</v>
      </c>
      <c r="D345" s="460" t="s">
        <v>798</v>
      </c>
      <c r="E345" s="627"/>
      <c r="F345" s="461"/>
      <c r="G345" s="673"/>
      <c r="H345" s="674" t="s">
        <v>799</v>
      </c>
      <c r="I345" s="674"/>
      <c r="J345" s="673" t="s">
        <v>801</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807</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791</v>
      </c>
      <c r="B366" s="1035"/>
      <c r="C366" s="1036" t="s">
        <v>857</v>
      </c>
      <c r="D366" s="1036"/>
      <c r="E366" s="749" t="s">
        <v>793</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797</v>
      </c>
      <c r="D368" s="460" t="s">
        <v>798</v>
      </c>
      <c r="E368" s="627"/>
      <c r="F368" s="461"/>
      <c r="G368" s="673"/>
      <c r="H368" s="674" t="s">
        <v>799</v>
      </c>
      <c r="I368" s="674"/>
      <c r="J368" s="673" t="s">
        <v>801</v>
      </c>
      <c r="K368" s="673" t="s">
        <v>858</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807</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791</v>
      </c>
      <c r="B390" s="1035"/>
      <c r="C390" s="1036" t="s">
        <v>859</v>
      </c>
      <c r="D390" s="1036"/>
      <c r="E390" s="749" t="s">
        <v>793</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797</v>
      </c>
      <c r="D392" s="460" t="s">
        <v>798</v>
      </c>
      <c r="E392" s="627"/>
      <c r="F392" s="461"/>
      <c r="G392" s="673"/>
      <c r="H392" s="674" t="s">
        <v>799</v>
      </c>
      <c r="I392" s="674"/>
      <c r="J392" s="673" t="s">
        <v>801</v>
      </c>
      <c r="K392" s="673"/>
      <c r="L392" s="673"/>
      <c r="M392" s="673"/>
      <c r="N392" s="673"/>
      <c r="O392" s="673"/>
      <c r="P392" s="673"/>
      <c r="Q392" s="673"/>
      <c r="R392" s="673"/>
    </row>
    <row r="393" spans="1:18" ht="27.6" customHeight="1">
      <c r="A393" s="163"/>
      <c r="B393" s="441" t="s">
        <v>860</v>
      </c>
      <c r="C393" s="744" t="str">
        <f>Lp!B34</f>
        <v xml:space="preserve">Are customer meters typically located at the curbstop or property line? </v>
      </c>
      <c r="D393" s="263" t="str">
        <f>IF(OR(Worksheet!H65="Yes",Worksheet!H65="No"),Worksheet!H65,"Select on Worksheet")</f>
        <v>No</v>
      </c>
      <c r="E393" s="627"/>
      <c r="F393" s="258"/>
      <c r="I393" s="675"/>
      <c r="J393" s="668" t="s">
        <v>861</v>
      </c>
      <c r="K393" s="668" t="s">
        <v>858</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807</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791</v>
      </c>
      <c r="B414" s="1035"/>
      <c r="C414" s="1036" t="s">
        <v>862</v>
      </c>
      <c r="D414" s="1036"/>
      <c r="E414" s="749" t="s">
        <v>793</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863</v>
      </c>
      <c r="C416" s="460" t="s">
        <v>797</v>
      </c>
      <c r="D416" s="460" t="s">
        <v>798</v>
      </c>
      <c r="E416" s="627"/>
      <c r="F416" s="461"/>
      <c r="G416" s="673"/>
      <c r="H416" s="674" t="s">
        <v>799</v>
      </c>
      <c r="I416" s="674"/>
      <c r="J416" s="673" t="s">
        <v>801</v>
      </c>
      <c r="K416" s="673" t="s">
        <v>864</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460</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865</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866</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807</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791</v>
      </c>
      <c r="B438" s="1035"/>
      <c r="C438" s="1036" t="s">
        <v>867</v>
      </c>
      <c r="D438" s="1036"/>
      <c r="E438" s="749" t="s">
        <v>793</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868</v>
      </c>
      <c r="C440" s="460" t="s">
        <v>797</v>
      </c>
      <c r="D440" s="460" t="s">
        <v>798</v>
      </c>
      <c r="E440" s="627"/>
      <c r="F440" s="461"/>
      <c r="G440" s="673"/>
      <c r="H440" s="674" t="s">
        <v>799</v>
      </c>
      <c r="I440" s="688"/>
      <c r="J440" s="673" t="s">
        <v>801</v>
      </c>
      <c r="K440" s="673"/>
      <c r="L440" s="673"/>
      <c r="M440" s="673"/>
      <c r="N440" s="673"/>
      <c r="O440" s="673"/>
      <c r="P440" s="673"/>
      <c r="Q440" s="673"/>
      <c r="R440" s="673"/>
    </row>
    <row r="441" spans="1:18" ht="27.6" customHeight="1">
      <c r="A441" s="163"/>
      <c r="B441" s="441" t="s">
        <v>869</v>
      </c>
      <c r="C441" s="742" t="str">
        <f>CRUC!B34</f>
        <v>Was any metered consumption billed on a volumetric basis in the audit period?</v>
      </c>
      <c r="D441" s="264" t="s">
        <v>62</v>
      </c>
      <c r="E441" s="627"/>
      <c r="F441" s="258"/>
      <c r="H441" s="676"/>
      <c r="I441" s="676"/>
      <c r="J441" s="689" t="s">
        <v>851</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807</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791</v>
      </c>
      <c r="B462" s="1035"/>
      <c r="C462" s="1036" t="s">
        <v>870</v>
      </c>
      <c r="D462" s="1036"/>
      <c r="E462" s="749" t="s">
        <v>793</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871</v>
      </c>
      <c r="C464" s="460" t="s">
        <v>797</v>
      </c>
      <c r="D464" s="460" t="s">
        <v>798</v>
      </c>
      <c r="E464" s="627"/>
      <c r="F464" s="461"/>
      <c r="G464" s="673"/>
      <c r="H464" s="674" t="s">
        <v>799</v>
      </c>
      <c r="I464" s="674" t="s">
        <v>800</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497</v>
      </c>
      <c r="E465" s="627" t="str">
        <f>IF($D$469=10,"",IFERROR(IF(H465=MIN($H$465:$H$468),"Limiting",""),""))</f>
        <v/>
      </c>
      <c r="F465" s="258"/>
      <c r="H465" s="676">
        <f>VLOOKUP('Interactive Data Grading'!D465,VPC!$C$6:$G$18,5,FALSE)</f>
        <v>10</v>
      </c>
      <c r="I465" s="677">
        <f>H465</f>
        <v>10</v>
      </c>
      <c r="J465" s="689" t="s">
        <v>872</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807</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6"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873</v>
      </c>
      <c r="AB2" s="546"/>
      <c r="AC2" s="543"/>
      <c r="AD2" s="543"/>
      <c r="AE2" s="543"/>
      <c r="AF2" s="543"/>
      <c r="AG2" s="543"/>
      <c r="AH2" s="543"/>
      <c r="AI2" s="543"/>
      <c r="AJ2" s="543"/>
      <c r="AK2" s="543"/>
      <c r="AL2" s="543"/>
      <c r="AM2" s="543"/>
      <c r="AN2" s="1063" t="s">
        <v>874</v>
      </c>
      <c r="AO2" s="1064"/>
      <c r="AP2" s="1064"/>
      <c r="AQ2" s="1065"/>
      <c r="AR2" s="771"/>
      <c r="AS2" s="1063" t="s">
        <v>875</v>
      </c>
      <c r="AT2" s="1064"/>
      <c r="AU2" s="1064"/>
      <c r="AV2" s="1065"/>
      <c r="AW2" s="771"/>
      <c r="AX2" s="1063" t="s">
        <v>876</v>
      </c>
      <c r="AY2" s="1064"/>
      <c r="AZ2" s="1064"/>
      <c r="BA2" s="1065"/>
      <c r="BB2" s="734"/>
      <c r="BC2" s="89"/>
      <c r="BL2" s="486"/>
      <c r="BN2" s="534"/>
      <c r="BO2" s="667">
        <f>LEN(C4)</f>
        <v>0</v>
      </c>
      <c r="BP2" s="382" t="s">
        <v>877</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- 770 Boggs</v>
      </c>
      <c r="Q3" s="551"/>
      <c r="R3" s="551"/>
      <c r="S3" s="551"/>
      <c r="T3" s="551"/>
      <c r="U3" s="551"/>
      <c r="V3" s="551"/>
      <c r="W3" s="551"/>
      <c r="X3" s="551"/>
      <c r="Y3" s="551"/>
      <c r="Z3" s="551"/>
      <c r="AA3" s="551"/>
      <c r="AB3" s="551"/>
      <c r="AC3" s="548"/>
      <c r="AD3" s="549"/>
      <c r="AE3" s="550"/>
      <c r="AF3" s="547" t="s">
        <v>705</v>
      </c>
      <c r="AG3" s="1066">
        <f>IF(ISBLANK('Start Page'!AB18),"",'Start Page'!AB18)</f>
        <v>2023</v>
      </c>
      <c r="AH3" s="1066"/>
      <c r="AI3" s="370"/>
      <c r="AJ3" s="811" t="str">
        <f>IF(ISBLANK('Start Page'!AB19),"",'Start Page'!AB19)</f>
        <v>Calendar</v>
      </c>
      <c r="AK3" s="811"/>
      <c r="AL3" s="370"/>
      <c r="AM3" s="551" t="str">
        <f>IF(ISBLANK('Start Page'!AB20),"",TEXT('Start Page'!AB20,"mmm dd yyyy")&amp;" - "&amp;TEXT('Start Page'!AB21,"mmm dd yyyy"))</f>
        <v>Jan 01 2023 - Dec 31 2023</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880</v>
      </c>
      <c r="AE5" s="609"/>
      <c r="AF5" s="609"/>
      <c r="AG5" s="609"/>
      <c r="AH5" s="1076" t="s">
        <v>881</v>
      </c>
      <c r="AI5" s="1076"/>
      <c r="AJ5" s="1076"/>
      <c r="AK5" s="1076"/>
      <c r="AL5" s="1076"/>
      <c r="AM5" s="1076"/>
      <c r="AN5" s="1076"/>
      <c r="AO5" s="1076"/>
      <c r="AP5" s="1076"/>
      <c r="AQ5" s="1076"/>
      <c r="AR5" s="1076"/>
      <c r="AS5" s="504" t="s">
        <v>882</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883</v>
      </c>
      <c r="Z6" s="1071">
        <v>0.73699999999999999</v>
      </c>
      <c r="AA6" s="1071"/>
      <c r="AB6" s="760" t="s">
        <v>884</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885</v>
      </c>
      <c r="BM6" s="535"/>
      <c r="BN6" s="536"/>
      <c r="BO6" s="583"/>
      <c r="BP6" s="583"/>
      <c r="BQ6" s="583"/>
      <c r="BR6" s="583">
        <f>IFERROR(IF(ISBLANK('Start Page'!$AB$22),"N/A*",IF('M36 Refs'!AN118&gt;0,"",ROUND('M36 Refs'!AH118,0))),"")</f>
        <v>76</v>
      </c>
      <c r="BS6" s="584"/>
      <c r="BT6" s="583"/>
      <c r="BU6" s="585"/>
      <c r="BV6" s="585"/>
      <c r="BW6" s="585"/>
      <c r="BX6" s="50"/>
      <c r="BY6" s="50"/>
    </row>
    <row r="7" spans="1:77" s="190" customFormat="1" ht="12.95" customHeight="1">
      <c r="A7" s="189"/>
      <c r="B7" s="265"/>
      <c r="C7" s="50"/>
      <c r="D7" s="193"/>
      <c r="E7" s="710"/>
      <c r="F7" s="193"/>
      <c r="G7" s="193"/>
      <c r="H7" s="552"/>
      <c r="I7" s="653" t="s">
        <v>886</v>
      </c>
      <c r="J7" s="1068">
        <f>BR6</f>
        <v>76</v>
      </c>
      <c r="K7" s="1068"/>
      <c r="L7" s="654"/>
      <c r="M7" s="654"/>
      <c r="N7" s="654"/>
      <c r="O7" s="654"/>
      <c r="P7" s="654"/>
      <c r="Q7" s="653" t="s">
        <v>887</v>
      </c>
      <c r="R7" s="1067" t="str">
        <f>IF(BO2&gt;0,"",BR4)</f>
        <v>Tier IV (71-90)</v>
      </c>
      <c r="S7" s="1067"/>
      <c r="T7" s="1067"/>
      <c r="U7" s="1067"/>
      <c r="V7" s="1067"/>
      <c r="W7" s="552"/>
      <c r="X7" s="762" t="s">
        <v>888</v>
      </c>
      <c r="AD7" s="496"/>
      <c r="AE7" s="718"/>
      <c r="AF7" s="718"/>
      <c r="AG7" s="718"/>
      <c r="AH7" s="1070" t="s">
        <v>889</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890</v>
      </c>
      <c r="BP7" s="586"/>
      <c r="BQ7" s="586"/>
      <c r="BR7" s="586" t="s">
        <v>891</v>
      </c>
      <c r="BS7" s="583"/>
      <c r="BT7" s="583"/>
      <c r="BU7" s="585"/>
      <c r="BV7" s="585"/>
      <c r="BW7" s="585"/>
      <c r="BX7" s="50"/>
      <c r="BY7" s="50"/>
    </row>
    <row r="8" spans="1:77" ht="12.95" customHeight="1">
      <c r="A8" s="89"/>
      <c r="B8" s="265"/>
      <c r="C8" s="496"/>
      <c r="D8" s="496"/>
      <c r="E8" s="711"/>
      <c r="F8" s="496"/>
      <c r="G8" s="496"/>
      <c r="H8" s="1075" t="s">
        <v>892</v>
      </c>
      <c r="I8" s="1075"/>
      <c r="J8" s="1072" t="s">
        <v>585</v>
      </c>
      <c r="K8" s="1072"/>
      <c r="L8" s="1072"/>
      <c r="M8" s="1072"/>
      <c r="N8" s="1072"/>
      <c r="O8" s="1072"/>
      <c r="P8" s="1073" t="s">
        <v>893</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894</v>
      </c>
      <c r="BS8" s="382">
        <f>BR6</f>
        <v>76</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895</v>
      </c>
      <c r="BP9" s="382">
        <v>25</v>
      </c>
      <c r="BQ9" s="382"/>
      <c r="BR9" s="382" t="s">
        <v>891</v>
      </c>
      <c r="BS9" s="594">
        <f>SUM(BP8:BP12)/150</f>
        <v>1.2666666666666666</v>
      </c>
      <c r="BT9" s="382"/>
      <c r="BU9" s="187"/>
      <c r="BV9" s="187"/>
      <c r="BW9" s="187"/>
    </row>
    <row r="10" spans="1:77" ht="12.95" customHeight="1">
      <c r="A10" s="89"/>
      <c r="B10" s="265"/>
      <c r="C10" s="541"/>
      <c r="D10" s="541"/>
      <c r="E10" s="50"/>
      <c r="F10" s="50"/>
      <c r="G10" s="50"/>
      <c r="H10" s="541"/>
      <c r="I10" s="783" t="s">
        <v>896</v>
      </c>
      <c r="J10" s="541"/>
      <c r="K10" s="541"/>
      <c r="L10" s="541"/>
      <c r="M10" s="541"/>
      <c r="N10" s="541"/>
      <c r="O10" s="781" t="s">
        <v>897</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898</v>
      </c>
      <c r="BP10" s="382">
        <v>25</v>
      </c>
      <c r="BQ10" s="382"/>
      <c r="BR10" s="382" t="s">
        <v>899</v>
      </c>
      <c r="BS10" s="382">
        <f>SUM(BP8:BP13)-SUM(BS8:BS9)</f>
        <v>122.73333333333333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900</v>
      </c>
      <c r="BP11" s="382">
        <v>20</v>
      </c>
      <c r="BQ11" s="382"/>
      <c r="BR11" s="382"/>
      <c r="BS11" s="382"/>
      <c r="BT11" s="382"/>
      <c r="BU11" s="616" t="s">
        <v>901</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902</v>
      </c>
      <c r="BP12" s="382">
        <v>20</v>
      </c>
      <c r="BQ12" s="382"/>
      <c r="BR12" s="382"/>
      <c r="BS12" s="382"/>
      <c r="BT12" s="382"/>
      <c r="BU12" s="587" t="s">
        <v>903</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904</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905</v>
      </c>
      <c r="BN13" s="537"/>
      <c r="BO13" s="382" t="s">
        <v>906</v>
      </c>
      <c r="BP13" s="382">
        <v>10</v>
      </c>
      <c r="BQ13" s="382"/>
      <c r="BR13" s="382"/>
      <c r="BS13" s="382"/>
      <c r="BT13" s="382"/>
      <c r="BU13" s="587" t="s">
        <v>907</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result is above 90th %ile</v>
      </c>
      <c r="AC14" s="1053"/>
      <c r="AD14" s="1053"/>
      <c r="AE14" s="1053"/>
      <c r="AF14" s="556"/>
      <c r="AG14" s="499"/>
      <c r="AH14" s="554"/>
      <c r="AI14" s="554"/>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result is above 90th %ile</v>
      </c>
      <c r="AW14" s="1053"/>
      <c r="AX14" s="1053"/>
      <c r="AY14" s="1053"/>
      <c r="AZ14" s="193"/>
      <c r="BA14" s="193"/>
      <c r="BB14" s="272"/>
      <c r="BC14" s="89"/>
      <c r="BN14" s="537"/>
      <c r="BO14" s="382"/>
      <c r="BP14" s="610" t="s">
        <v>908</v>
      </c>
      <c r="BQ14" s="611" t="s">
        <v>909</v>
      </c>
      <c r="BR14" s="382"/>
      <c r="BS14" s="382"/>
      <c r="BT14" s="382"/>
      <c r="BU14" s="588" t="s">
        <v>910</v>
      </c>
      <c r="BV14" s="588" t="s">
        <v>911</v>
      </c>
      <c r="BW14" s="588" t="s">
        <v>912</v>
      </c>
    </row>
    <row r="15" spans="1:77" ht="15" customHeight="1">
      <c r="A15" s="89"/>
      <c r="B15" s="265"/>
      <c r="C15" s="50"/>
      <c r="D15" s="50"/>
      <c r="E15" s="710"/>
      <c r="F15" s="782"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914</v>
      </c>
      <c r="BP15" s="589"/>
      <c r="BR15" s="578" t="s">
        <v>915</v>
      </c>
      <c r="BS15" s="605">
        <f>IF($BO$2&gt;0,"",IFERROR(SUM(N49:N50)/Worksheet!H62,""))</f>
        <v>198.28515482017139</v>
      </c>
      <c r="BT15" s="590"/>
      <c r="BU15" s="663" t="s">
        <v>909</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916</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917</v>
      </c>
      <c r="BO16" s="590" t="s">
        <v>918</v>
      </c>
      <c r="BP16" s="592">
        <f>SUM(BP17:BP20)</f>
        <v>57.801400497346833</v>
      </c>
      <c r="BQ16" s="757">
        <f>IF($BD$7="ML/Yr",BW16,BU16)</f>
        <v>5.075047838800522</v>
      </c>
      <c r="BR16" s="578" t="s">
        <v>919</v>
      </c>
      <c r="BS16" s="613">
        <f>IF(BS15="","",IF(BS15&lt;BQ16,0,IF(BS15&gt;BQ20,BQ20,BS15)))</f>
        <v>57.801400497346833</v>
      </c>
      <c r="BT16" s="590" t="s">
        <v>918</v>
      </c>
      <c r="BU16" s="604">
        <v>5.075047838800522</v>
      </c>
      <c r="BV16" s="593"/>
      <c r="BW16" s="761">
        <f>IF($Z$6="",BU16/0.737,BU16/$Z$6)</f>
        <v>6.8860893335149553</v>
      </c>
      <c r="BX16" s="539"/>
    </row>
    <row r="17" spans="1:78" ht="15" customHeight="1">
      <c r="A17" s="89"/>
      <c r="B17" s="662"/>
      <c r="C17" s="80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914</v>
      </c>
      <c r="AD17" s="193"/>
      <c r="AE17" s="655"/>
      <c r="AF17" s="655"/>
      <c r="AG17" s="656"/>
      <c r="AH17" s="648"/>
      <c r="AI17" s="648"/>
      <c r="AJ17" s="655"/>
      <c r="AK17" s="655"/>
      <c r="AL17" s="655"/>
      <c r="AM17" s="655" t="s">
        <v>920</v>
      </c>
      <c r="AN17" s="193"/>
      <c r="AO17" s="655"/>
      <c r="AP17" s="655"/>
      <c r="AQ17" s="655"/>
      <c r="AR17" s="655"/>
      <c r="AS17" s="655"/>
      <c r="AT17" s="655"/>
      <c r="AU17" s="655"/>
      <c r="AV17" s="655"/>
      <c r="AW17" s="655" t="s">
        <v>921</v>
      </c>
      <c r="AX17" s="50"/>
      <c r="AY17" s="576"/>
      <c r="AZ17" s="576"/>
      <c r="BA17" s="193"/>
      <c r="BB17" s="272"/>
      <c r="BC17" s="89"/>
      <c r="BE17" s="50" t="s">
        <v>922</v>
      </c>
      <c r="BF17" s="50" t="s">
        <v>923</v>
      </c>
      <c r="BN17" s="534"/>
      <c r="BO17" s="590" t="s">
        <v>924</v>
      </c>
      <c r="BP17" s="592">
        <f>BQ17</f>
        <v>9.3314489693766607</v>
      </c>
      <c r="BQ17" s="757">
        <f t="shared" ref="BQ17:BQ20" si="0">IF($BD$7="ML/Yr",BW17,BU17)</f>
        <v>9.3314489693766607</v>
      </c>
      <c r="BR17" s="590" t="s">
        <v>925</v>
      </c>
      <c r="BS17" s="594">
        <f>SUM(BP16:BP20)/125</f>
        <v>0.92482240795754933</v>
      </c>
      <c r="BT17" s="590" t="s">
        <v>924</v>
      </c>
      <c r="BU17" s="604">
        <v>9.3314489693766607</v>
      </c>
      <c r="BV17" s="593"/>
      <c r="BW17" s="761">
        <f>IF($Z$6="",BU17/0.737,BU17/$Z$6)</f>
        <v>12.66139615926277</v>
      </c>
      <c r="BX17" s="50" t="s">
        <v>926</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198.28515482017139</v>
      </c>
      <c r="AB18" s="1061"/>
      <c r="AC18" s="1061"/>
      <c r="AD18" s="729" t="str">
        <f>BD13</f>
        <v>$/conn/year</v>
      </c>
      <c r="AE18" s="730"/>
      <c r="AF18" s="731"/>
      <c r="AG18" s="731"/>
      <c r="AH18" s="732"/>
      <c r="AI18" s="732"/>
      <c r="AJ18" s="730"/>
      <c r="AK18" s="1061">
        <f>BS22</f>
        <v>39.067166666666466</v>
      </c>
      <c r="AL18" s="1061"/>
      <c r="AM18" s="1061"/>
      <c r="AN18" s="729" t="str">
        <f>BD13</f>
        <v>$/conn/year</v>
      </c>
      <c r="AO18" s="730"/>
      <c r="AP18" s="730"/>
      <c r="AQ18" s="730"/>
      <c r="AR18" s="730"/>
      <c r="AS18" s="730"/>
      <c r="AT18" s="730"/>
      <c r="AU18" s="1061">
        <f>BS29</f>
        <v>159.21798815350493</v>
      </c>
      <c r="AV18" s="1061"/>
      <c r="AW18" s="1061"/>
      <c r="AX18" s="729" t="str">
        <f>BD13</f>
        <v>$/conn/year</v>
      </c>
      <c r="AY18" s="575"/>
      <c r="AZ18" s="193"/>
      <c r="BA18" s="193"/>
      <c r="BB18" s="272"/>
      <c r="BC18" s="89"/>
      <c r="BD18" s="50" t="s">
        <v>910</v>
      </c>
      <c r="BE18" s="182">
        <f>(((5.41*Worksheet!H61)+(0.15*Worksheet!H62)+(7.5*(Worksheet!H62*Worksheet!W67/5280)))*Worksheet!H68)/1000000*365</f>
        <v>0.98598186843750002</v>
      </c>
      <c r="BN18" s="534"/>
      <c r="BO18" s="590" t="s">
        <v>927</v>
      </c>
      <c r="BP18" s="592">
        <f>BQ18-BQ17</f>
        <v>8.9525318444022357</v>
      </c>
      <c r="BQ18" s="757">
        <f t="shared" si="0"/>
        <v>18.283980813778896</v>
      </c>
      <c r="BR18" s="590" t="s">
        <v>899</v>
      </c>
      <c r="BS18" s="594">
        <f>SUM(BP16:BP20)-SUM(BS16,BS17)</f>
        <v>56.876578089389284</v>
      </c>
      <c r="BT18" s="590" t="s">
        <v>927</v>
      </c>
      <c r="BU18" s="604">
        <v>18.283980813778896</v>
      </c>
      <c r="BV18" s="593"/>
      <c r="BW18" s="761">
        <f>IF($Z$6="",BU18/0.737,BU18/$Z$6)</f>
        <v>24.808657820595517</v>
      </c>
      <c r="BX18" s="50" t="s">
        <v>928</v>
      </c>
      <c r="BY18" s="590"/>
      <c r="BZ18" s="594"/>
    </row>
    <row r="19" spans="1:78" ht="15" customHeight="1">
      <c r="A19" s="89"/>
      <c r="B19" s="265"/>
      <c r="C19" s="50"/>
      <c r="D19" s="193"/>
      <c r="E19" s="710"/>
      <c r="F19" s="193"/>
      <c r="G19" s="193"/>
      <c r="H19" s="193"/>
      <c r="I19" s="193"/>
      <c r="J19" s="193"/>
      <c r="K19" s="193"/>
      <c r="L19" s="813"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3.0258632800317335</v>
      </c>
      <c r="BF19" s="181">
        <f>BE19*325851.427242/Worksheet!H62/365</f>
        <v>117.44870380434782</v>
      </c>
      <c r="BG19" s="50" t="str">
        <f>IF(BD7="Acre-ft/yr",1,"")</f>
        <v/>
      </c>
      <c r="BJ19" s="187"/>
      <c r="BN19" s="534"/>
      <c r="BO19" s="590" t="s">
        <v>930</v>
      </c>
      <c r="BP19" s="592">
        <f>BQ19-BQ18</f>
        <v>13.300705385813597</v>
      </c>
      <c r="BQ19" s="757">
        <f t="shared" si="0"/>
        <v>31.584686199592493</v>
      </c>
      <c r="BR19" s="590"/>
      <c r="BS19" s="590"/>
      <c r="BT19" s="590" t="s">
        <v>930</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912</v>
      </c>
      <c r="BE20" s="182">
        <f>(((18*Worksheet!H61)+(0.8*Worksheet!H62)+(25*(Worksheet!H62*Worksheet!W67/1000)))*Worksheet!H68)/1000000*365</f>
        <v>4.1052070125000002</v>
      </c>
      <c r="BN20" s="534"/>
      <c r="BO20" s="590" t="s">
        <v>931</v>
      </c>
      <c r="BP20" s="592">
        <f>BQ20-BQ19</f>
        <v>26.21671429775434</v>
      </c>
      <c r="BQ20" s="757">
        <f t="shared" si="0"/>
        <v>57.801400497346833</v>
      </c>
      <c r="BR20" s="590"/>
      <c r="BS20" s="590"/>
      <c r="BT20" s="590" t="s">
        <v>931</v>
      </c>
      <c r="BU20" s="604">
        <v>57.801400497346833</v>
      </c>
      <c r="BV20" s="593"/>
      <c r="BW20" s="761">
        <f>IF($Z$6="",BU20/0.737,BU20/$Z$6)</f>
        <v>78.427951828150384</v>
      </c>
      <c r="BX20" s="612" t="s">
        <v>932</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908</v>
      </c>
      <c r="BQ21" s="611" t="s">
        <v>909</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920</v>
      </c>
      <c r="BP22" s="589"/>
      <c r="BQ22" s="589"/>
      <c r="BR22" s="578" t="s">
        <v>915</v>
      </c>
      <c r="BS22" s="605">
        <f>IF($BO$2&gt;0,"",IFERROR(N49/Worksheet!H62,""))</f>
        <v>39.067166666666466</v>
      </c>
      <c r="BT22" s="575"/>
      <c r="BU22" s="663" t="s">
        <v>909</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917</v>
      </c>
      <c r="BO23" s="590" t="s">
        <v>918</v>
      </c>
      <c r="BP23" s="592">
        <f>SUM(BP24:BP27)</f>
        <v>24.233075430263664</v>
      </c>
      <c r="BQ23" s="757">
        <f>IF($BD$7="ML/Yr",BW23,BU23)</f>
        <v>0.26714599111167436</v>
      </c>
      <c r="BR23" s="578" t="s">
        <v>919</v>
      </c>
      <c r="BS23" s="613">
        <f>IF(BS22="","",IF(BS22&lt;BQ23,0,IF(BS22&gt;BQ27,BQ27,BS22)))</f>
        <v>24.233075430263664</v>
      </c>
      <c r="BT23" s="590" t="s">
        <v>918</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924</v>
      </c>
      <c r="BP24" s="592">
        <f>BQ24</f>
        <v>0.87495347188920114</v>
      </c>
      <c r="BQ24" s="757">
        <f t="shared" ref="BQ24:BQ27" si="1">IF($BD$7="ML/Yr",BW24,BU24)</f>
        <v>0.87495347188920114</v>
      </c>
      <c r="BR24" s="590" t="s">
        <v>925</v>
      </c>
      <c r="BS24" s="594">
        <f>SUM(BP23:BP27)/125</f>
        <v>0.38772920688421864</v>
      </c>
      <c r="BT24" s="590" t="s">
        <v>924</v>
      </c>
      <c r="BU24" s="604">
        <v>0.87495347188920114</v>
      </c>
      <c r="BV24" s="593"/>
      <c r="BW24" s="761">
        <f>IF($Z$6="",BU24/0.737,BU24/$Z$6)</f>
        <v>1.1871824584656732</v>
      </c>
      <c r="BX24" s="50" t="s">
        <v>926</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result is above 90th %ile</v>
      </c>
      <c r="AC25" s="1053"/>
      <c r="AD25" s="1053"/>
      <c r="AE25" s="1053"/>
      <c r="AF25" s="499"/>
      <c r="AG25" s="499"/>
      <c r="AH25" s="554"/>
      <c r="AI25" s="554"/>
      <c r="AJ25" s="559"/>
      <c r="AK25" s="193"/>
      <c r="AL25" s="1053" t="str">
        <f>IF(BS43&lt;0,"negative result check inputs",IF($BS$44=0,"result is below 10th %ile",IF($BS$43&gt;$BS$44,"result is above 90th %ile","")))</f>
        <v/>
      </c>
      <c r="AM25" s="1053"/>
      <c r="AN25" s="1053"/>
      <c r="AO25" s="1053"/>
      <c r="AP25" s="193"/>
      <c r="AQ25" s="193"/>
      <c r="AR25" s="193"/>
      <c r="AS25" s="193"/>
      <c r="AT25" s="193"/>
      <c r="AU25" s="557"/>
      <c r="AV25" s="1053" t="str">
        <f>IF(BS55&lt;0,"negative result check inputs",IF($BS$56=0,"result is below 10th %ile",IF($BS$55&gt;$BS$56,"result is above 90th %ile","")))</f>
        <v>result is above 90th %ile</v>
      </c>
      <c r="AW25" s="1053"/>
      <c r="AX25" s="1053"/>
      <c r="AY25" s="1053"/>
      <c r="AZ25" s="193"/>
      <c r="BA25" s="193"/>
      <c r="BB25" s="266"/>
      <c r="BC25" s="89"/>
      <c r="BN25" s="534"/>
      <c r="BO25" s="590" t="s">
        <v>927</v>
      </c>
      <c r="BP25" s="592">
        <f>BQ25-BQ24</f>
        <v>5.2798362211473915</v>
      </c>
      <c r="BQ25" s="757">
        <f t="shared" si="1"/>
        <v>6.1547896930365926</v>
      </c>
      <c r="BR25" s="590" t="s">
        <v>899</v>
      </c>
      <c r="BS25" s="594">
        <f>SUM(BP23:BP27)-SUM(BS23,BS24)</f>
        <v>23.845346223379444</v>
      </c>
      <c r="BT25" s="590" t="s">
        <v>927</v>
      </c>
      <c r="BU25" s="604">
        <v>6.1547896930365926</v>
      </c>
      <c r="BV25" s="593"/>
      <c r="BW25" s="761">
        <f>IF($Z$6="",BU25/0.737,BU25/$Z$6)</f>
        <v>8.3511393392626765</v>
      </c>
      <c r="BX25" s="50" t="s">
        <v>928</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930</v>
      </c>
      <c r="BP26" s="592">
        <f>BQ26-BQ25</f>
        <v>7.97433526183511</v>
      </c>
      <c r="BQ26" s="757">
        <f t="shared" si="1"/>
        <v>14.129124954871703</v>
      </c>
      <c r="BR26" s="590"/>
      <c r="BS26" s="590"/>
      <c r="BT26" s="590" t="s">
        <v>930</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933</v>
      </c>
      <c r="BN27" s="534"/>
      <c r="BO27" s="590" t="s">
        <v>931</v>
      </c>
      <c r="BP27" s="592">
        <f>BQ27-BQ26</f>
        <v>10.103950475391962</v>
      </c>
      <c r="BQ27" s="757">
        <f t="shared" si="1"/>
        <v>24.233075430263664</v>
      </c>
      <c r="BR27" s="590"/>
      <c r="BS27" s="590"/>
      <c r="BT27" s="590" t="s">
        <v>931</v>
      </c>
      <c r="BU27" s="604">
        <v>24.233075430263664</v>
      </c>
      <c r="BV27" s="593"/>
      <c r="BW27" s="761">
        <f>IF($Z$6="",BU27/0.737,BU27/$Z$6)</f>
        <v>32.880699362637266</v>
      </c>
      <c r="BX27" s="612" t="s">
        <v>932</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934</v>
      </c>
      <c r="AD28" s="657"/>
      <c r="AE28" s="658"/>
      <c r="AF28" s="658"/>
      <c r="AG28" s="657"/>
      <c r="AH28" s="657"/>
      <c r="AI28" s="657"/>
      <c r="AJ28" s="657"/>
      <c r="AK28" s="657"/>
      <c r="AL28" s="657"/>
      <c r="AM28" s="655" t="s">
        <v>935</v>
      </c>
      <c r="AN28" s="658"/>
      <c r="AO28" s="658"/>
      <c r="AP28" s="658"/>
      <c r="AQ28" s="658"/>
      <c r="AR28" s="658"/>
      <c r="AS28" s="658"/>
      <c r="AT28" s="658"/>
      <c r="AU28" s="658"/>
      <c r="AV28" s="659"/>
      <c r="AW28" s="655" t="s">
        <v>936</v>
      </c>
      <c r="AX28" s="193"/>
      <c r="AY28" s="193"/>
      <c r="AZ28" s="193"/>
      <c r="BA28" s="193"/>
      <c r="BB28" s="266"/>
      <c r="BC28" s="89"/>
      <c r="BD28" s="50">
        <f>IF(ISBLANK('Start Page'!$AB$22),0,1)</f>
        <v>1</v>
      </c>
      <c r="BE28" s="174" t="s">
        <v>937</v>
      </c>
      <c r="BN28" s="534"/>
      <c r="BP28" s="610" t="s">
        <v>908</v>
      </c>
      <c r="BQ28" s="611" t="s">
        <v>909</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198.85257259544679</v>
      </c>
      <c r="AB29" s="1062"/>
      <c r="AC29" s="1062"/>
      <c r="AD29" s="728" t="str">
        <f>BD10</f>
        <v>gal/conn/day</v>
      </c>
      <c r="AE29" s="728"/>
      <c r="AF29" s="733"/>
      <c r="AG29" s="733"/>
      <c r="AH29" s="574"/>
      <c r="AI29" s="574"/>
      <c r="AJ29" s="574"/>
      <c r="AK29" s="1062">
        <f>BS43</f>
        <v>7.7168949771689102</v>
      </c>
      <c r="AL29" s="1062"/>
      <c r="AM29" s="1062"/>
      <c r="AN29" s="729" t="str">
        <f>BD10</f>
        <v>gal/conn/day</v>
      </c>
      <c r="AO29" s="574"/>
      <c r="AP29" s="574"/>
      <c r="AQ29" s="574"/>
      <c r="AR29" s="574"/>
      <c r="AS29" s="574"/>
      <c r="AT29" s="574"/>
      <c r="AU29" s="1057">
        <f>BS55</f>
        <v>191.13567761827787</v>
      </c>
      <c r="AV29" s="1057"/>
      <c r="AW29" s="1057"/>
      <c r="AX29" s="729" t="str">
        <f>BD10</f>
        <v>gal/conn/day</v>
      </c>
      <c r="AY29" s="574"/>
      <c r="AZ29" s="193"/>
      <c r="BA29" s="193"/>
      <c r="BB29" s="266"/>
      <c r="BC29" s="89"/>
      <c r="BD29" s="736" t="b">
        <f>IF('Interactive Data Grading'!D465=VPC!C28,TRUE,FALSE)</f>
        <v>0</v>
      </c>
      <c r="BE29" s="50" t="s">
        <v>938</v>
      </c>
      <c r="BO29" s="589" t="s">
        <v>921</v>
      </c>
      <c r="BP29" s="589"/>
      <c r="BQ29" s="589"/>
      <c r="BR29" s="578" t="s">
        <v>915</v>
      </c>
      <c r="BS29" s="605">
        <f>IF($BO$2&gt;0,"",IFERROR(N50/Worksheet!H62,""))</f>
        <v>159.21798815350493</v>
      </c>
      <c r="BT29" s="575"/>
      <c r="BU29" s="663" t="s">
        <v>909</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939</v>
      </c>
      <c r="BN30" s="608" t="s">
        <v>917</v>
      </c>
      <c r="BO30" s="590" t="s">
        <v>918</v>
      </c>
      <c r="BP30" s="592">
        <f>SUM(BP31:BP34)</f>
        <v>35.54734395994759</v>
      </c>
      <c r="BQ30" s="757">
        <f>IF($BD$7="ML/Yr",BW30,BU30)</f>
        <v>1.9039650877460725</v>
      </c>
      <c r="BR30" s="578" t="s">
        <v>919</v>
      </c>
      <c r="BS30" s="613">
        <f>IF(BS29="","",IF(BS29&lt;BQ30,0,IF(BS29&gt;BQ34,BQ34,BS29)))</f>
        <v>35.54734395994759</v>
      </c>
      <c r="BT30" s="590" t="s">
        <v>918</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940</v>
      </c>
      <c r="BN31" s="534"/>
      <c r="BO31" s="590" t="s">
        <v>924</v>
      </c>
      <c r="BP31" s="592">
        <f>BQ31</f>
        <v>3.7255465834551216</v>
      </c>
      <c r="BQ31" s="757">
        <f t="shared" ref="BQ31:BQ34" si="2">IF($BD$7="ML/Yr",BW31,BU31)</f>
        <v>3.7255465834551216</v>
      </c>
      <c r="BR31" s="590" t="s">
        <v>925</v>
      </c>
      <c r="BS31" s="594">
        <f>SUM(BP30:BP34)/125</f>
        <v>0.56875750335916142</v>
      </c>
      <c r="BT31" s="590" t="s">
        <v>924</v>
      </c>
      <c r="BU31" s="604">
        <v>3.7255465834551216</v>
      </c>
      <c r="BV31" s="593"/>
      <c r="BW31" s="761">
        <f>IF($Z$6="",BU31/0.737,BU31/$Z$6)</f>
        <v>5.0550157170354435</v>
      </c>
      <c r="BX31" s="50" t="s">
        <v>926</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99</v>
      </c>
      <c r="Y32" s="1058"/>
      <c r="Z32" s="777" t="str">
        <f>Worksheet!J68</f>
        <v>psi</v>
      </c>
      <c r="AA32" s="50"/>
      <c r="AB32" s="50"/>
      <c r="AC32" s="810"/>
      <c r="AD32" s="810"/>
      <c r="AE32" s="81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927</v>
      </c>
      <c r="BP32" s="592">
        <f>BQ32-BQ31</f>
        <v>4.2242209408171547</v>
      </c>
      <c r="BQ32" s="757">
        <f t="shared" si="2"/>
        <v>7.9497675242722758</v>
      </c>
      <c r="BR32" s="590" t="s">
        <v>899</v>
      </c>
      <c r="BS32" s="594">
        <f>SUM(BP30:BP34)-SUM(BS30,BS31)</f>
        <v>34.978586456588431</v>
      </c>
      <c r="BT32" s="590" t="s">
        <v>927</v>
      </c>
      <c r="BU32" s="604">
        <v>7.9497675242722758</v>
      </c>
      <c r="BV32" s="593"/>
      <c r="BW32" s="761">
        <f>IF($Z$6="",BU32/0.737,BU32/$Z$6)</f>
        <v>10.786658784629953</v>
      </c>
      <c r="BX32" s="50" t="s">
        <v>928</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AOP is above 90th %ile</v>
      </c>
      <c r="AC33" s="1059"/>
      <c r="AD33" s="1059"/>
      <c r="AE33" s="81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930</v>
      </c>
      <c r="BP33" s="592">
        <f>BQ33-BQ32</f>
        <v>8.3367570590545697</v>
      </c>
      <c r="BQ33" s="757">
        <f t="shared" si="2"/>
        <v>16.286524583326845</v>
      </c>
      <c r="BR33" s="590"/>
      <c r="BS33" s="590"/>
      <c r="BT33" s="590" t="s">
        <v>930</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931</v>
      </c>
      <c r="BP34" s="592">
        <f>BQ34-BQ33</f>
        <v>19.260819376620745</v>
      </c>
      <c r="BQ34" s="757">
        <f t="shared" si="2"/>
        <v>35.54734395994759</v>
      </c>
      <c r="BR34" s="590"/>
      <c r="BS34" s="590"/>
      <c r="BT34" s="590" t="s">
        <v>931</v>
      </c>
      <c r="BU34" s="604">
        <v>35.54734395994759</v>
      </c>
      <c r="BV34" s="593"/>
      <c r="BW34" s="761">
        <f>IF($Z$6="",BU34/0.737,BU34/$Z$6)</f>
        <v>48.232488412411925</v>
      </c>
      <c r="BX34" s="612" t="s">
        <v>932</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0"/>
      <c r="AC35" s="810"/>
      <c r="AD35" s="81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908</v>
      </c>
      <c r="BQ35" s="611" t="s">
        <v>909</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0"/>
      <c r="AC36" s="81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934</v>
      </c>
      <c r="BP36" s="589"/>
      <c r="BQ36" s="589"/>
      <c r="BR36" s="578" t="s">
        <v>915</v>
      </c>
      <c r="BS36" s="606">
        <f>IF($BO$2&gt;0,"",IFERROR((BS55+BS43),""))</f>
        <v>198.85257259544679</v>
      </c>
      <c r="BT36" s="590"/>
      <c r="BU36" s="663" t="s">
        <v>909</v>
      </c>
      <c r="BV36" s="591"/>
      <c r="BW36" s="591"/>
      <c r="BX36" s="539"/>
      <c r="BY36" s="50" t="s">
        <v>941</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0"/>
      <c r="AD37" s="810"/>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8" t="s">
        <v>917</v>
      </c>
      <c r="BO37" s="590" t="s">
        <v>918</v>
      </c>
      <c r="BP37" s="591">
        <f>SUM(BP38:BP41)</f>
        <v>125.15100211248117</v>
      </c>
      <c r="BQ37" s="612">
        <f>IF($BD$7="ML/Yr",BW37,BU37)</f>
        <v>21.095211492757553</v>
      </c>
      <c r="BR37" s="578" t="s">
        <v>919</v>
      </c>
      <c r="BS37" s="614">
        <f>IF(BS36="","",IF(BS36&lt;BQ37,0,IF(BS36&gt;BQ41,BQ41,BS36)))</f>
        <v>125.15100211248117</v>
      </c>
      <c r="BT37" s="590" t="s">
        <v>918</v>
      </c>
      <c r="BU37" s="602">
        <v>21.095211492757553</v>
      </c>
      <c r="BV37" s="591"/>
      <c r="BW37" s="596">
        <f>BU37*3.78541</f>
        <v>79.854024536799372</v>
      </c>
      <c r="BX37" s="540"/>
      <c r="BY37" s="50" t="s">
        <v>942</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0"/>
      <c r="AD38" s="81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924</v>
      </c>
      <c r="BP38" s="587">
        <f>BQ38</f>
        <v>29.480551398162277</v>
      </c>
      <c r="BQ38" s="612">
        <f t="shared" ref="BQ38:BQ41" si="3">IF($BD$7="ML/Yr",BW38,BU38)</f>
        <v>29.480551398162277</v>
      </c>
      <c r="BR38" s="590" t="s">
        <v>925</v>
      </c>
      <c r="BS38" s="594">
        <f>SUM(BP37:BP41)/125</f>
        <v>2.0024160337996988</v>
      </c>
      <c r="BT38" s="590" t="s">
        <v>924</v>
      </c>
      <c r="BU38" s="603">
        <v>29.480551398162277</v>
      </c>
      <c r="BV38" s="591"/>
      <c r="BW38" s="596">
        <f>BU38*3.78541</f>
        <v>111.59597406811747</v>
      </c>
      <c r="BX38" s="50" t="s">
        <v>943</v>
      </c>
      <c r="BY38" s="590" t="s">
        <v>925</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927</v>
      </c>
      <c r="BP39" s="587">
        <f>BQ39-BQ38</f>
        <v>15.908823434416718</v>
      </c>
      <c r="BQ39" s="612">
        <f t="shared" si="3"/>
        <v>45.389374832578994</v>
      </c>
      <c r="BR39" s="590" t="s">
        <v>899</v>
      </c>
      <c r="BS39" s="594">
        <f>SUM(BP37:BP41)-SUM(BS37,BS38)</f>
        <v>123.14858607868146</v>
      </c>
      <c r="BT39" s="590" t="s">
        <v>927</v>
      </c>
      <c r="BU39" s="603">
        <v>45.389374832578994</v>
      </c>
      <c r="BV39" s="591"/>
      <c r="BW39" s="596">
        <f t="shared" ref="BW39:BW41" si="4">BU39*3.78541</f>
        <v>171.81739338499287</v>
      </c>
      <c r="BX39" s="50" t="s">
        <v>944</v>
      </c>
      <c r="BY39" s="590" t="s">
        <v>899</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945</v>
      </c>
      <c r="AK40" s="577"/>
      <c r="AL40" s="579"/>
      <c r="AM40" s="576"/>
      <c r="AN40" s="576"/>
      <c r="AO40" s="576"/>
      <c r="AP40" s="576"/>
      <c r="AQ40" s="576"/>
      <c r="AR40" s="576"/>
      <c r="AS40" s="576"/>
      <c r="AT40" s="576"/>
      <c r="AU40" s="655" t="s">
        <v>946</v>
      </c>
      <c r="AV40" s="576"/>
      <c r="AW40" s="193"/>
      <c r="AX40" s="193"/>
      <c r="AY40" s="193"/>
      <c r="AZ40" s="193"/>
      <c r="BA40" s="193"/>
      <c r="BB40" s="266"/>
      <c r="BC40" s="89"/>
      <c r="BD40" s="178"/>
      <c r="BE40" s="178"/>
      <c r="BF40" s="178"/>
      <c r="BG40" s="178"/>
      <c r="BO40" s="590" t="s">
        <v>930</v>
      </c>
      <c r="BP40" s="587">
        <f>BQ40-BQ39</f>
        <v>30.842317024915928</v>
      </c>
      <c r="BQ40" s="612">
        <f t="shared" si="3"/>
        <v>76.231691857494923</v>
      </c>
      <c r="BR40" s="590"/>
      <c r="BS40" s="590"/>
      <c r="BT40" s="590" t="s">
        <v>930</v>
      </c>
      <c r="BU40" s="603">
        <v>76.231691857494923</v>
      </c>
      <c r="BV40" s="591"/>
      <c r="BW40" s="596">
        <f t="shared" si="4"/>
        <v>288.56820867427984</v>
      </c>
      <c r="BX40" s="50" t="s">
        <v>947</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1.6273970799769886</v>
      </c>
      <c r="AI41" s="1056"/>
      <c r="AJ41" s="1056"/>
      <c r="AK41" s="728" t="s">
        <v>948</v>
      </c>
      <c r="AL41" s="660"/>
      <c r="AM41" s="661"/>
      <c r="AN41" s="657"/>
      <c r="AO41" s="657"/>
      <c r="AP41" s="657"/>
      <c r="AQ41" s="657"/>
      <c r="AR41" s="657"/>
      <c r="AS41" s="1055">
        <f>BS69</f>
        <v>1046.6953774334265</v>
      </c>
      <c r="AT41" s="1055"/>
      <c r="AU41" s="1055"/>
      <c r="AV41" s="728" t="str">
        <f>BD11</f>
        <v>gal/mile/day</v>
      </c>
      <c r="AW41" s="193"/>
      <c r="AX41" s="193"/>
      <c r="AY41" s="193"/>
      <c r="AZ41" s="193"/>
      <c r="BA41" s="193"/>
      <c r="BB41" s="266"/>
      <c r="BC41" s="89"/>
      <c r="BD41" s="178"/>
      <c r="BE41" s="178"/>
      <c r="BF41" s="178"/>
      <c r="BG41" s="178"/>
      <c r="BO41" s="590" t="s">
        <v>931</v>
      </c>
      <c r="BP41" s="587">
        <f>BQ41-BQ40</f>
        <v>48.919310254986243</v>
      </c>
      <c r="BQ41" s="612">
        <f t="shared" si="3"/>
        <v>125.15100211248117</v>
      </c>
      <c r="BR41" s="590"/>
      <c r="BS41" s="590"/>
      <c r="BT41" s="590" t="s">
        <v>931</v>
      </c>
      <c r="BU41" s="603">
        <v>125.15100211248117</v>
      </c>
      <c r="BV41" s="591"/>
      <c r="BW41" s="596">
        <f t="shared" si="4"/>
        <v>473.74785490660736</v>
      </c>
      <c r="BX41" s="50" t="s">
        <v>949</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908</v>
      </c>
      <c r="BQ42" s="611" t="s">
        <v>909</v>
      </c>
      <c r="BR42" s="590"/>
      <c r="BS42" s="590"/>
      <c r="BT42" s="590"/>
      <c r="BU42" s="591"/>
      <c r="BV42" s="591"/>
      <c r="BW42" s="591"/>
      <c r="BX42" s="600" t="s">
        <v>951</v>
      </c>
    </row>
    <row r="43" spans="1:78" ht="15" customHeight="1">
      <c r="A43" s="89"/>
      <c r="B43" s="487"/>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0.98598186843750002</v>
      </c>
      <c r="AL43" s="1054"/>
      <c r="AM43" s="1054"/>
      <c r="AN43" s="1054"/>
      <c r="AO43" s="772" t="str">
        <f>BD7</f>
        <v>MG/Yr</v>
      </c>
      <c r="AP43" s="574"/>
      <c r="AQ43" s="574"/>
      <c r="AR43" s="574"/>
      <c r="AS43" s="1054">
        <f>IF(BG19=1,BF19,IFERROR(AK43*1000000/Worksheet!H62/365,""))</f>
        <v>117.44870380434782</v>
      </c>
      <c r="AT43" s="1054"/>
      <c r="AU43" s="1054"/>
      <c r="AV43" s="1054"/>
      <c r="AW43" s="571" t="str">
        <f>BD10</f>
        <v>gal/conn/day</v>
      </c>
      <c r="AX43" s="574"/>
      <c r="AY43" s="574"/>
      <c r="AZ43" s="574"/>
      <c r="BA43" s="193"/>
      <c r="BB43" s="266"/>
      <c r="BC43" s="89"/>
      <c r="BD43" s="176"/>
      <c r="BO43" s="589" t="s">
        <v>935</v>
      </c>
      <c r="BP43" s="589"/>
      <c r="BQ43" s="589"/>
      <c r="BR43" s="578" t="s">
        <v>915</v>
      </c>
      <c r="BS43" s="606">
        <f>IF($BO$2&gt;0,"",IF(ISERROR(1/Worksheet!H62),"",IF('Start Page'!$AB$22="Acre-feet",Worksheet!H46*325851/1000000,Worksheet!H46)*1000000/365/Worksheet!H62))</f>
        <v>7.7168949771689102</v>
      </c>
      <c r="BT43" s="590"/>
      <c r="BU43" s="663" t="s">
        <v>909</v>
      </c>
      <c r="BV43" s="591"/>
      <c r="BW43" s="591"/>
      <c r="BX43" s="612" t="s">
        <v>932</v>
      </c>
      <c r="BY43" s="50" t="s">
        <v>941</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917</v>
      </c>
      <c r="BO44" s="590" t="s">
        <v>918</v>
      </c>
      <c r="BP44" s="591">
        <f>SUM(BP45:BP48)</f>
        <v>16.320999291962284</v>
      </c>
      <c r="BQ44" s="612">
        <f>IF($BD$7="ML/Yr",BW44,BU44)</f>
        <v>1.1863793690124249</v>
      </c>
      <c r="BR44" s="578" t="s">
        <v>919</v>
      </c>
      <c r="BS44" s="614">
        <f>IF(BS43="","",IF(BS43&lt;BQ44,0,IF(BS43&gt;BQ48,BQ48,BS43)))</f>
        <v>7.7168949771689102</v>
      </c>
      <c r="BT44" s="590" t="s">
        <v>918</v>
      </c>
      <c r="BU44" s="603">
        <v>1.1863793690124249</v>
      </c>
      <c r="BV44" s="591"/>
      <c r="BW44" s="596">
        <f>BU44*3.78541</f>
        <v>4.4909323272533239</v>
      </c>
      <c r="BX44" s="540"/>
      <c r="BY44" s="50" t="s">
        <v>942</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955</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924</v>
      </c>
      <c r="BP45" s="587">
        <f>BQ45</f>
        <v>2.7528558495753783</v>
      </c>
      <c r="BQ45" s="612">
        <f t="shared" ref="BQ45:BQ48" si="5">IF($BD$7="ML/Yr",BW45,BU45)</f>
        <v>2.7528558495753783</v>
      </c>
      <c r="BR45" s="590" t="s">
        <v>925</v>
      </c>
      <c r="BS45" s="594">
        <f>SUM(BP44:BP48)/125</f>
        <v>0.26113598867139654</v>
      </c>
      <c r="BT45" s="590" t="s">
        <v>924</v>
      </c>
      <c r="BU45" s="603">
        <v>2.7528558495753783</v>
      </c>
      <c r="BV45" s="591"/>
      <c r="BW45" s="596">
        <f t="shared" ref="BW45:BW48" si="6">BU45*3.78541</f>
        <v>10.420688061541133</v>
      </c>
      <c r="BX45" s="50" t="s">
        <v>943</v>
      </c>
      <c r="BY45" s="590" t="s">
        <v>925</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927</v>
      </c>
      <c r="BP46" s="587">
        <f>BQ46-BQ45</f>
        <v>2.5474471374368308</v>
      </c>
      <c r="BQ46" s="612">
        <f t="shared" si="5"/>
        <v>5.3003029870122091</v>
      </c>
      <c r="BR46" s="590" t="s">
        <v>899</v>
      </c>
      <c r="BS46" s="594">
        <f>SUM(BP44:BP48)-SUM(BS44,BS45)</f>
        <v>24.663967618084261</v>
      </c>
      <c r="BT46" s="590" t="s">
        <v>927</v>
      </c>
      <c r="BU46" s="603">
        <v>5.3003029870122091</v>
      </c>
      <c r="BV46" s="591"/>
      <c r="BW46" s="596">
        <f t="shared" si="6"/>
        <v>20.063819930065886</v>
      </c>
      <c r="BX46" s="50" t="s">
        <v>944</v>
      </c>
      <c r="BY46" s="590" t="s">
        <v>899</v>
      </c>
      <c r="BZ46" s="594" t="str">
        <f>IF(BZ45="","",SUM(BP44:BP48)-SUM(BZ44,BZ45))</f>
        <v/>
      </c>
    </row>
    <row r="47" spans="1:78" ht="12.95" customHeight="1">
      <c r="A47" s="89"/>
      <c r="B47" s="487"/>
      <c r="C47" s="50"/>
      <c r="D47" s="193"/>
      <c r="E47" s="710"/>
      <c r="F47" s="193"/>
      <c r="G47" s="193"/>
      <c r="H47" s="193"/>
      <c r="I47" s="1051" t="s">
        <v>956</v>
      </c>
      <c r="J47" s="1051"/>
      <c r="K47" s="1051"/>
      <c r="L47" s="1051"/>
      <c r="M47" s="571"/>
      <c r="N47" s="1051" t="s">
        <v>894</v>
      </c>
      <c r="O47" s="1051"/>
      <c r="P47" s="1051"/>
      <c r="Q47" s="1051"/>
      <c r="R47" s="1060" t="s">
        <v>957</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930</v>
      </c>
      <c r="BP47" s="587">
        <f>BQ47-BQ46</f>
        <v>4.0544051080008483</v>
      </c>
      <c r="BQ47" s="612">
        <f t="shared" si="5"/>
        <v>9.3547080950130574</v>
      </c>
      <c r="BR47" s="590"/>
      <c r="BS47" s="590"/>
      <c r="BT47" s="590" t="s">
        <v>930</v>
      </c>
      <c r="BU47" s="603">
        <v>9.3547080950130574</v>
      </c>
      <c r="BV47" s="591"/>
      <c r="BW47" s="596">
        <f t="shared" si="6"/>
        <v>35.411405569943376</v>
      </c>
      <c r="BX47" s="50" t="s">
        <v>947</v>
      </c>
    </row>
    <row r="48" spans="1:78" ht="15" customHeight="1">
      <c r="A48" s="89"/>
      <c r="B48" s="487"/>
      <c r="C48" s="118"/>
      <c r="D48" s="118"/>
      <c r="E48" s="710"/>
      <c r="F48" s="118"/>
      <c r="G48" s="118"/>
      <c r="H48" s="118"/>
      <c r="I48" s="1051" t="str">
        <f>BD7</f>
        <v>MG/Yr</v>
      </c>
      <c r="J48" s="1051"/>
      <c r="K48" s="1051"/>
      <c r="L48" s="1051"/>
      <c r="M48" s="571"/>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931</v>
      </c>
      <c r="BP48" s="587">
        <f>BQ48-BQ47</f>
        <v>6.9662911969492267</v>
      </c>
      <c r="BQ48" s="612">
        <f t="shared" si="5"/>
        <v>16.320999291962284</v>
      </c>
      <c r="BR48" s="590"/>
      <c r="BS48" s="590"/>
      <c r="BT48" s="590" t="s">
        <v>931</v>
      </c>
      <c r="BU48" s="603">
        <v>16.320999291962284</v>
      </c>
      <c r="BV48" s="591"/>
      <c r="BW48" s="596">
        <f t="shared" si="6"/>
        <v>61.781673929786955</v>
      </c>
      <c r="BX48" s="50" t="s">
        <v>949</v>
      </c>
    </row>
    <row r="49" spans="1:78" ht="15" customHeight="1">
      <c r="A49" s="89"/>
      <c r="B49" s="487"/>
      <c r="C49" s="118"/>
      <c r="D49" s="118"/>
      <c r="E49" s="710"/>
      <c r="F49" s="118"/>
      <c r="G49" s="118"/>
      <c r="H49" s="180" t="s">
        <v>744</v>
      </c>
      <c r="I49" s="1049">
        <f>IF(ISBLANK('Start Page'!$AB$22),"",Worksheet!H46)</f>
        <v>6.4783333333332999E-2</v>
      </c>
      <c r="J49" s="1049"/>
      <c r="K49" s="1049"/>
      <c r="L49" s="1049"/>
      <c r="M49" s="557"/>
      <c r="N49" s="1050">
        <f>IF(OR(ISBLANK('Start Page'!$AB$22),ISBLANK(Worksheet!J76)),"",(SUM(Worksheet!H43+Worksheet!H39+Worksheet!X50)*Worksheet!H76)*INDEX(Sheet1!B2:D4,MATCH('Start Page'!AB22,Sheet1!A2:A4,0),MATCH(Worksheet!J76,Sheet1!B1:D1,0))+Worksheet!Y50*Worksheet!H77)</f>
        <v>898.54483333332871</v>
      </c>
      <c r="O49" s="1050"/>
      <c r="P49" s="1050"/>
      <c r="Q49" s="1050"/>
      <c r="R49" s="1048" t="s">
        <v>579</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951</v>
      </c>
    </row>
    <row r="50" spans="1:78" ht="15" customHeight="1">
      <c r="A50" s="89"/>
      <c r="B50" s="487"/>
      <c r="C50" s="118"/>
      <c r="D50" s="118"/>
      <c r="E50" s="710"/>
      <c r="F50" s="118"/>
      <c r="G50" s="118"/>
      <c r="H50" s="180" t="s">
        <v>952</v>
      </c>
      <c r="I50" s="1049">
        <f>IF(ISBLANK('Start Page'!$AB$22),"",Worksheet!H51)</f>
        <v>1.6045840136054428</v>
      </c>
      <c r="J50" s="1049"/>
      <c r="K50" s="1049"/>
      <c r="L50" s="1049"/>
      <c r="M50" s="557"/>
      <c r="N50" s="1050">
        <f>IFERROR(IF(Worksheet!H41="Select under/over","",IF(ISBLANK('Start Page'!AB22),"",Worksheet!H51*(IF(BD29=FALSE,Worksheet!H77,IF(BD29=TRUE,Worksheet!H76*INDEX(Sheet1!B2:D4,MATCH('Start Page'!AB22,Sheet1!A2:A4,0),MATCH(Worksheet!J76,Sheet1!B1:D1,0)),""))))),"")</f>
        <v>3662.0137275306133</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932</v>
      </c>
    </row>
    <row r="51" spans="1:78" ht="15" customHeight="1">
      <c r="A51" s="89"/>
      <c r="B51" s="487"/>
      <c r="C51" s="118"/>
      <c r="D51" s="118"/>
      <c r="E51" s="710"/>
      <c r="F51" s="118"/>
      <c r="G51" s="118"/>
      <c r="H51" s="180" t="s">
        <v>959</v>
      </c>
      <c r="I51" s="1049">
        <f>IF(ISBLANK('Start Page'!$AB$22),"",SUM(Worksheet!H25:H26))</f>
        <v>0.20899999999999999</v>
      </c>
      <c r="J51" s="1049"/>
      <c r="K51" s="1049"/>
      <c r="L51" s="1049"/>
      <c r="M51" s="557"/>
      <c r="N51" s="1050">
        <f>IFERROR(IF(SUM(Sheet1!D90:D91)=0,"",SUM(Sheet1!D90:D91)),"")</f>
        <v>476.98397999999992</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960</v>
      </c>
      <c r="I52" s="1049">
        <f>IF(SUM(I49:I51)=0,"",SUM(I49:I51))</f>
        <v>1.8783673469387758</v>
      </c>
      <c r="J52" s="1049"/>
      <c r="K52" s="1049"/>
      <c r="L52" s="1049"/>
      <c r="M52" s="557"/>
      <c r="N52" s="1050">
        <f>IF(SUM(N49:N51)=0,"",SUM(N49:N51))</f>
        <v>5037.5425408639421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908</v>
      </c>
      <c r="BQ53" s="611" t="s">
        <v>909</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961</v>
      </c>
      <c r="BP55" s="589"/>
      <c r="BQ55" s="589"/>
      <c r="BR55" s="578" t="s">
        <v>915</v>
      </c>
      <c r="BS55" s="606">
        <f>IF($BO$2&gt;0,"",IF(Worksheet!H51="","",IF(ISERROR(1/Worksheet!H62),"",IF('Start Page'!$AB$22="Megalitres (thousand cubic metres)",Worksheet!H51*1000000/365/Worksheet!H62,IF('Start Page'!$AB$22="Million gallons (US)",Worksheet!H51*1000000,Worksheet!H51*325851)/365/Worksheet!H62))))</f>
        <v>191.13567761827787</v>
      </c>
      <c r="BT55" s="590"/>
      <c r="BU55" s="663" t="s">
        <v>909</v>
      </c>
      <c r="BV55" s="591"/>
      <c r="BW55" s="591"/>
      <c r="BX55" s="540"/>
      <c r="BY55" s="50" t="s">
        <v>941</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917</v>
      </c>
      <c r="BO56" s="590" t="s">
        <v>918</v>
      </c>
      <c r="BP56" s="591">
        <f>SUM(BP57:BP60)</f>
        <v>115.43298001472428</v>
      </c>
      <c r="BQ56" s="612">
        <f>IF($BD$7="ML/Yr",BW56,BU56)</f>
        <v>16.277522142556361</v>
      </c>
      <c r="BR56" s="578" t="s">
        <v>919</v>
      </c>
      <c r="BS56" s="614">
        <f>IF(BS55="","",IF(BS55&lt;BQ56,0,IF(BS55&gt;BQ60,BQ60,BS55)))</f>
        <v>115.43298001472428</v>
      </c>
      <c r="BT56" s="590" t="s">
        <v>918</v>
      </c>
      <c r="BU56" s="602">
        <v>16.277522142556361</v>
      </c>
      <c r="BV56" s="591"/>
      <c r="BW56" s="596">
        <f t="shared" ref="BW56:BW60" si="7">BU56*3.78541</f>
        <v>61.617095093654278</v>
      </c>
      <c r="BX56" s="540"/>
      <c r="BY56" s="50" t="s">
        <v>942</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924</v>
      </c>
      <c r="BP57" s="587">
        <f>BQ57</f>
        <v>22.721688432860574</v>
      </c>
      <c r="BQ57" s="612">
        <f t="shared" ref="BQ57:BQ60" si="8">IF($BD$7="ML/Yr",BW57,BU57)</f>
        <v>22.721688432860574</v>
      </c>
      <c r="BR57" s="590" t="s">
        <v>925</v>
      </c>
      <c r="BS57" s="594">
        <f>SUM(BP56:BP60)/125</f>
        <v>1.8469276802355887</v>
      </c>
      <c r="BT57" s="590" t="s">
        <v>924</v>
      </c>
      <c r="BU57" s="602">
        <v>22.721688432860574</v>
      </c>
      <c r="BV57" s="591"/>
      <c r="BW57" s="596">
        <f t="shared" si="7"/>
        <v>86.010906610634748</v>
      </c>
      <c r="BX57" s="50" t="s">
        <v>943</v>
      </c>
      <c r="BY57" s="590" t="s">
        <v>925</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927</v>
      </c>
      <c r="BP58" s="587">
        <f>BQ58-BQ57</f>
        <v>14.053484230273789</v>
      </c>
      <c r="BQ58" s="612">
        <f t="shared" si="8"/>
        <v>36.775172663134363</v>
      </c>
      <c r="BR58" s="590" t="s">
        <v>899</v>
      </c>
      <c r="BS58" s="594">
        <f>SUM(BP56:BP60)-SUM(BS56,BS57)</f>
        <v>113.58605233448871</v>
      </c>
      <c r="BT58" s="590" t="s">
        <v>927</v>
      </c>
      <c r="BU58" s="602">
        <v>36.775172663134363</v>
      </c>
      <c r="BV58" s="591"/>
      <c r="BW58" s="596">
        <f t="shared" si="7"/>
        <v>139.20910635075546</v>
      </c>
      <c r="BX58" s="50" t="s">
        <v>944</v>
      </c>
      <c r="BY58" s="590" t="s">
        <v>899</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930</v>
      </c>
      <c r="BP59" s="587">
        <f>BQ59-BQ58</f>
        <v>29.603369869319486</v>
      </c>
      <c r="BQ59" s="612">
        <f t="shared" si="8"/>
        <v>66.378542532453849</v>
      </c>
      <c r="BR59" s="590"/>
      <c r="BS59" s="590"/>
      <c r="BT59" s="590" t="s">
        <v>930</v>
      </c>
      <c r="BU59" s="602">
        <v>66.378542532453849</v>
      </c>
      <c r="BV59" s="591"/>
      <c r="BW59" s="596">
        <f t="shared" si="7"/>
        <v>251.26999868777614</v>
      </c>
      <c r="BX59" s="50" t="s">
        <v>947</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931</v>
      </c>
      <c r="BP60" s="587">
        <f>BQ60-BQ59</f>
        <v>49.05443748227043</v>
      </c>
      <c r="BQ60" s="612">
        <f t="shared" si="8"/>
        <v>115.43298001472428</v>
      </c>
      <c r="BR60" s="590"/>
      <c r="BS60" s="590"/>
      <c r="BT60" s="590" t="s">
        <v>931</v>
      </c>
      <c r="BU60" s="602">
        <v>115.43298001472428</v>
      </c>
      <c r="BV60" s="591"/>
      <c r="BW60" s="596">
        <f t="shared" si="7"/>
        <v>436.96115687753746</v>
      </c>
      <c r="BX60" s="50" t="s">
        <v>949</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908</v>
      </c>
      <c r="BQ61" s="611" t="s">
        <v>909</v>
      </c>
      <c r="BR61" s="575"/>
      <c r="BS61" s="575"/>
      <c r="BT61" s="575"/>
      <c r="BU61" s="593"/>
      <c r="BV61" s="591"/>
      <c r="BW61" s="593"/>
      <c r="BX61" s="600" t="s">
        <v>951</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962</v>
      </c>
      <c r="BP62" s="589"/>
      <c r="BQ62" s="589"/>
      <c r="BR62" s="578" t="s">
        <v>915</v>
      </c>
      <c r="BS62" s="606">
        <f>IF($BO$2&gt;0,"",IFERROR(IF(ISERROR(1/AK43),"",I50/AK43),""))</f>
        <v>1.6273970799769886</v>
      </c>
      <c r="BT62" s="575"/>
      <c r="BU62" s="663" t="s">
        <v>909</v>
      </c>
      <c r="BV62" s="593"/>
      <c r="BW62" s="593"/>
      <c r="BX62" s="612" t="s">
        <v>932</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917</v>
      </c>
      <c r="BO63" s="590" t="s">
        <v>918</v>
      </c>
      <c r="BP63" s="591">
        <f>SUM(BP64:BP67)</f>
        <v>5.6785169995812712</v>
      </c>
      <c r="BQ63" s="591">
        <f>BU63</f>
        <v>0.88524096981003719</v>
      </c>
      <c r="BR63" s="578" t="s">
        <v>919</v>
      </c>
      <c r="BS63" s="614">
        <f>IF(BS62="","",IF(BS62&lt;BQ63,0,IF(BS62&gt;BQ67,BQ67,BS62)))</f>
        <v>1.6273970799769886</v>
      </c>
      <c r="BT63" s="590" t="s">
        <v>918</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924</v>
      </c>
      <c r="BP64" s="591">
        <f>BQ64</f>
        <v>1.1802115431372406</v>
      </c>
      <c r="BQ64" s="591">
        <f t="shared" ref="BQ64:BQ67" si="9">BU64</f>
        <v>1.1802115431372406</v>
      </c>
      <c r="BR64" s="590" t="s">
        <v>925</v>
      </c>
      <c r="BS64" s="594">
        <f>SUM(BP63:BP67)/125</f>
        <v>9.0856271993300333E-2</v>
      </c>
      <c r="BT64" s="590" t="s">
        <v>924</v>
      </c>
      <c r="BU64" s="602">
        <v>1.1802115431372406</v>
      </c>
      <c r="BV64" s="593"/>
      <c r="BW64" s="593"/>
      <c r="BX64" s="50" t="s">
        <v>963</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927</v>
      </c>
      <c r="BP65" s="591">
        <f>BQ65-BQ64</f>
        <v>0.66786196495481698</v>
      </c>
      <c r="BQ65" s="591">
        <f t="shared" si="9"/>
        <v>1.8480735080920576</v>
      </c>
      <c r="BR65" s="590" t="s">
        <v>899</v>
      </c>
      <c r="BS65" s="594">
        <f>SUM(BP63:BP67)-SUM(BS63,BS64)</f>
        <v>9.6387806471922541</v>
      </c>
      <c r="BT65" s="590" t="s">
        <v>927</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930</v>
      </c>
      <c r="BP66" s="591">
        <f>BQ66-BQ65</f>
        <v>1.3196245561942783</v>
      </c>
      <c r="BQ66" s="591">
        <f t="shared" si="9"/>
        <v>3.1676980642863359</v>
      </c>
      <c r="BR66" s="590"/>
      <c r="BS66" s="590"/>
      <c r="BT66" s="590" t="s">
        <v>930</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931</v>
      </c>
      <c r="BP67" s="591">
        <f>BQ67-BQ66</f>
        <v>2.5108189352949353</v>
      </c>
      <c r="BQ67" s="591">
        <f t="shared" si="9"/>
        <v>5.6785169995812712</v>
      </c>
      <c r="BR67" s="590"/>
      <c r="BS67" s="590"/>
      <c r="BT67" s="590" t="s">
        <v>931</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908</v>
      </c>
      <c r="BQ68" s="611" t="s">
        <v>909</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964</v>
      </c>
      <c r="BP69" s="589"/>
      <c r="BQ69" s="589"/>
      <c r="BR69" s="578" t="s">
        <v>915</v>
      </c>
      <c r="BS69" s="607">
        <f>IF($BO$2&gt;0,"",IF(Worksheet!H51="","",IF(ISERROR(1/Worksheet!H61),"",IF('Start Page'!$AB$22="Acre-feet",Worksheet!H51*325851/1000000,Worksheet!H51)*1000000/365/Worksheet!H61)))</f>
        <v>1046.6953774334265</v>
      </c>
      <c r="BT69" s="575"/>
      <c r="BU69" s="663" t="s">
        <v>909</v>
      </c>
      <c r="BV69" s="593"/>
      <c r="BW69" s="593"/>
      <c r="BX69" s="540"/>
      <c r="BY69" s="50" t="s">
        <v>941</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917</v>
      </c>
      <c r="BO70" s="590" t="s">
        <v>918</v>
      </c>
      <c r="BP70" s="599">
        <f>SUM(BP71:BP74)</f>
        <v>6074.127474647431</v>
      </c>
      <c r="BQ70" s="612">
        <f>IF($BD$7="ML/Yr",BW70,BU70)</f>
        <v>879.72156275907298</v>
      </c>
      <c r="BR70" s="578" t="s">
        <v>919</v>
      </c>
      <c r="BS70" s="615">
        <f>IF(BS69="","",IF(BS69&lt;BQ70,0,IF(BS69&gt;BQ74,BQ74,BS69)))</f>
        <v>1046.6953774334265</v>
      </c>
      <c r="BT70" s="590" t="s">
        <v>918</v>
      </c>
      <c r="BU70" s="601">
        <v>879.72156275907298</v>
      </c>
      <c r="BV70" s="593"/>
      <c r="BW70" s="597">
        <f>BU70*3.78541/1.60934</f>
        <v>2069.2375762013139</v>
      </c>
      <c r="BX70" s="540"/>
      <c r="BY70" s="50" t="s">
        <v>942</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924</v>
      </c>
      <c r="BP71" s="615">
        <f>BQ71</f>
        <v>1289.3731309804823</v>
      </c>
      <c r="BQ71" s="612">
        <f t="shared" ref="BQ71:BQ74" si="10">IF($BD$7="ML/Yr",BW71,BU71)</f>
        <v>1289.3731309804823</v>
      </c>
      <c r="BR71" s="590" t="s">
        <v>925</v>
      </c>
      <c r="BS71" s="594">
        <f>SUM(BP70:BP74)/125</f>
        <v>97.186039594358903</v>
      </c>
      <c r="BT71" s="590" t="s">
        <v>924</v>
      </c>
      <c r="BU71" s="601">
        <v>1289.3731309804823</v>
      </c>
      <c r="BV71" s="593"/>
      <c r="BW71" s="597">
        <f>BU71*3.78541/1.60934</f>
        <v>3032.799746321366</v>
      </c>
      <c r="BX71" s="50" t="s">
        <v>965</v>
      </c>
      <c r="BY71" s="590" t="s">
        <v>925</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927</v>
      </c>
      <c r="BP72" s="615">
        <f>BQ72-BQ71</f>
        <v>759.55275547112319</v>
      </c>
      <c r="BQ72" s="612">
        <f t="shared" si="10"/>
        <v>2048.9258864516055</v>
      </c>
      <c r="BR72" s="590" t="s">
        <v>899</v>
      </c>
      <c r="BS72" s="599">
        <f>SUM(BP70:BP74)-SUM(BS70,BS71)</f>
        <v>11004.373532267076</v>
      </c>
      <c r="BT72" s="590" t="s">
        <v>927</v>
      </c>
      <c r="BU72" s="601">
        <v>2048.9258864516055</v>
      </c>
      <c r="BV72" s="593"/>
      <c r="BW72" s="597">
        <f t="shared" ref="BW72:BW74" si="11">BU72*3.78541/1.60934</f>
        <v>4819.3821938389483</v>
      </c>
      <c r="BX72" s="50" t="s">
        <v>944</v>
      </c>
      <c r="BY72" s="590" t="s">
        <v>899</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930</v>
      </c>
      <c r="BP73" s="615">
        <f>BQ73-BQ72</f>
        <v>1590.6845140948462</v>
      </c>
      <c r="BQ73" s="612">
        <f t="shared" si="10"/>
        <v>3639.6104005464517</v>
      </c>
      <c r="BR73" s="590"/>
      <c r="BS73" s="590"/>
      <c r="BT73" s="590" t="s">
        <v>930</v>
      </c>
      <c r="BU73" s="601">
        <v>3639.6104005464517</v>
      </c>
      <c r="BV73" s="593"/>
      <c r="BW73" s="597">
        <f t="shared" si="11"/>
        <v>8560.9116820140825</v>
      </c>
      <c r="BX73" s="50" t="s">
        <v>947</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931</v>
      </c>
      <c r="BP74" s="615">
        <f>BQ74-BQ73</f>
        <v>2434.5170741009792</v>
      </c>
      <c r="BQ74" s="612">
        <f t="shared" si="10"/>
        <v>6074.127474647431</v>
      </c>
      <c r="BR74" s="590"/>
      <c r="BS74" s="590"/>
      <c r="BT74" s="590" t="s">
        <v>931</v>
      </c>
      <c r="BU74" s="601">
        <v>6074.127474647431</v>
      </c>
      <c r="BV74" s="593"/>
      <c r="BW74" s="597">
        <f t="shared" si="11"/>
        <v>14287.262408071094</v>
      </c>
      <c r="BX74" s="50" t="s">
        <v>966</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967</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908</v>
      </c>
      <c r="BQ76" s="611" t="s">
        <v>909</v>
      </c>
      <c r="BR76" s="575"/>
      <c r="BS76" s="575"/>
      <c r="BT76" s="575"/>
      <c r="BU76" s="593"/>
      <c r="BV76" s="593"/>
      <c r="BW76" s="593"/>
      <c r="BX76" s="612" t="s">
        <v>932</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968</v>
      </c>
      <c r="BP77" s="589"/>
      <c r="BT77" s="575"/>
      <c r="BU77" s="663" t="s">
        <v>909</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917</v>
      </c>
      <c r="BO78" s="590" t="s">
        <v>918</v>
      </c>
      <c r="BP78" s="599">
        <v>0</v>
      </c>
      <c r="BQ78" s="766">
        <f>IF($BD$7="ML/Yr",BW78,BU78)</f>
        <v>52.334191473572488</v>
      </c>
      <c r="BS78" s="615"/>
      <c r="BT78" s="590" t="s">
        <v>918</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924</v>
      </c>
      <c r="BP79" s="615">
        <f>BQ79-BQ78</f>
        <v>7.6622700288460379</v>
      </c>
      <c r="BQ79" s="766">
        <f>IF($BD$7="ML/Yr",BW79,BU79)</f>
        <v>59.996461502418526</v>
      </c>
      <c r="BS79" s="594"/>
      <c r="BT79" s="590" t="s">
        <v>924</v>
      </c>
      <c r="BU79" s="601">
        <v>59.996461502418526</v>
      </c>
      <c r="BV79" s="593"/>
      <c r="BW79" s="597">
        <f t="shared" ref="BW79:BW82" si="12">BU79*0.70324961490205</f>
        <v>42.192488447061493</v>
      </c>
      <c r="BX79" s="50" t="s">
        <v>969</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927</v>
      </c>
      <c r="BP80" s="615">
        <f>BQ80-BQ79</f>
        <v>10.003538497581474</v>
      </c>
      <c r="BQ80" s="766">
        <f>IF($BD$7="ML/Yr",BW80,BU80)</f>
        <v>70</v>
      </c>
      <c r="BS80" s="599"/>
      <c r="BT80" s="590" t="s">
        <v>927</v>
      </c>
      <c r="BU80" s="601">
        <v>70</v>
      </c>
      <c r="BV80" s="593"/>
      <c r="BW80" s="597">
        <f t="shared" si="12"/>
        <v>49.227473043143497</v>
      </c>
      <c r="BX80" s="50" t="s">
        <v>947</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930</v>
      </c>
      <c r="BP81" s="615">
        <f>BQ81-BQ80</f>
        <v>11.988291197308087</v>
      </c>
      <c r="BQ81" s="766">
        <f>IF($BD$7="ML/Yr",BW81,BU81)</f>
        <v>81.988291197308087</v>
      </c>
      <c r="BS81" s="590"/>
      <c r="BT81" s="590" t="s">
        <v>930</v>
      </c>
      <c r="BU81" s="601">
        <v>81.988291197308087</v>
      </c>
      <c r="BV81" s="593"/>
      <c r="BW81" s="597">
        <f t="shared" si="12"/>
        <v>57.658234210984041</v>
      </c>
      <c r="BX81" s="50" t="s">
        <v>970</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931</v>
      </c>
      <c r="BP82" s="615">
        <f>BQ82-BQ81</f>
        <v>15.011708802691913</v>
      </c>
      <c r="BQ82" s="766">
        <f>IF($BD$7="ML/Yr",BW82,BU82)</f>
        <v>97</v>
      </c>
      <c r="BS82" s="590"/>
      <c r="BT82" s="590" t="s">
        <v>931</v>
      </c>
      <c r="BU82" s="601">
        <v>97</v>
      </c>
      <c r="BV82" s="593"/>
      <c r="BW82" s="597">
        <f t="shared" si="12"/>
        <v>68.215212645498852</v>
      </c>
      <c r="BX82" s="600" t="s">
        <v>971</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46.665808526427512</v>
      </c>
      <c r="BQ83" s="607">
        <f>BP83+BQ78</f>
        <v>99</v>
      </c>
      <c r="BX83" s="612" t="s">
        <v>932</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- 770 Boggs</v>
      </c>
      <c r="H4" s="747" t="str">
        <f>IF(ISBLANK('Start Page'!AB19),"",'Start Page'!AB19)</f>
        <v>Calendar</v>
      </c>
    </row>
    <row r="5" spans="2:21" ht="13.35" customHeight="1">
      <c r="F5" s="200" t="s">
        <v>705</v>
      </c>
      <c r="G5" s="747">
        <f>IF(ISBLANK('Start Page'!AB18),"",'Start Page'!AB18)</f>
        <v>2023</v>
      </c>
      <c r="H5" s="747" t="str">
        <f>IF(ISBLANK('Start Page'!AB20),"",TEXT('Start Page'!AB20,"mmm dd yyyy")&amp;" - "&amp;TEXT('Start Page'!AB21,"mmm dd yyyy"))</f>
        <v>Jan 01 2023 - Dec 31 2023</v>
      </c>
    </row>
    <row r="6" spans="2:21" ht="7.35" customHeight="1">
      <c r="F6" s="497"/>
      <c r="G6" s="497"/>
      <c r="H6" s="497"/>
    </row>
    <row r="7" spans="2:21" ht="56.45" customHeight="1">
      <c r="F7" s="402" t="s">
        <v>973</v>
      </c>
      <c r="G7" s="1086"/>
      <c r="H7" s="1086"/>
    </row>
    <row r="8" spans="2:21" ht="5.45" customHeight="1">
      <c r="F8" s="809"/>
      <c r="G8" s="809"/>
      <c r="H8" s="809"/>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3" t="s">
        <v>874</v>
      </c>
      <c r="C11" s="411"/>
      <c r="D11" s="703" t="s">
        <v>875</v>
      </c>
      <c r="F11" s="1084"/>
      <c r="G11" s="1081"/>
      <c r="H11" s="1081"/>
      <c r="J11" s="865"/>
      <c r="K11" s="865"/>
      <c r="L11" s="865"/>
      <c r="M11" s="865"/>
      <c r="N11" s="865"/>
      <c r="O11" s="865"/>
      <c r="P11" s="865"/>
      <c r="Q11" s="865"/>
      <c r="R11" s="865"/>
      <c r="S11" s="865"/>
      <c r="T11" s="86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978</v>
      </c>
      <c r="G13" s="1080"/>
      <c r="H13" s="1080"/>
      <c r="J13" s="696"/>
      <c r="K13" s="696"/>
      <c r="L13" s="696"/>
      <c r="M13" s="696"/>
      <c r="N13" s="696"/>
      <c r="O13" s="696"/>
      <c r="P13" s="696"/>
      <c r="Q13" s="696"/>
      <c r="R13" s="696"/>
      <c r="S13" s="696"/>
      <c r="T13" s="696"/>
      <c r="U13" s="696"/>
    </row>
    <row r="14" spans="2:21" ht="28.9" customHeight="1">
      <c r="B14" s="703" t="s">
        <v>874</v>
      </c>
      <c r="C14" s="411"/>
      <c r="D14" s="703" t="s">
        <v>875</v>
      </c>
      <c r="F14" s="1084"/>
      <c r="G14" s="1081"/>
      <c r="H14" s="1081"/>
    </row>
    <row r="15" spans="2:21" ht="28.9" customHeight="1">
      <c r="B15" s="704"/>
      <c r="C15" s="411"/>
      <c r="D15" s="704"/>
      <c r="F15" s="1085"/>
      <c r="G15" s="1082"/>
      <c r="H15" s="1082"/>
    </row>
    <row r="16" spans="2:21" ht="28.9" customHeight="1">
      <c r="B16" s="427"/>
      <c r="C16" s="411"/>
      <c r="D16" s="427"/>
      <c r="F16" s="1083" t="s">
        <v>979</v>
      </c>
      <c r="G16" s="1080"/>
      <c r="H16" s="1080"/>
    </row>
    <row r="17" spans="2:8" ht="28.9" customHeight="1">
      <c r="B17" s="703" t="s">
        <v>874</v>
      </c>
      <c r="C17" s="411"/>
      <c r="D17" s="703"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3" t="s">
        <v>874</v>
      </c>
      <c r="C20" s="411"/>
      <c r="D20" s="703"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3" t="s">
        <v>874</v>
      </c>
      <c r="C23" s="411"/>
      <c r="D23" s="703"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3" t="s">
        <v>874</v>
      </c>
      <c r="C26" s="411"/>
      <c r="D26" s="703"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3" t="s">
        <v>874</v>
      </c>
      <c r="C29" s="411"/>
      <c r="D29" s="703"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3" t="s">
        <v>874</v>
      </c>
      <c r="C32" s="411"/>
      <c r="D32" s="703"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3" t="s">
        <v>874</v>
      </c>
      <c r="C35" s="411"/>
      <c r="D35" s="703"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3" t="s">
        <v>874</v>
      </c>
      <c r="C38" s="411"/>
      <c r="D38" s="703"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3" t="s">
        <v>874</v>
      </c>
      <c r="C41" s="411"/>
      <c r="D41" s="703"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3" t="s">
        <v>874</v>
      </c>
      <c r="C44" s="411"/>
      <c r="D44" s="703"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3" t="s">
        <v>874</v>
      </c>
      <c r="C47" s="411"/>
      <c r="D47" s="703"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3" t="s">
        <v>874</v>
      </c>
      <c r="C50" s="411"/>
      <c r="D50" s="703"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3" t="s">
        <v>874</v>
      </c>
      <c r="C53" s="411"/>
      <c r="D53" s="703"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3" t="s">
        <v>874</v>
      </c>
      <c r="C56" s="411"/>
      <c r="D56" s="703"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3" t="s">
        <v>874</v>
      </c>
      <c r="C59" s="411"/>
      <c r="D59" s="703"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3" t="s">
        <v>874</v>
      </c>
      <c r="C62" s="411"/>
      <c r="D62" s="703"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3" t="s">
        <v>874</v>
      </c>
      <c r="C65" s="411"/>
      <c r="D65" s="703" t="s">
        <v>875</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6">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67">
        <v>547500</v>
      </c>
      <c r="I13" s="868" t="s">
        <v>1016</v>
      </c>
      <c r="J13" s="30" t="s">
        <v>1017</v>
      </c>
      <c r="K13" s="8">
        <f>H13*INDEX(N2:P4,MATCH(I13,M2:M4,0),MATCH(L13,N1:P1,0))</f>
        <v>2072512.9605</v>
      </c>
      <c r="L13" s="868" t="s">
        <v>1000</v>
      </c>
    </row>
    <row r="14" spans="1:16">
      <c r="K14" s="9"/>
    </row>
    <row r="15" spans="1:16">
      <c r="B15" s="8" t="s">
        <v>1018</v>
      </c>
      <c r="H15" s="788"/>
    </row>
    <row r="16" spans="1:16">
      <c r="B16" s="7" t="s">
        <v>996</v>
      </c>
      <c r="C16" s="7" t="s">
        <v>774</v>
      </c>
      <c r="D16" s="7" t="s">
        <v>997</v>
      </c>
      <c r="H16" s="8">
        <f>1500000000/1000000*365</f>
        <v>547500</v>
      </c>
      <c r="I16" s="788"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8" t="s">
        <v>1039</v>
      </c>
      <c r="E78" s="8" t="str">
        <f>"Total Volume of NRW = "&amp;TEXT(SUM(C90,C91,C94,C95,C97,C99),"#,###")&amp;" "&amp;Worksheet!J15</f>
        <v>Total Volume of NRW = 2 MG/Yr</v>
      </c>
    </row>
    <row r="79" spans="1:6" ht="16.5">
      <c r="B79" s="46"/>
      <c r="C79" s="46"/>
      <c r="D79" s="46"/>
      <c r="E79" s="8" t="str">
        <f>IFERROR("Total Cost of NRW = $"&amp;TEXT(SUM(D90,D91,D94,D95,D96,D97,D99),"#,###")&amp;"/Yr","")</f>
        <v>Total Cost of NRW = $5,038/Yr</v>
      </c>
      <c r="F79" s="46"/>
    </row>
    <row r="80" spans="1:6">
      <c r="A80"/>
      <c r="B80"/>
      <c r="C80" s="47" t="str">
        <f>"Volume ("&amp;Worksheet!J15&amp;")"</f>
        <v>Volume (MG/Yr)</v>
      </c>
      <c r="D80" s="47" t="s">
        <v>1040</v>
      </c>
      <c r="E80" s="79" t="s">
        <v>1041</v>
      </c>
      <c r="F80"/>
    </row>
    <row r="81" spans="1:6">
      <c r="A81" s="118" t="s">
        <v>1042</v>
      </c>
      <c r="B81" s="118"/>
      <c r="C81" s="100">
        <f>IF(Dashboard!BO$2&gt;0,"",Worksheet!H15)</f>
        <v>6.0449999999999999</v>
      </c>
      <c r="D81" s="869">
        <f>IF(Dashboard!BO$2&gt;0,"",C81*(Worksheet!$H$77))</f>
        <v>13796.019899999999</v>
      </c>
      <c r="E81" s="488">
        <f>D81</f>
        <v>13796.019899999999</v>
      </c>
      <c r="F81" s="75" t="s">
        <v>1043</v>
      </c>
    </row>
    <row r="82" spans="1:6">
      <c r="A82" s="118" t="str">
        <f>A81&amp;" MA"</f>
        <v>Vol. from own sources: MA</v>
      </c>
      <c r="B82" s="118"/>
      <c r="C82" s="100">
        <f>IF(Dashboard!BO$2&gt;0,"",Worksheet!X15)</f>
        <v>0.12090000000000001</v>
      </c>
      <c r="D82" s="869">
        <f>IF(Dashboard!BO$2&gt;0,"",C82*(Worksheet!$H$77))</f>
        <v>275.92039799999998</v>
      </c>
      <c r="E82" s="488">
        <f t="shared" ref="E82:E100" si="0">D82</f>
        <v>275.92039799999998</v>
      </c>
      <c r="F82"/>
    </row>
    <row r="83" spans="1:6">
      <c r="A83" t="s">
        <v>1044</v>
      </c>
      <c r="B83"/>
      <c r="C83" s="100">
        <f>IF(Dashboard!BO$2&gt;0,"",Worksheet!H16)</f>
        <v>0</v>
      </c>
      <c r="D83" s="869">
        <f>IF(Dashboard!BO$2&gt;0,"",C83*(Worksheet!$H$77))</f>
        <v>0</v>
      </c>
      <c r="E83" s="488">
        <f t="shared" si="0"/>
        <v>0</v>
      </c>
      <c r="F83"/>
    </row>
    <row r="84" spans="1:6">
      <c r="A84" t="str">
        <f>A83&amp;" MA"</f>
        <v>Water imported: MA</v>
      </c>
      <c r="B84"/>
      <c r="C84" s="100">
        <f>IF(Dashboard!BO$2&gt;0,"",Worksheet!X16)</f>
        <v>0</v>
      </c>
      <c r="D84" s="869">
        <f>IF(Dashboard!BO$2&gt;0,"",C84*(Worksheet!$H$77))</f>
        <v>0</v>
      </c>
      <c r="E84" s="488">
        <f t="shared" si="0"/>
        <v>0</v>
      </c>
      <c r="F84"/>
    </row>
    <row r="85" spans="1:6">
      <c r="A85" t="s">
        <v>1045</v>
      </c>
      <c r="B85"/>
      <c r="C85" s="100">
        <f>IF(Dashboard!BO$2&gt;0,"",Worksheet!H17)</f>
        <v>0</v>
      </c>
      <c r="D85" s="869">
        <f>IF(Dashboard!BO$2&gt;0,"",C85*(Worksheet!$H$77))</f>
        <v>0</v>
      </c>
      <c r="E85" s="488">
        <f t="shared" si="0"/>
        <v>0</v>
      </c>
      <c r="F85"/>
    </row>
    <row r="86" spans="1:6">
      <c r="A86" t="str">
        <f>A85&amp;" MA"</f>
        <v>Water exported: MA</v>
      </c>
      <c r="B86"/>
      <c r="C86" s="100">
        <f>IF(Dashboard!BO$2&gt;0,"",Worksheet!X17)</f>
        <v>0</v>
      </c>
      <c r="D86" s="869">
        <f>IF(Dashboard!BO$2&gt;0,"",C86*(Worksheet!$H$77))</f>
        <v>0</v>
      </c>
      <c r="E86" s="488">
        <f t="shared" si="0"/>
        <v>0</v>
      </c>
      <c r="F86"/>
    </row>
    <row r="87" spans="1:6">
      <c r="A87" t="s">
        <v>731</v>
      </c>
      <c r="B87"/>
      <c r="C87" s="100">
        <f>IF(Dashboard!BO$2&gt;0,"",Worksheet!H19)</f>
        <v>6.1683673469387754</v>
      </c>
      <c r="D87" s="869">
        <f>IF(Dashboard!BO$2&gt;0,"",C87*(Worksheet!$H$77))</f>
        <v>14077.571326530611</v>
      </c>
      <c r="E87" s="488">
        <f t="shared" si="0"/>
        <v>14077.571326530611</v>
      </c>
      <c r="F87"/>
    </row>
    <row r="88" spans="1:6">
      <c r="A88" s="118" t="s">
        <v>1046</v>
      </c>
      <c r="B88"/>
      <c r="C88" s="100">
        <f>IF(Dashboard!BO$2&gt;0,"",Worksheet!H23)</f>
        <v>4.29</v>
      </c>
      <c r="D88" s="869">
        <f>IF(Dashboard!BO$2&gt;0,"",C88*(Worksheet!$H$76*1000))</f>
        <v>59502.3</v>
      </c>
      <c r="E88" s="488">
        <f t="shared" si="0"/>
        <v>59502.3</v>
      </c>
      <c r="F88"/>
    </row>
    <row r="89" spans="1:6">
      <c r="A89" s="118" t="s">
        <v>1047</v>
      </c>
      <c r="B89"/>
      <c r="C89" s="100">
        <f>IF(Dashboard!BO$2&gt;0,"",Worksheet!H24)</f>
        <v>0</v>
      </c>
      <c r="D89" s="869">
        <f>IF(Dashboard!BO$2&gt;0,"",C89*(Worksheet!$H$76*1000))</f>
        <v>0</v>
      </c>
      <c r="E89" s="488">
        <f t="shared" si="0"/>
        <v>0</v>
      </c>
      <c r="F89"/>
    </row>
    <row r="90" spans="1:6">
      <c r="A90" s="796" t="str">
        <f>"Unbilled Metered (UMAC) valued at "&amp;A76&amp;""</f>
        <v xml:space="preserve">Unbilled Metered (UMAC) valued at </v>
      </c>
      <c r="B90" s="793"/>
      <c r="C90" s="794">
        <f>IF(Dashboard!BO$2&gt;0,"",Worksheet!H25)</f>
        <v>0</v>
      </c>
      <c r="D90" s="870">
        <f>IF(Dashboard!BO$2&gt;0,"",IF(ISBLANK('Start Page'!AB22),"",IF(AND(ISBLANK(Worksheet!H77),Worksheet!Z77&lt;&gt;1),"",Worksheet!H25*(IF(Dashboard!BD29=FALSE,Worksheet!H77,IF(Dashboard!BD29=TRUE,Worksheet!H76*INDEX(Sheet1!B2:D4,MATCH('Start Page'!AB22,Sheet1!A2:A4,0),MATCH(Worksheet!J76,Sheet1!B1:D1,0)),""))))))</f>
        <v>0</v>
      </c>
      <c r="E90" s="795">
        <f t="shared" si="0"/>
        <v>0</v>
      </c>
      <c r="F90"/>
    </row>
    <row r="91" spans="1:6">
      <c r="A91" s="796" t="str">
        <f>"Unbilled Unmetered (UUAC) valued at "&amp;A76&amp;""</f>
        <v xml:space="preserve">Unbilled Unmetered (UUAC) valued at </v>
      </c>
      <c r="B91" s="793"/>
      <c r="C91" s="794">
        <f>IF(Dashboard!BO$2&gt;0,"",Worksheet!H26)</f>
        <v>0.20899999999999999</v>
      </c>
      <c r="D91" s="870">
        <f>IF(Dashboard!BO$2&gt;0,"",IF(ISBLANK('Start Page'!AB22),"",IF(AND(ISBLANK(Worksheet!H77),Worksheet!Z77&lt;&gt;1),"",Worksheet!H26*(IF(Dashboard!BD29=FALSE,Worksheet!H77,IF(Dashboard!BD29=TRUE,Worksheet!H76*INDEX(Sheet1!B2:D4,MATCH('Start Page'!AB22,Sheet1!A2:A4,0),MATCH(Worksheet!J76,Sheet1!B1:D1,0)),""))))))</f>
        <v>476.98397999999992</v>
      </c>
      <c r="E91" s="795">
        <f t="shared" si="0"/>
        <v>476.98397999999992</v>
      </c>
      <c r="F91"/>
    </row>
    <row r="92" spans="1:6">
      <c r="A92" s="118" t="s">
        <v>1048</v>
      </c>
      <c r="B92" s="871" t="s">
        <v>1049</v>
      </c>
      <c r="C92" s="100">
        <f>IF(Dashboard!BO$2&gt;0,"",Worksheet!H30)</f>
        <v>4.4989999999999997</v>
      </c>
      <c r="D92" s="869">
        <f>IF(Dashboard!BO$2&gt;0,"",C92*(Worksheet!$H$76*1000))</f>
        <v>62401.13</v>
      </c>
      <c r="E92" s="488">
        <f t="shared" si="0"/>
        <v>62401.13</v>
      </c>
      <c r="F92"/>
    </row>
    <row r="93" spans="1:6">
      <c r="A93" t="s">
        <v>1050</v>
      </c>
      <c r="B93"/>
      <c r="C93" s="100">
        <f>IF(Dashboard!BO$2&gt;0,"",Worksheet!H35)</f>
        <v>1.6693673469387758</v>
      </c>
      <c r="D93" s="869"/>
      <c r="E93" s="488">
        <f t="shared" si="0"/>
        <v>0</v>
      </c>
      <c r="F93"/>
    </row>
    <row r="94" spans="1:6">
      <c r="A94" s="171" t="s">
        <v>1051</v>
      </c>
      <c r="B94" s="118"/>
      <c r="C94" s="102">
        <f>IF(Dashboard!BO$2&gt;0,"",Worksheet!H43)</f>
        <v>1.0725E-2</v>
      </c>
      <c r="D94" s="872">
        <f>IF(Dashboard!BO$2&gt;0,"",IF(ISBLANK('Start Page'!AB22),"",IF(AND(ISBLANK(Worksheet!H77),Worksheet!Z77&lt;&gt;1),"",C94*Worksheet!H76*INDEX(Sheet1!B2:D4,MATCH('Start Page'!AB22,Sheet1!A2:A4,0),MATCH(Worksheet!J76,Sheet1!B1:D1,0)))))</f>
        <v>148.75575000000001</v>
      </c>
      <c r="E94" s="489">
        <f t="shared" si="0"/>
        <v>148.75575000000001</v>
      </c>
      <c r="F94" s="103"/>
    </row>
    <row r="95" spans="1:6">
      <c r="A95" s="784" t="s">
        <v>1052</v>
      </c>
      <c r="B95" s="784"/>
      <c r="C95" s="785">
        <f>Worksheet!X50</f>
        <v>4.3333333333333002E-2</v>
      </c>
      <c r="D95" s="873">
        <f>IF(Dashboard!BO$2&gt;0,"",IF(ISBLANK('Start Page'!AB22),"",IF(AND(ISBLANK(Worksheet!H77),Worksheet!Z77&lt;&gt;1),"",C95*Worksheet!H76*INDEX(Sheet1!B2:D4,MATCH('Start Page'!AB22,Sheet1!A2:A4,0),MATCH(Worksheet!J76,Sheet1!B1:D1,0)))))</f>
        <v>601.03333333332864</v>
      </c>
      <c r="E95" s="786">
        <f t="shared" si="0"/>
        <v>601.03333333332864</v>
      </c>
      <c r="F95" s="103"/>
    </row>
    <row r="96" spans="1:6">
      <c r="A96" s="784" t="s">
        <v>1053</v>
      </c>
      <c r="B96" s="784"/>
      <c r="C96" s="785">
        <f>Worksheet!Y50</f>
        <v>0</v>
      </c>
      <c r="D96" s="873">
        <f>C96*input_VPC</f>
        <v>0</v>
      </c>
      <c r="E96" s="786">
        <f t="shared" si="0"/>
        <v>0</v>
      </c>
      <c r="F96" s="787" t="s">
        <v>1054</v>
      </c>
    </row>
    <row r="97" spans="1:7">
      <c r="A97" s="171" t="s">
        <v>1055</v>
      </c>
      <c r="B97" s="118"/>
      <c r="C97" s="102">
        <f>IF(Dashboard!BO$2&gt;0,"",Worksheet!H39)</f>
        <v>1.0725E-2</v>
      </c>
      <c r="D97" s="872">
        <f>IF(Dashboard!BO$2&gt;0,"",IF(ISBLANK('Start Page'!AB22),"",IF(AND(ISBLANK(Worksheet!H77),Worksheet!Z77&lt;&gt;1),"",C97*Worksheet!H76*INDEX(Sheet1!B2:D4,MATCH('Start Page'!AB22,Sheet1!A2:A4,0),MATCH(Worksheet!J76,Sheet1!B1:D1,0)))))</f>
        <v>148.75575000000001</v>
      </c>
      <c r="E97" s="489">
        <f t="shared" si="0"/>
        <v>148.75575000000001</v>
      </c>
      <c r="F97" s="103"/>
    </row>
    <row r="98" spans="1:7">
      <c r="A98" s="791" t="s">
        <v>748</v>
      </c>
      <c r="B98" s="791"/>
      <c r="C98" s="792">
        <f>IF(Dashboard!BO$2&gt;0,"",Worksheet!H46)</f>
        <v>6.4783333333332999E-2</v>
      </c>
      <c r="D98" s="874">
        <f>IF(Dashboard!BO$2&gt;0,"",SUM(D94:D97))</f>
        <v>898.54483333332871</v>
      </c>
      <c r="E98" s="488">
        <f t="shared" si="0"/>
        <v>898.54483333332871</v>
      </c>
      <c r="F98"/>
    </row>
    <row r="99" spans="1:7">
      <c r="A99" s="171" t="str">
        <f>"Real Losses valued at "&amp;A76&amp;""</f>
        <v xml:space="preserve">Real Losses valued at </v>
      </c>
      <c r="B99" s="118"/>
      <c r="C99" s="102">
        <f>IF(Dashboard!BO$2&gt;0,"",Worksheet!H51)</f>
        <v>1.6045840136054428</v>
      </c>
      <c r="D99" s="875">
        <f>IF(Dashboard!BO$2&gt;0,"",Dashboard!N50)</f>
        <v>3662.0137275306133</v>
      </c>
      <c r="E99" s="489">
        <f t="shared" si="0"/>
        <v>3662.0137275306133</v>
      </c>
      <c r="F99" s="488"/>
    </row>
    <row r="100" spans="1:7">
      <c r="A100" t="s">
        <v>756</v>
      </c>
      <c r="B100"/>
      <c r="C100" s="100">
        <f>IF(Dashboard!BO$2&gt;0,"",Worksheet!H57)</f>
        <v>1.8783673469387758</v>
      </c>
      <c r="D100" s="101">
        <f>IF(Dashboard!BO$2&gt;0,"",D98+D99+D90+D91)</f>
        <v>5037.5425408639421</v>
      </c>
      <c r="E100" s="488">
        <f t="shared" si="0"/>
        <v>5037.5425408639421</v>
      </c>
      <c r="F100"/>
      <c r="G100" s="104"/>
    </row>
    <row r="101" spans="1:7">
      <c r="A101" s="788"/>
    </row>
    <row r="102" spans="1:7">
      <c r="A102" s="788" t="s">
        <v>1056</v>
      </c>
      <c r="C102" s="789">
        <f>C95+C96</f>
        <v>4.3333333333333002E-2</v>
      </c>
      <c r="D102" s="104">
        <f>D95+D96</f>
        <v>601.03333333332864</v>
      </c>
      <c r="E102" s="104">
        <f>E95+E96</f>
        <v>601.03333333332864</v>
      </c>
    </row>
    <row r="104" spans="1:7">
      <c r="D104" s="104"/>
    </row>
    <row r="113" spans="7:15">
      <c r="G113" s="790"/>
    </row>
    <row r="122" spans="7:15" ht="75.599999999999994" customHeight="1">
      <c r="L122" s="780" t="s">
        <v>1057</v>
      </c>
      <c r="M122" s="778"/>
      <c r="N122" s="780" t="str">
        <f>Dashboard!BO3</f>
        <v>ok</v>
      </c>
      <c r="O122" s="778"/>
    </row>
    <row r="123" spans="7:15" ht="75.599999999999994" customHeight="1">
      <c r="L123" s="780" t="s">
        <v>1058</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- 770 Boggs</v>
      </c>
      <c r="G5" s="1103"/>
      <c r="H5" s="375"/>
      <c r="I5" s="4"/>
    </row>
    <row r="6" spans="2:16" ht="18" customHeight="1">
      <c r="B6" s="372"/>
      <c r="C6" s="381"/>
      <c r="D6" s="373"/>
      <c r="E6" s="649" t="s">
        <v>705</v>
      </c>
      <c r="F6" s="650">
        <f>IF(ISBLANK('Start Page'!AB18),"",'Start Page'!AB18)</f>
        <v>2023</v>
      </c>
      <c r="G6" s="651" t="str">
        <f>IF(ISBLANK('Start Page'!AB20),"",TEXT('Start Page'!AB20,"mmm dd yyyy")&amp;" - "&amp;TEXT('Start Page'!AB21,"mmm dd yyyy"))</f>
        <v>Jan 01 2023 - Dec 31 2023</v>
      </c>
      <c r="H6" s="376"/>
      <c r="I6" s="4"/>
    </row>
    <row r="7" spans="2:16" ht="18" customHeight="1">
      <c r="B7" s="372"/>
      <c r="C7" s="373"/>
      <c r="D7" s="373"/>
      <c r="E7" s="649" t="s">
        <v>887</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1061</v>
      </c>
      <c r="E9" s="1104" t="s">
        <v>1062</v>
      </c>
      <c r="F9" s="1105"/>
      <c r="G9" s="1106"/>
      <c r="H9" s="276" t="s">
        <v>1063</v>
      </c>
      <c r="I9" s="4"/>
    </row>
    <row r="10" spans="2:16" ht="16.5" customHeight="1" thickBot="1">
      <c r="B10" s="876"/>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4"/>
      <c r="L11" s="99"/>
      <c r="M11" s="99"/>
      <c r="N11" s="99"/>
      <c r="O11" s="99"/>
      <c r="P11" s="99"/>
    </row>
    <row r="12" spans="2:16" ht="15.75" customHeight="1">
      <c r="B12" s="1089" t="s">
        <v>1067</v>
      </c>
      <c r="C12" s="285"/>
      <c r="D12" s="286"/>
      <c r="E12" s="1098" t="s">
        <v>1048</v>
      </c>
      <c r="F12" s="1098"/>
      <c r="G12" s="287">
        <f>Worksheet!H23</f>
        <v>4.29</v>
      </c>
      <c r="H12" s="878"/>
      <c r="I12" s="4"/>
      <c r="K12" s="755"/>
    </row>
    <row r="13" spans="2:16" ht="22.5" customHeight="1">
      <c r="B13" s="1089"/>
      <c r="C13" s="288"/>
      <c r="D13" s="286"/>
      <c r="E13" s="1098"/>
      <c r="F13" s="290">
        <f>Worksheet!H23+Worksheet!H24</f>
        <v>4.29</v>
      </c>
      <c r="G13" s="880" t="s">
        <v>1068</v>
      </c>
      <c r="H13" s="291">
        <f>SUM(G12+G14)</f>
        <v>4.29</v>
      </c>
      <c r="I13" s="4"/>
      <c r="K13" s="118"/>
      <c r="L13" s="99"/>
      <c r="M13" s="99"/>
      <c r="N13" s="99"/>
      <c r="O13" s="99"/>
      <c r="P13" s="99"/>
    </row>
    <row r="14" spans="2:16" ht="15.75" customHeight="1">
      <c r="B14" s="1100" t="s">
        <v>1069</v>
      </c>
      <c r="C14" s="292"/>
      <c r="D14" s="286"/>
      <c r="E14" s="293"/>
      <c r="F14" s="294"/>
      <c r="G14" s="295">
        <f>Worksheet!H24</f>
        <v>0</v>
      </c>
      <c r="H14" s="879"/>
      <c r="I14" s="4"/>
      <c r="K14" s="118"/>
    </row>
    <row r="15" spans="2:16" ht="15.75" customHeight="1">
      <c r="B15" s="1101"/>
      <c r="C15" s="292"/>
      <c r="D15" s="286"/>
      <c r="E15" s="296">
        <f>Worksheet!H30</f>
        <v>4.4989999999999997</v>
      </c>
      <c r="F15" s="1099" t="s">
        <v>1070</v>
      </c>
      <c r="G15" s="881" t="s">
        <v>1071</v>
      </c>
      <c r="H15" s="1096" t="s">
        <v>1072</v>
      </c>
      <c r="I15" s="4"/>
      <c r="K15" s="118"/>
      <c r="L15" s="99"/>
      <c r="M15" s="99"/>
      <c r="N15" s="99"/>
      <c r="O15" s="99"/>
      <c r="P15" s="99"/>
    </row>
    <row r="16" spans="2:16" ht="15.75" customHeight="1">
      <c r="B16" s="297"/>
      <c r="C16" s="285"/>
      <c r="D16" s="286"/>
      <c r="E16" s="194"/>
      <c r="F16" s="1098"/>
      <c r="G16" s="298">
        <f>Worksheet!H25</f>
        <v>0</v>
      </c>
      <c r="H16" s="1097"/>
      <c r="I16" s="4"/>
      <c r="K16" s="118"/>
    </row>
    <row r="17" spans="2:16" ht="22.5" customHeight="1">
      <c r="B17" s="299">
        <f>Worksheet!AG15</f>
        <v>6.1683673469387754</v>
      </c>
      <c r="C17" s="300"/>
      <c r="D17" s="301"/>
      <c r="E17" s="194"/>
      <c r="F17" s="302">
        <f>Worksheet!H25+Worksheet!H26</f>
        <v>0.20899999999999999</v>
      </c>
      <c r="G17" s="289" t="s">
        <v>1073</v>
      </c>
      <c r="H17" s="878"/>
      <c r="I17" s="4"/>
      <c r="K17" s="118"/>
      <c r="L17" s="99"/>
      <c r="M17" s="99"/>
      <c r="N17" s="99"/>
      <c r="O17" s="99"/>
      <c r="P17" s="99"/>
    </row>
    <row r="18" spans="2:16" ht="15.75" customHeight="1">
      <c r="B18" s="297"/>
      <c r="C18" s="1110" t="s">
        <v>1074</v>
      </c>
      <c r="D18" s="286"/>
      <c r="E18" s="303"/>
      <c r="F18" s="294"/>
      <c r="G18" s="304">
        <f>Worksheet!H26</f>
        <v>0.20899999999999999</v>
      </c>
      <c r="H18" s="878"/>
      <c r="I18" s="4"/>
      <c r="K18" s="118"/>
    </row>
    <row r="19" spans="2:16" ht="22.5" customHeight="1">
      <c r="B19" s="297"/>
      <c r="C19" s="1110"/>
      <c r="D19" s="814" t="s">
        <v>1075</v>
      </c>
      <c r="E19" s="282"/>
      <c r="F19" s="882"/>
      <c r="G19" s="880" t="s">
        <v>1076</v>
      </c>
      <c r="H19" s="305">
        <f>Worksheet!H25+Worksheet!H26+Worksheet!H46+Worksheet!H51</f>
        <v>1.8783673469387758</v>
      </c>
      <c r="I19" s="4"/>
      <c r="K19" s="118"/>
      <c r="L19" s="99"/>
      <c r="M19" s="99"/>
      <c r="N19" s="99"/>
      <c r="O19" s="99"/>
      <c r="P19" s="99"/>
    </row>
    <row r="20" spans="2:16" ht="15.75" customHeight="1">
      <c r="B20" s="297"/>
      <c r="C20" s="306">
        <f>B17+B27</f>
        <v>6.1683673469387754</v>
      </c>
      <c r="D20" s="286"/>
      <c r="E20" s="194"/>
      <c r="F20" s="307" t="s">
        <v>744</v>
      </c>
      <c r="G20" s="298">
        <f>Worksheet!H39</f>
        <v>1.0725E-2</v>
      </c>
      <c r="H20" s="878"/>
      <c r="I20" s="4"/>
      <c r="K20" s="118"/>
    </row>
    <row r="21" spans="2:16" ht="14.25" customHeight="1">
      <c r="B21" s="308"/>
      <c r="C21" s="309"/>
      <c r="D21" s="306">
        <f>Worksheet!H19</f>
        <v>6.1683673469387754</v>
      </c>
      <c r="E21" s="310"/>
      <c r="F21" s="302">
        <f>Worksheet!H46</f>
        <v>6.4783333333332999E-2</v>
      </c>
      <c r="G21" s="289" t="s">
        <v>1077</v>
      </c>
      <c r="H21" s="878"/>
      <c r="I21" s="4"/>
      <c r="K21" s="118"/>
      <c r="L21" s="99"/>
      <c r="M21" s="99"/>
      <c r="N21" s="99"/>
      <c r="O21" s="99"/>
      <c r="P21" s="99"/>
    </row>
    <row r="22" spans="2:16" ht="15.75" customHeight="1">
      <c r="B22" s="297"/>
      <c r="C22" s="285"/>
      <c r="D22" s="286"/>
      <c r="E22" s="194"/>
      <c r="F22" s="310"/>
      <c r="G22" s="311">
        <f>Worksheet!H41</f>
        <v>4.3333333333333002E-2</v>
      </c>
      <c r="H22" s="878"/>
      <c r="I22" s="4"/>
      <c r="K22" s="118"/>
    </row>
    <row r="23" spans="2:16" ht="23.25" customHeight="1">
      <c r="B23" s="297"/>
      <c r="C23" s="285"/>
      <c r="D23" s="286"/>
      <c r="E23" s="194"/>
      <c r="F23" s="310"/>
      <c r="G23" s="880" t="s">
        <v>1078</v>
      </c>
      <c r="H23" s="878"/>
      <c r="I23" s="4"/>
      <c r="K23" s="118"/>
      <c r="L23" s="99"/>
      <c r="M23" s="99"/>
      <c r="N23" s="99"/>
      <c r="O23" s="99"/>
      <c r="P23" s="99"/>
    </row>
    <row r="24" spans="2:16" ht="15.75" customHeight="1">
      <c r="B24" s="297"/>
      <c r="C24" s="285"/>
      <c r="D24" s="286"/>
      <c r="E24" s="312" t="s">
        <v>1050</v>
      </c>
      <c r="F24" s="294"/>
      <c r="G24" s="298">
        <f>Worksheet!H43</f>
        <v>1.0725E-2</v>
      </c>
      <c r="H24" s="878"/>
      <c r="I24" s="4"/>
      <c r="K24" s="118"/>
    </row>
    <row r="25" spans="2:16" ht="26.25" customHeight="1">
      <c r="B25" s="1088" t="s">
        <v>1079</v>
      </c>
      <c r="C25" s="288"/>
      <c r="D25" s="286"/>
      <c r="E25" s="313">
        <f>Worksheet!H53</f>
        <v>1.6693673469387758</v>
      </c>
      <c r="F25" s="310"/>
      <c r="G25" s="289" t="s">
        <v>1080</v>
      </c>
      <c r="H25" s="878"/>
      <c r="I25" s="4"/>
      <c r="K25" s="118"/>
      <c r="L25" s="99"/>
      <c r="M25" s="99"/>
      <c r="N25" s="99"/>
      <c r="O25" s="99"/>
      <c r="P25" s="99"/>
    </row>
    <row r="26" spans="2:16" ht="15.75" customHeight="1">
      <c r="B26" s="1089"/>
      <c r="C26" s="285"/>
      <c r="D26" s="286"/>
      <c r="E26" s="194"/>
      <c r="F26" s="307" t="s">
        <v>952</v>
      </c>
      <c r="G26" s="314" t="s">
        <v>1081</v>
      </c>
      <c r="H26" s="878"/>
      <c r="I26" s="4"/>
    </row>
    <row r="27" spans="2:16" ht="24.75" customHeight="1">
      <c r="B27" s="299">
        <f>Worksheet!AG16</f>
        <v>0</v>
      </c>
      <c r="C27" s="300"/>
      <c r="D27" s="286"/>
      <c r="E27" s="194"/>
      <c r="F27" s="302">
        <f>Worksheet!H51</f>
        <v>1.6045840136054428</v>
      </c>
      <c r="G27" s="880" t="s">
        <v>1082</v>
      </c>
      <c r="H27" s="878"/>
      <c r="I27" s="4"/>
      <c r="L27" s="99"/>
      <c r="M27" s="99"/>
      <c r="N27" s="99"/>
      <c r="O27" s="99"/>
      <c r="P27" s="99"/>
    </row>
    <row r="28" spans="2:16" ht="16.5" customHeight="1">
      <c r="B28" s="297"/>
      <c r="C28" s="285"/>
      <c r="D28" s="286"/>
      <c r="E28" s="194"/>
      <c r="F28" s="310"/>
      <c r="G28" s="315" t="s">
        <v>1081</v>
      </c>
      <c r="H28" s="878"/>
      <c r="I28" s="4"/>
    </row>
    <row r="29" spans="2:16" ht="12.75" customHeight="1">
      <c r="B29" s="297"/>
      <c r="C29" s="285"/>
      <c r="D29" s="286"/>
      <c r="E29" s="194"/>
      <c r="F29" s="310"/>
      <c r="G29" s="289" t="s">
        <v>1083</v>
      </c>
      <c r="H29" s="878"/>
      <c r="I29" s="4"/>
      <c r="L29" s="99"/>
      <c r="M29" s="99"/>
      <c r="N29" s="99"/>
      <c r="O29" s="99"/>
      <c r="P29" s="99"/>
    </row>
    <row r="30" spans="2:16" ht="14.25" thickBot="1">
      <c r="B30" s="316"/>
      <c r="C30" s="317"/>
      <c r="D30" s="318"/>
      <c r="E30" s="319"/>
      <c r="F30" s="320"/>
      <c r="G30" s="321" t="s">
        <v>1081</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- 770 Boggs</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1"/>
      <c r="L5" s="751"/>
      <c r="M5" s="751"/>
      <c r="N5" s="751"/>
      <c r="O5" s="751"/>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4"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1115</v>
      </c>
      <c r="B1" s="626" t="s">
        <v>1116</v>
      </c>
    </row>
    <row r="2" spans="1:2" ht="105">
      <c r="A2" s="623" t="s">
        <v>1117</v>
      </c>
      <c r="B2" s="618" t="s">
        <v>1118</v>
      </c>
    </row>
    <row r="3" spans="1:2" ht="28.35" customHeight="1">
      <c r="B3" s="619"/>
    </row>
    <row r="4" spans="1:2" ht="60">
      <c r="A4" s="623" t="s">
        <v>1119</v>
      </c>
      <c r="B4" s="618" t="s">
        <v>1120</v>
      </c>
    </row>
    <row r="5" spans="1:2" ht="13.5">
      <c r="B5" s="620"/>
    </row>
    <row r="6" spans="1:2" ht="75">
      <c r="A6" s="623" t="s">
        <v>1121</v>
      </c>
      <c r="B6" s="621" t="s">
        <v>1122</v>
      </c>
    </row>
    <row r="7" spans="1:2" ht="13.5">
      <c r="B7" s="620"/>
    </row>
    <row r="8" spans="1:2" ht="150">
      <c r="A8" s="623" t="s">
        <v>1123</v>
      </c>
      <c r="B8" s="618" t="s">
        <v>1124</v>
      </c>
    </row>
    <row r="9" spans="1:2" ht="13.5">
      <c r="B9" s="620"/>
    </row>
    <row r="10" spans="1:2" ht="255">
      <c r="A10" s="624" t="s">
        <v>1125</v>
      </c>
      <c r="B10" s="622" t="s">
        <v>1126</v>
      </c>
    </row>
    <row r="12" spans="1:2" ht="150">
      <c r="A12" s="623" t="s">
        <v>1127</v>
      </c>
      <c r="B12" s="618" t="s">
        <v>1128</v>
      </c>
    </row>
    <row r="13" spans="1:2">
      <c r="B13" s="619"/>
    </row>
    <row r="14" spans="1:2" ht="45">
      <c r="A14" s="623" t="s">
        <v>1129</v>
      </c>
      <c r="B14" s="621" t="s">
        <v>1130</v>
      </c>
    </row>
    <row r="15" spans="1:2" ht="13.5">
      <c r="B15" s="620"/>
    </row>
    <row r="16" spans="1:2" ht="60">
      <c r="A16" s="623" t="s">
        <v>1131</v>
      </c>
      <c r="B16" s="621" t="s">
        <v>1132</v>
      </c>
    </row>
    <row r="17" spans="1:2" ht="13.5">
      <c r="B17" s="620"/>
    </row>
    <row r="18" spans="1:2" ht="120">
      <c r="A18" s="623" t="s">
        <v>1133</v>
      </c>
      <c r="B18" s="621" t="s">
        <v>1134</v>
      </c>
    </row>
    <row r="19" spans="1:2" ht="13.5">
      <c r="B19" s="620"/>
    </row>
    <row r="20" spans="1:2" ht="75">
      <c r="A20" s="623" t="s">
        <v>1135</v>
      </c>
      <c r="B20" s="618" t="s">
        <v>1136</v>
      </c>
    </row>
    <row r="21" spans="1:2" ht="13.5">
      <c r="B21" s="620"/>
    </row>
    <row r="22" spans="1:2" ht="90">
      <c r="A22" s="623" t="s">
        <v>1137</v>
      </c>
      <c r="B22" s="618" t="s">
        <v>1138</v>
      </c>
    </row>
    <row r="23" spans="1:2" ht="13.5">
      <c r="B23" s="620"/>
    </row>
    <row r="24" spans="1:2" ht="90">
      <c r="A24" s="623" t="s">
        <v>1139</v>
      </c>
      <c r="B24" s="618" t="s">
        <v>1140</v>
      </c>
    </row>
    <row r="25" spans="1:2" ht="13.5">
      <c r="B25" s="620"/>
    </row>
    <row r="26" spans="1:2" ht="60">
      <c r="A26" s="623" t="s">
        <v>1141</v>
      </c>
      <c r="B26" s="618"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7</v>
      </c>
      <c r="AE98" s="56">
        <f>Worksheet!Y15</f>
        <v>34.313725490196077</v>
      </c>
      <c r="AF98" s="35">
        <f t="shared" ref="AF98:AF103" si="0">AE98</f>
        <v>34.313725490196077</v>
      </c>
      <c r="AG98" s="35">
        <f>IF(AE98&lt;&gt;0,AF98/10,0)</f>
        <v>3.4313725490196076</v>
      </c>
      <c r="AH98" s="35">
        <f>IFERROR(AD98*AG98,0)</f>
        <v>24.019607843137255</v>
      </c>
      <c r="AI98" s="35">
        <f t="shared" ref="AI98:AI117" si="1">IF(AG98=0,0,AF98-AH98)</f>
        <v>10.294117647058822</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0.68627450980392168</v>
      </c>
      <c r="AF99" s="35">
        <f t="shared" si="0"/>
        <v>0.68627450980392168</v>
      </c>
      <c r="AG99" s="35">
        <f t="shared" ref="AG99:AG117" si="3">IF(AE99&lt;&gt;0,AF99/10,0)</f>
        <v>6.8627450980392163E-2</v>
      </c>
      <c r="AH99" s="35">
        <f t="shared" ref="AH99:AH106" si="4">IFERROR(AD99*AG99,0)</f>
        <v>0.68627450980392157</v>
      </c>
      <c r="AI99" s="35">
        <f t="shared" si="1"/>
        <v>1.1102230246251565E-16</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58"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14</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5</v>
      </c>
      <c r="AK104" s="885"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6" t="str">
        <f t="shared" si="5"/>
        <v>Billed Unmetered (BUAC)</v>
      </c>
      <c r="AL105" s="72">
        <f t="shared" si="10"/>
        <v>0</v>
      </c>
      <c r="AM105" s="72">
        <f t="shared" si="7"/>
        <v>0</v>
      </c>
      <c r="AN105" s="72">
        <f t="shared" si="2"/>
        <v>0</v>
      </c>
    </row>
    <row r="106" spans="28:40">
      <c r="AC106" s="166" t="s">
        <v>1161</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13</v>
      </c>
      <c r="AK106" s="886" t="str">
        <f t="shared" si="5"/>
        <v>Unbilled Metered (UMAC)</v>
      </c>
      <c r="AL106" s="72">
        <f t="shared" si="10"/>
        <v>0</v>
      </c>
      <c r="AM106" s="72">
        <f t="shared" si="7"/>
        <v>0</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7"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7" t="str">
        <f t="shared" si="5"/>
        <v>Unauthorized Consumption (UC)</v>
      </c>
      <c r="AL108" s="64">
        <f t="shared" si="10"/>
        <v>1</v>
      </c>
      <c r="AM108" s="64">
        <f t="shared" si="7"/>
        <v>1</v>
      </c>
      <c r="AN108" s="64">
        <f t="shared" si="2"/>
        <v>0</v>
      </c>
    </row>
    <row r="109" spans="28:40">
      <c r="AC109" s="165" t="s">
        <v>1077</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2</v>
      </c>
      <c r="AK109" s="885"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87"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7"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7"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7"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7"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76.33795782463929</v>
      </c>
      <c r="AN118" s="38">
        <f>SUM(AN98:AN117)</f>
        <v>0</v>
      </c>
    </row>
    <row r="119" spans="29:40">
      <c r="AE119" s="34">
        <f>SUM(AE104:AE117)</f>
        <v>53</v>
      </c>
      <c r="AK119" s="76"/>
      <c r="AN119" s="37"/>
    </row>
    <row r="120" spans="29:40">
      <c r="AE120" s="888">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60" t="s">
        <v>1173</v>
      </c>
      <c r="C2" s="1161"/>
      <c r="D2" s="1161"/>
      <c r="E2" s="1161"/>
      <c r="F2" s="1161"/>
      <c r="G2" s="1161"/>
      <c r="H2" s="1161"/>
      <c r="I2" s="1161"/>
      <c r="J2" s="1161"/>
      <c r="K2" s="1161"/>
      <c r="L2" s="1161"/>
      <c r="M2" s="1162"/>
      <c r="N2" s="889"/>
    </row>
    <row r="3" spans="1:14" ht="4.3499999999999996" customHeight="1" thickBot="1">
      <c r="A3" s="93"/>
      <c r="B3" s="1160"/>
      <c r="C3" s="1161"/>
      <c r="D3" s="1161"/>
      <c r="E3" s="1161"/>
      <c r="F3" s="1161"/>
      <c r="G3" s="1161"/>
      <c r="H3" s="1161"/>
      <c r="I3" s="1161"/>
      <c r="J3" s="1161"/>
      <c r="K3" s="1161"/>
      <c r="L3" s="1161"/>
      <c r="M3" s="1162"/>
      <c r="N3" s="889"/>
    </row>
    <row r="4" spans="1:14" ht="15" customHeight="1" thickBot="1">
      <c r="A4" s="93"/>
      <c r="B4" s="335"/>
      <c r="C4" s="336" t="s">
        <v>1174</v>
      </c>
      <c r="D4" s="1163" t="s">
        <v>1175</v>
      </c>
      <c r="E4" s="1164"/>
      <c r="F4" s="1164"/>
      <c r="G4" s="1164"/>
      <c r="H4" s="1164"/>
      <c r="I4" s="1164"/>
      <c r="J4" s="1164"/>
      <c r="K4" s="1164"/>
      <c r="L4" s="1165"/>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1176</v>
      </c>
      <c r="D6" s="1166" t="s">
        <v>1177</v>
      </c>
      <c r="E6" s="1167"/>
      <c r="F6" s="1167"/>
      <c r="G6" s="1167"/>
      <c r="H6" s="1167"/>
      <c r="I6" s="1167"/>
      <c r="J6" s="1167"/>
      <c r="K6" s="1167"/>
      <c r="L6" s="1168"/>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734</v>
      </c>
      <c r="D8" s="1166" t="s">
        <v>1178</v>
      </c>
      <c r="E8" s="1167"/>
      <c r="F8" s="1167"/>
      <c r="G8" s="1167"/>
      <c r="H8" s="1167"/>
      <c r="I8" s="1167"/>
      <c r="J8" s="1167"/>
      <c r="K8" s="1167"/>
      <c r="L8" s="1168"/>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1179</v>
      </c>
      <c r="D10" s="1169" t="s">
        <v>1180</v>
      </c>
      <c r="E10" s="1170"/>
      <c r="F10" s="1170"/>
      <c r="G10" s="1170"/>
      <c r="H10" s="1170"/>
      <c r="I10" s="1170"/>
      <c r="J10" s="1170"/>
      <c r="K10" s="1170"/>
      <c r="L10" s="1171"/>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1181</v>
      </c>
      <c r="D12" s="1169" t="s">
        <v>1182</v>
      </c>
      <c r="E12" s="1172"/>
      <c r="F12" s="1172"/>
      <c r="G12" s="1172"/>
      <c r="H12" s="1172"/>
      <c r="I12" s="1172"/>
      <c r="J12" s="1172"/>
      <c r="K12" s="1172"/>
      <c r="L12" s="1173"/>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1064</v>
      </c>
      <c r="D14" s="1169" t="s">
        <v>1183</v>
      </c>
      <c r="E14" s="1172"/>
      <c r="F14" s="1172"/>
      <c r="G14" s="1172"/>
      <c r="H14" s="1172"/>
      <c r="I14" s="1172"/>
      <c r="J14" s="1172"/>
      <c r="K14" s="1172"/>
      <c r="L14" s="1173"/>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1184</v>
      </c>
      <c r="D16" s="1169" t="s">
        <v>1185</v>
      </c>
      <c r="E16" s="1172"/>
      <c r="F16" s="1172"/>
      <c r="G16" s="1172"/>
      <c r="H16" s="1172"/>
      <c r="I16" s="1172"/>
      <c r="J16" s="1172"/>
      <c r="K16" s="1172"/>
      <c r="L16" s="1173"/>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1186</v>
      </c>
      <c r="D18" s="1169" t="s">
        <v>1187</v>
      </c>
      <c r="E18" s="1172"/>
      <c r="F18" s="1172"/>
      <c r="G18" s="1172"/>
      <c r="H18" s="1172"/>
      <c r="I18" s="1172"/>
      <c r="J18" s="1172"/>
      <c r="K18" s="1172"/>
      <c r="L18" s="1173"/>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1188</v>
      </c>
      <c r="D20" s="1169" t="s">
        <v>1189</v>
      </c>
      <c r="E20" s="1172"/>
      <c r="F20" s="1172"/>
      <c r="G20" s="1172"/>
      <c r="H20" s="1172"/>
      <c r="I20" s="1172"/>
      <c r="J20" s="1172"/>
      <c r="K20" s="1172"/>
      <c r="L20" s="1173"/>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1190</v>
      </c>
      <c r="D22" s="1169" t="s">
        <v>1191</v>
      </c>
      <c r="E22" s="1172"/>
      <c r="F22" s="1172"/>
      <c r="G22" s="1172"/>
      <c r="H22" s="1172"/>
      <c r="I22" s="1172"/>
      <c r="J22" s="1172"/>
      <c r="K22" s="1172"/>
      <c r="L22" s="1173"/>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945</v>
      </c>
      <c r="D24" s="1169" t="s">
        <v>1192</v>
      </c>
      <c r="E24" s="1172"/>
      <c r="F24" s="1172"/>
      <c r="G24" s="1172"/>
      <c r="H24" s="1172"/>
      <c r="I24" s="1172"/>
      <c r="J24" s="1172"/>
      <c r="K24" s="1172"/>
      <c r="L24" s="1173"/>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990</v>
      </c>
      <c r="D26" s="1169" t="s">
        <v>1193</v>
      </c>
      <c r="E26" s="1172"/>
      <c r="F26" s="1172"/>
      <c r="G26" s="1172"/>
      <c r="H26" s="1172"/>
      <c r="I26" s="1172"/>
      <c r="J26" s="1172"/>
      <c r="K26" s="1172"/>
      <c r="L26" s="1173"/>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755</v>
      </c>
      <c r="D28" s="1166" t="s">
        <v>1194</v>
      </c>
      <c r="E28" s="1167"/>
      <c r="F28" s="1167"/>
      <c r="G28" s="1167"/>
      <c r="H28" s="1167"/>
      <c r="I28" s="1167"/>
      <c r="J28" s="1167"/>
      <c r="K28" s="1167"/>
      <c r="L28" s="1168"/>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1195</v>
      </c>
      <c r="D30" s="1169" t="s">
        <v>1196</v>
      </c>
      <c r="E30" s="1172"/>
      <c r="F30" s="1172"/>
      <c r="G30" s="1172"/>
      <c r="H30" s="1172"/>
      <c r="I30" s="1172"/>
      <c r="J30" s="1172"/>
      <c r="K30" s="1172"/>
      <c r="L30" s="1173"/>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952</v>
      </c>
      <c r="D32" s="1169" t="s">
        <v>1197</v>
      </c>
      <c r="E32" s="1172"/>
      <c r="F32" s="1172"/>
      <c r="G32" s="1172"/>
      <c r="H32" s="1172"/>
      <c r="I32" s="1172"/>
      <c r="J32" s="1172"/>
      <c r="K32" s="1172"/>
      <c r="L32" s="1173"/>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1066</v>
      </c>
      <c r="D34" s="1169" t="s">
        <v>1198</v>
      </c>
      <c r="E34" s="1172"/>
      <c r="F34" s="1172"/>
      <c r="G34" s="1172"/>
      <c r="H34" s="1172"/>
      <c r="I34" s="1172"/>
      <c r="J34" s="1172"/>
      <c r="K34" s="1172"/>
      <c r="L34" s="1173"/>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1199</v>
      </c>
      <c r="D36" s="1166" t="s">
        <v>1200</v>
      </c>
      <c r="E36" s="1172"/>
      <c r="F36" s="1172"/>
      <c r="G36" s="1172"/>
      <c r="H36" s="1172"/>
      <c r="I36" s="1172"/>
      <c r="J36" s="1172"/>
      <c r="K36" s="1172"/>
      <c r="L36" s="1173"/>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1201</v>
      </c>
      <c r="D38" s="1169" t="s">
        <v>1202</v>
      </c>
      <c r="E38" s="1172"/>
      <c r="F38" s="1172"/>
      <c r="G38" s="1172"/>
      <c r="H38" s="1172"/>
      <c r="I38" s="1172"/>
      <c r="J38" s="1172"/>
      <c r="K38" s="1172"/>
      <c r="L38" s="1173"/>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1203</v>
      </c>
      <c r="D40" s="1169" t="s">
        <v>1204</v>
      </c>
      <c r="E40" s="1172"/>
      <c r="F40" s="1172"/>
      <c r="G40" s="1172"/>
      <c r="H40" s="1172"/>
      <c r="I40" s="1172"/>
      <c r="J40" s="1172"/>
      <c r="K40" s="1172"/>
      <c r="L40" s="1173"/>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1205</v>
      </c>
      <c r="D42" s="1169" t="s">
        <v>1206</v>
      </c>
      <c r="E42" s="1172"/>
      <c r="F42" s="1172"/>
      <c r="G42" s="1172"/>
      <c r="H42" s="1172"/>
      <c r="I42" s="1172"/>
      <c r="J42" s="1172"/>
      <c r="K42" s="1172"/>
      <c r="L42" s="1173"/>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4" t="s">
        <v>1207</v>
      </c>
      <c r="D44" s="1176" t="s">
        <v>1208</v>
      </c>
      <c r="E44" s="1177"/>
      <c r="F44" s="1177"/>
      <c r="G44" s="1177"/>
      <c r="H44" s="1177"/>
      <c r="I44" s="1177"/>
      <c r="J44" s="1177"/>
      <c r="K44" s="1177"/>
      <c r="L44" s="1178"/>
      <c r="M44" s="890"/>
      <c r="N44" s="889"/>
    </row>
    <row r="45" spans="1:14" ht="13.5" thickBot="1">
      <c r="A45" s="93"/>
      <c r="B45" s="335"/>
      <c r="C45" s="1175"/>
      <c r="D45" s="1179"/>
      <c r="E45" s="1180"/>
      <c r="F45" s="1180"/>
      <c r="G45" s="1180"/>
      <c r="H45" s="1180"/>
      <c r="I45" s="1180"/>
      <c r="J45" s="1180"/>
      <c r="K45" s="1180"/>
      <c r="L45" s="1181"/>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1070</v>
      </c>
      <c r="D47" s="1169" t="s">
        <v>1209</v>
      </c>
      <c r="E47" s="1172"/>
      <c r="F47" s="1172"/>
      <c r="G47" s="1172"/>
      <c r="H47" s="1172"/>
      <c r="I47" s="1172"/>
      <c r="J47" s="1172"/>
      <c r="K47" s="1172"/>
      <c r="L47" s="1173"/>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1210</v>
      </c>
      <c r="D49" s="1169" t="s">
        <v>1211</v>
      </c>
      <c r="E49" s="1172"/>
      <c r="F49" s="1172"/>
      <c r="G49" s="1172"/>
      <c r="H49" s="1172"/>
      <c r="I49" s="1172"/>
      <c r="J49" s="1172"/>
      <c r="K49" s="1172"/>
      <c r="L49" s="1173"/>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1212</v>
      </c>
      <c r="D51" s="1169" t="s">
        <v>1213</v>
      </c>
      <c r="E51" s="1172"/>
      <c r="F51" s="1172"/>
      <c r="G51" s="1172"/>
      <c r="H51" s="1172"/>
      <c r="I51" s="1172"/>
      <c r="J51" s="1172"/>
      <c r="K51" s="1172"/>
      <c r="L51" s="1173"/>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4" t="s">
        <v>1214</v>
      </c>
      <c r="D53" s="1176" t="s">
        <v>1215</v>
      </c>
      <c r="E53" s="1177"/>
      <c r="F53" s="1177"/>
      <c r="G53" s="1177"/>
      <c r="H53" s="1177"/>
      <c r="I53" s="1177"/>
      <c r="J53" s="1177"/>
      <c r="K53" s="1177"/>
      <c r="L53" s="1178"/>
      <c r="M53" s="890"/>
      <c r="N53" s="889"/>
    </row>
    <row r="54" spans="1:14" ht="18" customHeight="1">
      <c r="A54" s="93"/>
      <c r="B54" s="335"/>
      <c r="C54" s="1183"/>
      <c r="D54" s="895"/>
      <c r="E54" s="1182" t="s">
        <v>1216</v>
      </c>
      <c r="F54" s="1182"/>
      <c r="G54" s="896" t="s">
        <v>1217</v>
      </c>
      <c r="H54" s="896"/>
      <c r="I54" s="1184" t="s">
        <v>1218</v>
      </c>
      <c r="J54" s="1184"/>
      <c r="K54" s="636"/>
      <c r="L54" s="642"/>
      <c r="M54" s="890"/>
      <c r="N54" s="889"/>
    </row>
    <row r="55" spans="1:14" ht="18.75" customHeight="1">
      <c r="A55" s="93"/>
      <c r="B55" s="335"/>
      <c r="C55" s="1183"/>
      <c r="D55" s="895"/>
      <c r="E55" s="1185">
        <v>100</v>
      </c>
      <c r="F55" s="1186"/>
      <c r="G55" s="897" t="s">
        <v>1016</v>
      </c>
      <c r="H55" s="31" t="s">
        <v>1017</v>
      </c>
      <c r="I55" s="898">
        <f>E55*INDEX(Sheet1!N2:P4,MATCH(G55,Sheet1!M2:M4,0),MATCH(J55,Sheet1!N1:P1,0))</f>
        <v>306.88832897372282</v>
      </c>
      <c r="J55" s="897" t="s">
        <v>1001</v>
      </c>
      <c r="K55" s="636"/>
      <c r="L55" s="642"/>
      <c r="M55" s="890"/>
      <c r="N55" s="889"/>
    </row>
    <row r="56" spans="1:14" ht="18" customHeight="1">
      <c r="A56" s="93"/>
      <c r="B56" s="335"/>
      <c r="C56" s="1183"/>
      <c r="D56" s="895"/>
      <c r="E56" s="504"/>
      <c r="F56" s="504"/>
      <c r="G56" s="999" t="str">
        <f>"(conversion factor = "&amp;ROUND(INDEX(Sheet1!N2:P4,MATCH(G55,Sheet1!M2:M4,0),MATCH(J55,Sheet1!N1:P1,0)),4)&amp;")"</f>
        <v>(conversion factor = 3.0689)</v>
      </c>
      <c r="H56" s="999"/>
      <c r="I56" s="999"/>
      <c r="J56" s="999"/>
      <c r="K56" s="636"/>
      <c r="L56" s="642"/>
      <c r="M56" s="890"/>
      <c r="N56" s="889"/>
    </row>
    <row r="57" spans="1:14" ht="3.75" customHeight="1" thickBot="1">
      <c r="A57" s="93"/>
      <c r="B57" s="335"/>
      <c r="C57" s="1175"/>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1219</v>
      </c>
      <c r="D59" s="1169" t="s">
        <v>1220</v>
      </c>
      <c r="E59" s="1172"/>
      <c r="F59" s="1172"/>
      <c r="G59" s="1172"/>
      <c r="H59" s="1172"/>
      <c r="I59" s="1172"/>
      <c r="J59" s="1172"/>
      <c r="K59" s="1172"/>
      <c r="L59" s="1173"/>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1221</v>
      </c>
      <c r="D61" s="1169" t="s">
        <v>1222</v>
      </c>
      <c r="E61" s="1172"/>
      <c r="F61" s="1172"/>
      <c r="G61" s="1172"/>
      <c r="H61" s="1172"/>
      <c r="I61" s="1172"/>
      <c r="J61" s="1172"/>
      <c r="K61" s="1172"/>
      <c r="L61" s="1173"/>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1223</v>
      </c>
      <c r="D63" s="1169" t="s">
        <v>1224</v>
      </c>
      <c r="E63" s="1172"/>
      <c r="F63" s="1172"/>
      <c r="G63" s="1172"/>
      <c r="H63" s="1172"/>
      <c r="I63" s="1172"/>
      <c r="J63" s="1172"/>
      <c r="K63" s="1172"/>
      <c r="L63" s="1173"/>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981</v>
      </c>
      <c r="D65" s="1169" t="s">
        <v>1225</v>
      </c>
      <c r="E65" s="1172"/>
      <c r="F65" s="1172"/>
      <c r="G65" s="1172"/>
      <c r="H65" s="1172"/>
      <c r="I65" s="1172"/>
      <c r="J65" s="1172"/>
      <c r="K65" s="1172"/>
      <c r="L65" s="1173"/>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1226</v>
      </c>
      <c r="D67" s="1169" t="s">
        <v>1227</v>
      </c>
      <c r="E67" s="1172"/>
      <c r="F67" s="1172"/>
      <c r="G67" s="1172"/>
      <c r="H67" s="1172"/>
      <c r="I67" s="1172"/>
      <c r="J67" s="1172"/>
      <c r="K67" s="1172"/>
      <c r="L67" s="1173"/>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1228</v>
      </c>
      <c r="D69" s="1169" t="s">
        <v>1229</v>
      </c>
      <c r="E69" s="1172"/>
      <c r="F69" s="1172"/>
      <c r="G69" s="1172"/>
      <c r="H69" s="1172"/>
      <c r="I69" s="1172"/>
      <c r="J69" s="1172"/>
      <c r="K69" s="1172"/>
      <c r="L69" s="1173"/>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1230</v>
      </c>
      <c r="D71" s="1169" t="s">
        <v>1231</v>
      </c>
      <c r="E71" s="1172"/>
      <c r="F71" s="1172"/>
      <c r="G71" s="1172"/>
      <c r="H71" s="1172"/>
      <c r="I71" s="1172"/>
      <c r="J71" s="1172"/>
      <c r="K71" s="1172"/>
      <c r="L71" s="1173"/>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58" t="s">
        <v>1232</v>
      </c>
      <c r="D73" s="1187" t="s">
        <v>1233</v>
      </c>
      <c r="E73" s="1188"/>
      <c r="F73" s="1188"/>
      <c r="G73" s="1188"/>
      <c r="H73" s="1188"/>
      <c r="I73" s="1188"/>
      <c r="J73" s="1188"/>
      <c r="K73" s="1188"/>
      <c r="L73" s="1189"/>
      <c r="M73" s="890"/>
      <c r="N73" s="889"/>
    </row>
    <row r="74" spans="1:14" ht="302.45" customHeight="1" thickBot="1">
      <c r="A74" s="93"/>
      <c r="B74" s="335"/>
      <c r="C74" s="1159"/>
      <c r="D74" s="1190"/>
      <c r="E74" s="1191"/>
      <c r="F74" s="1191"/>
      <c r="G74" s="1191"/>
      <c r="H74" s="1191"/>
      <c r="I74" s="1191"/>
      <c r="J74" s="1191"/>
      <c r="K74" s="1191"/>
      <c r="L74" s="1192"/>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1234</v>
      </c>
      <c r="D76" s="1166" t="s">
        <v>1235</v>
      </c>
      <c r="E76" s="1167"/>
      <c r="F76" s="1167"/>
      <c r="G76" s="1167"/>
      <c r="H76" s="1167"/>
      <c r="I76" s="1167"/>
      <c r="J76" s="1167"/>
      <c r="K76" s="1167"/>
      <c r="L76" s="1168"/>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4"/>
      <c r="B4" s="903"/>
      <c r="C4" s="1213" t="s">
        <v>1238</v>
      </c>
      <c r="D4" s="1214"/>
      <c r="E4" s="1214"/>
      <c r="F4" s="1214"/>
      <c r="G4" s="1214"/>
      <c r="H4" s="1214"/>
      <c r="I4" s="1214"/>
      <c r="J4" s="1214"/>
      <c r="K4" s="1214"/>
      <c r="L4" s="1214"/>
      <c r="M4" s="1214"/>
      <c r="N4" s="1214"/>
      <c r="O4" s="1214"/>
      <c r="P4" s="1214"/>
      <c r="Q4" s="1214"/>
      <c r="R4" s="1215"/>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6" t="s">
        <v>1239</v>
      </c>
      <c r="D6" s="1217"/>
      <c r="E6" s="1217"/>
      <c r="F6" s="1217"/>
      <c r="G6" s="1217"/>
      <c r="H6" s="1217"/>
      <c r="I6" s="1217"/>
      <c r="J6" s="1217"/>
      <c r="K6" s="1217"/>
      <c r="L6" s="1217"/>
      <c r="M6" s="1217"/>
      <c r="N6" s="1217"/>
      <c r="O6" s="1217"/>
      <c r="P6" s="1217"/>
      <c r="Q6" s="1217"/>
      <c r="R6" s="1218"/>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1240</v>
      </c>
      <c r="D8" s="738" t="s">
        <v>1241</v>
      </c>
      <c r="E8" s="358"/>
      <c r="F8" s="358" t="s">
        <v>1242</v>
      </c>
      <c r="G8" s="830"/>
      <c r="H8" s="738" t="s">
        <v>1243</v>
      </c>
      <c r="I8" s="830"/>
      <c r="J8" s="830"/>
      <c r="K8" s="830"/>
      <c r="L8" s="830"/>
      <c r="M8" s="830"/>
      <c r="N8" s="830"/>
      <c r="O8" s="830"/>
      <c r="P8" s="830"/>
      <c r="Q8" s="830"/>
      <c r="R8" s="842"/>
      <c r="S8" s="890"/>
      <c r="T8" s="824"/>
      <c r="U8" s="906"/>
      <c r="V8" s="906"/>
    </row>
    <row r="9" spans="1:22" s="41" customFormat="1" ht="15">
      <c r="A9" s="824"/>
      <c r="B9" s="903"/>
      <c r="C9" s="739"/>
      <c r="D9" s="193" t="s">
        <v>1244</v>
      </c>
      <c r="E9" s="193"/>
      <c r="F9" s="118"/>
      <c r="G9" s="118"/>
      <c r="H9" s="193" t="s">
        <v>1245</v>
      </c>
      <c r="I9" s="193"/>
      <c r="J9" s="118"/>
      <c r="K9" s="118"/>
      <c r="L9" s="118"/>
      <c r="M9" s="118"/>
      <c r="N9" s="118"/>
      <c r="O9" s="118"/>
      <c r="P9" s="118"/>
      <c r="Q9" s="118"/>
      <c r="R9" s="832"/>
      <c r="S9" s="890"/>
      <c r="T9" s="824"/>
      <c r="U9" s="906"/>
      <c r="V9" s="906"/>
    </row>
    <row r="10" spans="1:22" s="41" customFormat="1" ht="15">
      <c r="A10" s="824"/>
      <c r="B10" s="903"/>
      <c r="C10" s="739"/>
      <c r="D10" s="193" t="s">
        <v>1246</v>
      </c>
      <c r="E10" s="193"/>
      <c r="F10" s="118"/>
      <c r="G10" s="118"/>
      <c r="H10" s="193" t="s">
        <v>1247</v>
      </c>
      <c r="I10" s="193"/>
      <c r="J10" s="118"/>
      <c r="K10" s="118"/>
      <c r="L10" s="118"/>
      <c r="M10" s="118"/>
      <c r="N10" s="118"/>
      <c r="O10" s="118"/>
      <c r="P10" s="118"/>
      <c r="Q10" s="118"/>
      <c r="R10" s="832"/>
      <c r="S10" s="890"/>
      <c r="T10" s="824"/>
      <c r="U10" s="906"/>
      <c r="V10" s="906"/>
    </row>
    <row r="11" spans="1:22" s="41" customFormat="1" ht="15">
      <c r="A11" s="824"/>
      <c r="B11" s="903"/>
      <c r="C11" s="739"/>
      <c r="D11" s="193" t="s">
        <v>1248</v>
      </c>
      <c r="E11" s="193"/>
      <c r="F11" s="118"/>
      <c r="G11" s="118"/>
      <c r="H11" s="193" t="s">
        <v>1249</v>
      </c>
      <c r="I11" s="193"/>
      <c r="J11" s="118"/>
      <c r="K11" s="118"/>
      <c r="L11" s="118"/>
      <c r="M11" s="118"/>
      <c r="N11" s="118"/>
      <c r="O11" s="118"/>
      <c r="P11" s="118"/>
      <c r="Q11" s="118"/>
      <c r="R11" s="832"/>
      <c r="S11" s="890"/>
      <c r="T11" s="824"/>
      <c r="U11" s="906"/>
      <c r="V11" s="906"/>
    </row>
    <row r="12" spans="1:22" s="41" customFormat="1" ht="15">
      <c r="A12" s="824"/>
      <c r="B12" s="903"/>
      <c r="C12" s="739"/>
      <c r="D12" s="193" t="s">
        <v>1250</v>
      </c>
      <c r="E12" s="193"/>
      <c r="F12" s="118"/>
      <c r="G12" s="118"/>
      <c r="H12" s="193" t="s">
        <v>1245</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222" t="s">
        <v>1251</v>
      </c>
      <c r="E15" s="1222"/>
      <c r="F15" s="1222"/>
      <c r="G15" s="1222"/>
      <c r="H15" s="1222"/>
      <c r="I15" s="1222"/>
      <c r="J15" s="1222"/>
      <c r="K15" s="1222"/>
      <c r="L15" s="1222"/>
      <c r="M15" s="1222"/>
      <c r="N15" s="1222"/>
      <c r="O15" s="1222"/>
      <c r="P15" s="1222"/>
      <c r="Q15" s="1222"/>
      <c r="R15" s="832"/>
      <c r="S15" s="890"/>
      <c r="T15" s="824"/>
      <c r="U15" s="906"/>
      <c r="V15" s="906"/>
    </row>
    <row r="16" spans="1:22" s="41" customFormat="1" ht="12.75" hidden="1" customHeight="1">
      <c r="A16" s="824"/>
      <c r="B16" s="903"/>
      <c r="C16" s="359"/>
      <c r="D16" s="1222"/>
      <c r="E16" s="1222"/>
      <c r="F16" s="1222"/>
      <c r="G16" s="1222"/>
      <c r="H16" s="1222"/>
      <c r="I16" s="1222"/>
      <c r="J16" s="1222"/>
      <c r="K16" s="1222"/>
      <c r="L16" s="1222"/>
      <c r="M16" s="1222"/>
      <c r="N16" s="1222"/>
      <c r="O16" s="1222"/>
      <c r="P16" s="1222"/>
      <c r="Q16" s="1222"/>
      <c r="R16" s="832"/>
      <c r="S16" s="890"/>
      <c r="T16" s="824"/>
      <c r="U16" s="906"/>
      <c r="V16" s="906"/>
    </row>
    <row r="17" spans="1:22" s="41" customFormat="1" ht="23.45" customHeight="1" thickBot="1">
      <c r="A17" s="824"/>
      <c r="B17" s="903"/>
      <c r="C17" s="360"/>
      <c r="D17" s="1223"/>
      <c r="E17" s="1223"/>
      <c r="F17" s="1223"/>
      <c r="G17" s="1223"/>
      <c r="H17" s="1223"/>
      <c r="I17" s="1223"/>
      <c r="J17" s="1223"/>
      <c r="K17" s="1223"/>
      <c r="L17" s="1223"/>
      <c r="M17" s="1223"/>
      <c r="N17" s="1223"/>
      <c r="O17" s="1223"/>
      <c r="P17" s="1223"/>
      <c r="Q17" s="1223"/>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1252</v>
      </c>
      <c r="D19" s="1211"/>
      <c r="E19" s="1211"/>
      <c r="F19" s="1211"/>
      <c r="G19" s="1211"/>
      <c r="H19" s="1211"/>
      <c r="I19" s="1211"/>
      <c r="J19" s="1211"/>
      <c r="K19" s="1211"/>
      <c r="L19" s="1211"/>
      <c r="M19" s="1211"/>
      <c r="N19" s="1211"/>
      <c r="O19" s="1211"/>
      <c r="P19" s="1211"/>
      <c r="Q19" s="1211"/>
      <c r="R19" s="1212"/>
      <c r="S19" s="890"/>
      <c r="T19" s="824"/>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1"/>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1"/>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1"/>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1"/>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1"/>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1"/>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1"/>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1"/>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1"/>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1"/>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1264</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1265</v>
      </c>
      <c r="D33" s="362" t="s">
        <v>1266</v>
      </c>
      <c r="E33" s="362" t="s">
        <v>1267</v>
      </c>
      <c r="F33" s="1205" t="s">
        <v>1268</v>
      </c>
      <c r="G33" s="1206"/>
      <c r="H33" s="1206"/>
      <c r="I33" s="1206"/>
      <c r="J33" s="1206"/>
      <c r="K33" s="1206"/>
      <c r="L33" s="1206"/>
      <c r="M33" s="1206"/>
      <c r="N33" s="1206"/>
      <c r="O33" s="1206"/>
      <c r="P33" s="1206"/>
      <c r="Q33" s="1206"/>
      <c r="R33" s="1207"/>
      <c r="S33" s="890"/>
      <c r="T33" s="824"/>
      <c r="U33" s="906"/>
      <c r="V33" s="906"/>
    </row>
    <row r="34" spans="1:22" s="41" customFormat="1" ht="35.1" customHeight="1">
      <c r="A34" s="824"/>
      <c r="B34" s="903"/>
      <c r="C34" s="363" t="s">
        <v>1269</v>
      </c>
      <c r="D34" s="911" t="s">
        <v>1270</v>
      </c>
      <c r="E34" s="912">
        <v>5</v>
      </c>
      <c r="F34" s="1208" t="s">
        <v>1271</v>
      </c>
      <c r="G34" s="1209"/>
      <c r="H34" s="1209"/>
      <c r="I34" s="1209"/>
      <c r="J34" s="1209"/>
      <c r="K34" s="1209"/>
      <c r="L34" s="1209"/>
      <c r="M34" s="1209"/>
      <c r="N34" s="1209"/>
      <c r="O34" s="1209"/>
      <c r="P34" s="1209"/>
      <c r="Q34" s="1209"/>
      <c r="R34" s="1210"/>
      <c r="S34" s="890"/>
      <c r="T34" s="824"/>
      <c r="U34" s="906"/>
      <c r="V34" s="906"/>
    </row>
    <row r="35" spans="1:22" s="41" customFormat="1" ht="47.45" customHeight="1">
      <c r="A35" s="824"/>
      <c r="B35" s="903"/>
      <c r="C35" s="363" t="s">
        <v>1272</v>
      </c>
      <c r="D35" s="912">
        <v>2006</v>
      </c>
      <c r="E35" s="912">
        <v>5</v>
      </c>
      <c r="F35" s="1208" t="s">
        <v>1273</v>
      </c>
      <c r="G35" s="1209"/>
      <c r="H35" s="1209"/>
      <c r="I35" s="1209"/>
      <c r="J35" s="1209"/>
      <c r="K35" s="1209"/>
      <c r="L35" s="1209"/>
      <c r="M35" s="1209"/>
      <c r="N35" s="1209"/>
      <c r="O35" s="1209"/>
      <c r="P35" s="1209"/>
      <c r="Q35" s="1209"/>
      <c r="R35" s="1210"/>
      <c r="S35" s="890"/>
      <c r="T35" s="824"/>
      <c r="U35" s="906"/>
      <c r="V35" s="906"/>
    </row>
    <row r="36" spans="1:22" s="41" customFormat="1" ht="59.45" customHeight="1">
      <c r="A36" s="824"/>
      <c r="B36" s="903"/>
      <c r="C36" s="363" t="s">
        <v>1274</v>
      </c>
      <c r="D36" s="912">
        <v>2007</v>
      </c>
      <c r="E36" s="912">
        <v>7</v>
      </c>
      <c r="F36" s="1208" t="s">
        <v>1275</v>
      </c>
      <c r="G36" s="1209"/>
      <c r="H36" s="1209"/>
      <c r="I36" s="1209"/>
      <c r="J36" s="1209"/>
      <c r="K36" s="1209"/>
      <c r="L36" s="1209"/>
      <c r="M36" s="1209"/>
      <c r="N36" s="1209"/>
      <c r="O36" s="1209"/>
      <c r="P36" s="1209"/>
      <c r="Q36" s="1209"/>
      <c r="R36" s="1210"/>
      <c r="S36" s="890"/>
      <c r="T36" s="824"/>
      <c r="U36" s="906"/>
      <c r="V36" s="906"/>
    </row>
    <row r="37" spans="1:22" s="41" customFormat="1" ht="137.44999999999999" customHeight="1">
      <c r="A37" s="824"/>
      <c r="B37" s="903"/>
      <c r="C37" s="363" t="s">
        <v>1276</v>
      </c>
      <c r="D37" s="912">
        <v>2010</v>
      </c>
      <c r="E37" s="912">
        <v>10</v>
      </c>
      <c r="F37" s="1208" t="s">
        <v>1277</v>
      </c>
      <c r="G37" s="1209"/>
      <c r="H37" s="1209"/>
      <c r="I37" s="1209"/>
      <c r="J37" s="1209"/>
      <c r="K37" s="1209"/>
      <c r="L37" s="1209"/>
      <c r="M37" s="1209"/>
      <c r="N37" s="1209"/>
      <c r="O37" s="1209"/>
      <c r="P37" s="1209"/>
      <c r="Q37" s="1209"/>
      <c r="R37" s="1210"/>
      <c r="S37" s="890"/>
      <c r="T37" s="824"/>
      <c r="U37" s="906"/>
      <c r="V37" s="906"/>
    </row>
    <row r="38" spans="1:22" s="41" customFormat="1" ht="110.45" customHeight="1" thickBot="1">
      <c r="A38" s="824"/>
      <c r="B38" s="903"/>
      <c r="C38" s="364" t="s">
        <v>1278</v>
      </c>
      <c r="D38" s="365">
        <v>2014</v>
      </c>
      <c r="E38" s="365">
        <v>12</v>
      </c>
      <c r="F38" s="1202" t="s">
        <v>1279</v>
      </c>
      <c r="G38" s="1203"/>
      <c r="H38" s="1203"/>
      <c r="I38" s="1203"/>
      <c r="J38" s="1203"/>
      <c r="K38" s="1203"/>
      <c r="L38" s="1203"/>
      <c r="M38" s="1203"/>
      <c r="N38" s="1203"/>
      <c r="O38" s="1203"/>
      <c r="P38" s="1203"/>
      <c r="Q38" s="1203"/>
      <c r="R38" s="1204"/>
      <c r="S38" s="890"/>
      <c r="T38" s="824"/>
      <c r="U38" s="906"/>
      <c r="V38" s="906"/>
    </row>
    <row r="39" spans="1:22" s="41" customFormat="1" ht="180.6" customHeight="1" thickBot="1">
      <c r="A39" s="824"/>
      <c r="B39" s="903"/>
      <c r="C39" s="364" t="s">
        <v>1280</v>
      </c>
      <c r="D39" s="365">
        <v>2020</v>
      </c>
      <c r="E39" s="366">
        <v>11</v>
      </c>
      <c r="F39" s="1202" t="s">
        <v>1281</v>
      </c>
      <c r="G39" s="1203"/>
      <c r="H39" s="1203"/>
      <c r="I39" s="1203"/>
      <c r="J39" s="1203"/>
      <c r="K39" s="1203"/>
      <c r="L39" s="1203"/>
      <c r="M39" s="1203"/>
      <c r="N39" s="1203"/>
      <c r="O39" s="1203"/>
      <c r="P39" s="1203"/>
      <c r="Q39" s="1203"/>
      <c r="R39" s="1204"/>
      <c r="S39" s="890"/>
      <c r="T39" s="824"/>
      <c r="U39" s="906"/>
      <c r="V39" s="906"/>
    </row>
    <row r="40" spans="1:22" s="41" customFormat="1" ht="17.45" customHeight="1">
      <c r="A40" s="824"/>
      <c r="B40" s="903"/>
      <c r="C40" s="477"/>
      <c r="D40" s="477"/>
      <c r="E40" s="477"/>
      <c r="F40" s="477"/>
      <c r="G40" s="477"/>
      <c r="H40" s="477"/>
      <c r="I40" s="477"/>
      <c r="J40" s="477"/>
      <c r="K40" s="477"/>
      <c r="L40" s="477" t="s">
        <v>1282</v>
      </c>
      <c r="M40" s="196" t="s">
        <v>624</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EAB92597-8688-4B37-AD4E-94A134165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2024-05-22T14:45:55Z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