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B12A454A-C67A-46EA-A961-7607B370E2B1}"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<sst xmlns="http://schemas.openxmlformats.org/spreadsheetml/2006/main" count="2552" uniqueCount="1284">
  <si>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</si>
  <si>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</si>
  <si>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</si>
  <si>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</si>
  <si>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</si>
  <si>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</si>
  <si>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</si>
  <si>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</si>
  <si>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</si>
  <si>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</si>
  <si>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</si>
  <si>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</si>
  <si>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</si>
  <si>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</si>
  <si>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</si>
  <si>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</si>
  <si>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</si>
  <si>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</si>
  <si>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</si>
  <si>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</si>
  <si>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</si>
  <si>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</si>
  <si>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</si>
  <si>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</si>
  <si>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</si>
  <si>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</si>
  <si>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</si>
  <si>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</si>
  <si>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</si>
  <si>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</si>
  <si>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</si>
  <si>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</si>
  <si>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</si>
  <si>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</si>
  <si>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</si>
  <si>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</si>
  <si>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</si>
  <si>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</si>
  <si>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</si>
  <si>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</si>
  <si>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</si>
  <si>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</si>
  <si>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</si>
  <si>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</si>
  <si>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</si>
  <si>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</si>
  <si>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</si>
  <si>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</si>
  <si>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</si>
  <si>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</si>
  <si>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</si>
  <si>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</si>
  <si>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</si>
  <si>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</si>
  <si>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</si>
  <si>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</si>
  <si>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</si>
  <si>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</si>
  <si>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</si>
  <si>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</si>
  <si>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</si>
  <si>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</si>
  <si>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</si>
  <si>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</si>
  <si>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</si>
  <si>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</si>
  <si>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</si>
  <si>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</si>
  <si>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</si>
  <si>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</si>
  <si>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</si>
  <si>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</si>
  <si>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</si>
  <si>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</si>
  <si>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</si>
  <si>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</si>
  <si>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</si>
  <si>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</si>
  <si>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</si>
  <si>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</si>
  <si>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</si>
  <si>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</si>
  <si>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</si>
  <si>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</si>
  <si>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</si>
  <si>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</si>
  <si>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</si>
  <si>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</si>
  <si>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</si>
  <si>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</si>
  <si>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</si>
  <si>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</si>
  <si>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</si>
  <si>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</si>
  <si>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</si>
  <si>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</si>
  <si>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</si>
  <si>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</si>
  <si>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</si>
  <si>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</si>
  <si>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</si>
  <si>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</si>
  <si>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</si>
  <si>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</si>
  <si>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</si>
  <si>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</si>
  <si>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</si>
  <si>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</si>
  <si>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</si>
  <si>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</si>
  <si>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</si>
  <si>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</si>
  <si>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</si>
  <si>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</si>
  <si>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</si>
  <si>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</si>
  <si>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</si>
  <si>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</si>
  <si>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</si>
  <si>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</si>
  <si>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</si>
  <si>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</si>
  <si>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</si>
  <si>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</si>
  <si>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</si>
  <si>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</si>
  <si>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</si>
  <si>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</si>
  <si>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</si>
  <si>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</si>
  <si>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</si>
  <si>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</si>
  <si>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</si>
  <si>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</si>
  <si>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</si>
  <si>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</si>
  <si>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</si>
  <si>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</si>
  <si>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</si>
  <si>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</si>
  <si>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</si>
  <si>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</si>
  <si>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</si>
  <si>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</si>
  <si>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</si>
  <si>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</si>
  <si>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</si>
  <si>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</si>
  <si>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</si>
  <si>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</si>
  <si>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</si>
  <si>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</si>
  <si>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</si>
  <si>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</si>
  <si>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</si>
  <si>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</si>
  <si>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</si>
  <si>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</si>
  <si>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</si>
  <si>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</si>
  <si>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</si>
  <si>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</si>
  <si>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</si>
  <si>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</si>
  <si>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</si>
  <si>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</si>
  <si>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</si>
  <si>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</si>
  <si>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</si>
  <si>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</si>
  <si>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</si>
  <si>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</si>
  <si>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</si>
  <si>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</si>
  <si>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</si>
  <si>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</si>
  <si>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</si>
  <si>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</si>
  <si>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</si>
  <si>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</si>
  <si>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</si>
  <si>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</si>
  <si>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</si>
  <si>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</si>
  <si>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</si>
  <si>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</si>
  <si>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</si>
  <si>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</si>
  <si>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</si>
  <si>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</si>
  <si>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</si>
  <si>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</si>
  <si>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</si>
  <si>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</si>
  <si>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</si>
  <si>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</si>
  <si>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</si>
  <si>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</si>
  <si>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</si>
  <si>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</si>
  <si>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</si>
  <si>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</si>
  <si>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</si>
  <si>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</si>
  <si>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</si>
  <si>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</si>
  <si>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</si>
  <si>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</si>
  <si>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</si>
  <si>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</si>
  <si>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</si>
  <si>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</si>
  <si>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</si>
  <si>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</si>
  <si>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</si>
  <si>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</si>
  <si>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</si>
  <si>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</si>
  <si>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</si>
  <si>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</si>
  <si>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</si>
  <si>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</si>
  <si>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</si>
  <si>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</si>
  <si>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</si>
  <si>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</si>
  <si>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</si>
  <si>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</si>
  <si>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</si>
  <si>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</si>
  <si>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</si>
  <si>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</si>
  <si>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</si>
  <si>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</si>
  <si>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</si>
  <si>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</si>
  <si>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</si>
  <si>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</si>
  <si>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</si>
  <si>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</si>
  <si>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</si>
  <si>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</si>
  <si>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</si>
  <si>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</si>
  <si>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</si>
  <si>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</si>
  <si>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</si>
  <si>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</si>
  <si>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</si>
  <si>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</si>
  <si>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</si>
  <si>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</si>
  <si>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</si>
  <si>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</si>
  <si>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</si>
  <si>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</si>
  <si>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</si>
  <si>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</si>
  <si>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</si>
  <si>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</si>
  <si>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</si>
  <si>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</si>
  <si>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</si>
  <si>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</si>
  <si>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</si>
  <si>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</si>
  <si>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</si>
  <si>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</si>
  <si>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</si>
  <si>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</si>
  <si>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</si>
  <si>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</si>
  <si>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</si>
  <si>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</si>
  <si>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</si>
  <si>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</si>
  <si>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</si>
  <si>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</si>
  <si>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</si>
  <si>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</si>
  <si>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</si>
  <si>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</si>
  <si>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</si>
  <si>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</si>
  <si>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</si>
  <si>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</si>
  <si>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</si>
  <si>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</si>
  <si>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</si>
  <si>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</si>
  <si>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</si>
  <si>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</si>
  <si>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</si>
  <si>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</si>
  <si>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</si>
  <si>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</si>
  <si>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</si>
  <si>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</si>
  <si>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</si>
  <si>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</si>
  <si>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</si>
  <si>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</si>
  <si>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</si>
  <si>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</si>
  <si>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</si>
  <si>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</si>
  <si>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</si>
  <si>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</si>
  <si>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</si>
  <si>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</si>
  <si>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</si>
  <si>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</si>
  <si>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</si>
  <si>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</si>
  <si>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</si>
  <si>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</si>
  <si>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</si>
  <si>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</si>
  <si>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</si>
  <si>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</si>
  <si>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</si>
  <si>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</si>
  <si>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</si>
  <si>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</si>
  <si>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</si>
  <si>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</si>
  <si>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</si>
  <si>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</si>
  <si>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</si>
  <si>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</si>
  <si>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</si>
  <si>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</si>
  <si>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</si>
  <si>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</si>
  <si>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</si>
  <si>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</si>
  <si>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</si>
  <si>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</si>
  <si>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</si>
  <si>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</si>
  <si>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</si>
  <si>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</si>
  <si>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</si>
  <si>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</si>
  <si>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</si>
  <si>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</si>
  <si>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</si>
  <si>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</si>
  <si>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</si>
  <si>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</si>
  <si>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</si>
  <si>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</si>
  <si>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</si>
  <si>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</si>
  <si>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</si>
  <si>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</si>
  <si>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</si>
  <si>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</si>
  <si>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</si>
  <si>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</si>
  <si>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</si>
  <si>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</si>
  <si>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</si>
  <si>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</si>
  <si>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</si>
  <si>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</si>
  <si>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</si>
  <si>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</si>
  <si>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</si>
  <si>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</si>
  <si>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</si>
  <si>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</si>
  <si>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</si>
  <si>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</si>
  <si>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</si>
  <si>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</si>
  <si>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</si>
  <si>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</si>
  <si>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</si>
  <si>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</si>
  <si>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</si>
  <si>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</si>
  <si>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</si>
  <si>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</si>
  <si>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</si>
  <si>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</si>
  <si>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</si>
  <si>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</si>
  <si>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</si>
  <si>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</si>
  <si>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</si>
  <si>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</si>
  <si>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</si>
  <si>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</si>
  <si>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</si>
  <si>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</si>
  <si>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</si>
  <si>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</si>
  <si>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</si>
  <si>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</si>
  <si>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</si>
  <si>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</si>
  <si>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</si>
  <si>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</si>
  <si>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</si>
  <si>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</si>
  <si>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</si>
  <si>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</si>
  <si>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</si>
  <si>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</si>
  <si>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</si>
  <si>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</si>
  <si>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</si>
  <si>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</si>
  <si>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</si>
  <si>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</si>
  <si>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</si>
  <si>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</si>
  <si>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</si>
  <si>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</si>
  <si>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</si>
  <si>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</si>
  <si>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</si>
  <si>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</si>
  <si>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</si>
  <si>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</si>
  <si>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</si>
  <si>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</si>
  <si>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</si>
  <si>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</si>
  <si>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</si>
  <si>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</si>
  <si>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</si>
  <si>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</si>
  <si>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</si>
  <si>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</si>
  <si>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</si>
  <si>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</si>
  <si>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</si>
  <si>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</si>
  <si>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</si>
  <si>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</si>
  <si>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</si>
  <si>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</si>
  <si>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</si>
  <si>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</si>
  <si>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</si>
  <si>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</si>
  <si>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</si>
  <si>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</si>
  <si>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</si>
  <si>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</si>
  <si>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</si>
  <si>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</si>
  <si>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</si>
  <si>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</si>
  <si>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</si>
  <si>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</si>
  <si>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</si>
  <si>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</si>
  <si>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</si>
  <si>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</si>
  <si>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</si>
  <si>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</si>
  <si>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</si>
  <si>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</si>
  <si>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</si>
  <si>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</si>
  <si>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</si>
  <si>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</si>
  <si>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</si>
  <si>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</si>
  <si>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</si>
  <si>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</si>
  <si>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</si>
  <si>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</si>
  <si>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</si>
  <si>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</si>
  <si>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</si>
  <si>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</si>
  <si>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</si>
  <si>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</si>
  <si>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</si>
  <si>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</si>
  <si>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</si>
  <si>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</si>
  <si>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</si>
  <si>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</si>
  <si>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</si>
  <si>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</si>
  <si>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</si>
  <si>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</si>
  <si>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</si>
  <si>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</si>
  <si>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</si>
  <si>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</si>
  <si>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</si>
  <si>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</si>
  <si>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</si>
  <si>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</si>
  <si>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</si>
  <si>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</si>
  <si>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</si>
  <si>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</si>
  <si>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</si>
  <si>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</si>
  <si>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</si>
  <si>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</si>
  <si>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</si>
  <si>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</si>
  <si>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</si>
  <si>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</si>
  <si>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</si>
  <si>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</si>
  <si>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</si>
  <si>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</si>
  <si>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- 640 Royersford</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</si>
  <si>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</si>
  <si>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</si>
  <si>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</si>
  <si>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</si>
  <si>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</si>
  <si>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</si>
  <si>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</si>
  <si>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</si>
  <si>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</si>
  <si>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</si>
  <si>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</si>
  <si>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</si>
  <si>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</si>
  <si>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</si>
  <si>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</si>
  <si>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Royersford</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</si>
  <si>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</si>
  <si>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</si>
  <si>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</si>
  <si>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</si>
  <si>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</si>
  <si>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</si>
  <si>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</si>
  <si>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</si>
  <si>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</si>
  <si>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</si>
  <si>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</si>
  <si>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</si>
  <si>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</si>
  <si>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</si>
  <si>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</si>
  <si>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</si>
  <si>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</si>
  <si>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</si>
  <si>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</si>
  <si>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</si>
  <si>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</si>
  <si>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</si>
  <si>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</si>
  <si>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</si>
  <si>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</si>
  <si>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</si>
  <si>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</si>
  <si>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</si>
  <si>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</si>
  <si>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</si>
  <si>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</si>
  <si>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</si>
  <si>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</si>
  <si>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</si>
  <si>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</si>
  <si>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</si>
  <si>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</si>
  <si>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</si>
  <si>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</si>
  <si>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</si>
  <si>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</si>
  <si>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</si>
  <si>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</si>
  <si>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1150166, 1150206</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</si>
  <si>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</si>
  <si>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</si>
  <si>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</si>
  <si>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</si>
  <si>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</si>
  <si>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</si>
  <si>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</si>
  <si>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</si>
  <si>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</si>
  <si>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</si>
  <si>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</si>
  <si>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</si>
  <si>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</si>
  <si>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</si>
  <si>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</si>
  <si>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</si>
  <si>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</si>
  <si>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</si>
  <si>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</si>
  <si>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</si>
  <si>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</si>
  <si>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</si>
  <si>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</si>
  <si>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</si>
  <si>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</si>
  <si>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</si>
  <si>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</si>
  <si>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</si>
  <si>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</si>
  <si>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</si>
  <si>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</si>
  <si>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</si>
  <si>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</si>
  <si>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</si>
  <si>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</si>
  <si>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</si>
  <si>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</si>
  <si>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</si>
  <si>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</si>
  <si>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</si>
  <si>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</si>
  <si>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</si>
  <si>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</si>
  <si>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</si>
  <si>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</si>
  <si>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</si>
  <si>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</si>
  <si>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</si>
  <si>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</si>
  <si>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</si>
  <si>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</si>
  <si>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</si>
  <si>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</si>
  <si>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</si>
  <si>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</si>
  <si>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</si>
  <si>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</si>
  <si>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</si>
  <si>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</si>
  <si>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</si>
  <si>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</si>
  <si>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</si>
  <si>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</si>
  <si>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</si>
  <si>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</si>
  <si>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</si>
  <si>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</si>
  <si>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</si>
  <si>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</si>
  <si>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</si>
  <si>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</si>
  <si>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</si>
  <si>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</si>
  <si>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</si>
  <si>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</si>
  <si>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</si>
  <si>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</si>
  <si>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</si>
  <si>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</si>
  <si>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</si>
  <si>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</si>
  <si>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</si>
  <si>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</si>
  <si>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</si>
  <si>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</si>
  <si>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</si>
  <si>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</si>
  <si>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</si>
  <si>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</si>
  <si>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</si>
  <si>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</si>
  <si>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</si>
  <si>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</si>
  <si>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</si>
  <si>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</si>
  <si>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</si>
  <si>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</si>
  <si>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</si>
  <si>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</si>
  <si>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</si>
  <si>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</si>
  <si>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</si>
  <si>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</si>
  <si>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</si>
  <si>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</si>
  <si>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</si>
  <si>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</si>
  <si>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</si>
  <si>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</si>
  <si>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</si>
  <si>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</si>
  <si>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</si>
  <si>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</si>
  <si>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</si>
  <si>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</si>
  <si>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</si>
  <si>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</si>
  <si>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</si>
  <si>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</si>
  <si>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</si>
  <si>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</si>
  <si>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</si>
  <si>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</si>
  <si>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</si>
  <si>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</si>
  <si>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</si>
  <si>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</si>
  <si>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</si>
  <si>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</si>
  <si>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</si>
  <si>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</si>
  <si>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</si>
  <si>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</si>
  <si>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</si>
  <si>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</si>
  <si>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</si>
  <si>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</si>
  <si>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</si>
  <si>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</si>
  <si>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</si>
  <si>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</si>
  <si>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</si>
  <si>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</si>
  <si>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</si>
  <si>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</si>
  <si>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</si>
  <si>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</si>
  <si>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</si>
  <si>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</si>
  <si>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</si>
  <si>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under-registration</t>
  </si>
  <si>
    <t>Water Exported:</t>
  </si>
  <si>
    <t>select…..</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</si>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</sst>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25.907206189045105</c:v>
                </c:pt>
                <c:pt idx="1">
                  <c:v>2.0024160337996988</c:v>
                </c:pt>
                <c:pt idx="2">
                  <c:v>222.39238200211753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5.3646192853040979</c:v>
                </c:pt>
                <c:pt idx="1">
                  <c:v>0.26113598867139654</c:v>
                </c:pt>
                <c:pt idx="2">
                  <c:v>27.016243309949076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31.065814691331688</c:v>
                </c:pt>
                <c:pt idx="1">
                  <c:v>0.92482240795754933</c:v>
                </c:pt>
                <c:pt idx="2">
                  <c:v>83.612163895404422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3.9656406074446475</c:v>
                </c:pt>
                <c:pt idx="1">
                  <c:v>0.56875750335916142</c:v>
                </c:pt>
                <c:pt idx="2">
                  <c:v>66.560289809091373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87</c:v>
                </c:pt>
                <c:pt idx="1">
                  <c:v>1.2666666666666666</c:v>
                </c:pt>
                <c:pt idx="2" formatCode="General">
                  <c:v>111.73333333333333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214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3.9860000000000002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34.601999999999997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3.5674375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29.203285714285727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3.5674375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139.14870463226336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$596,928/Yr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2108.1555400000002</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18300.651779999997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49480.358124999992</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403964.31439877569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49480.358124999992</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73594.358392957773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17.965808526427509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1.101824606744807</c:v>
                </c:pt>
                <c:pt idx="1">
                  <c:v>9.0856271993300333E-2</c:v>
                </c:pt>
                <c:pt idx="2">
                  <c:v>10.164353120424435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20.542586903741007</c:v>
                </c:pt>
                <c:pt idx="1">
                  <c:v>1.8469276802355887</c:v>
                </c:pt>
                <c:pt idx="2">
                  <c:v>208.476445445472</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1288.8077341434266</c:v>
                </c:pt>
                <c:pt idx="1">
                  <c:v>97.186039594358903</c:v>
                </c:pt>
                <c:pt idx="2" formatCode="_(* #,##0_);_(* \(#,##0\);_(* &quot;-&quot;??_);_(@_)">
                  <c:v>10762.261175557076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EA"/><Relationship Id="rId18" Type="http://schemas.openxmlformats.org/officeDocument/2006/relationships/image" Target="../media/image9.emf"/><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image" Target="../media/image8.emf"/><Relationship Id="rId17" Type="http://schemas.openxmlformats.org/officeDocument/2006/relationships/hyperlink" Target="#'Interactive Data Grading'!VOSEA"/><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59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60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60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60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603"/>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604"/>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605"/>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606"/>
                  </a:ext>
                </a:extLst>
              </xdr:cNvPicPr>
            </xdr:nvPicPr>
            <xdr:blipFill rotWithShape="1">
              <a:blip xmlns:r="http://schemas.openxmlformats.org/officeDocument/2006/relationships" r:embed="rId12"/>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607"/>
                  </a:ext>
                </a:extLst>
              </xdr:cNvPicPr>
            </xdr:nvPicPr>
            <xdr:blipFill rotWithShape="1">
              <a:blip xmlns:r="http://schemas.openxmlformats.org/officeDocument/2006/relationships" r:embed="rId6"/>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608"/>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609"/>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610"/>
                  </a:ext>
                </a:extLst>
              </xdr:cNvPicPr>
            </xdr:nvPicPr>
            <xdr:blipFill rotWithShape="1">
              <a:blip xmlns:r="http://schemas.openxmlformats.org/officeDocument/2006/relationships" r:embed="rId1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611"/>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612"/>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613"/>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614"/>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615"/>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616"/>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617"/>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I28" sqref="AI28:AL28"/>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45352</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68776</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H76" sqref="H76"/>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- 640 Royersford</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10</v>
      </c>
      <c r="G15" s="79"/>
      <c r="H15" s="424">
        <v>1603.85</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3.7000000000000002E-3</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5.9342449999999998</v>
      </c>
      <c r="Y15" s="84">
        <f>$Y$19/$Y$18*H15</f>
        <v>33.961550439873072</v>
      </c>
      <c r="Z15" s="114">
        <f>$Y$19/$Y$18*ABS(X15)</f>
        <v>0.12565773662753038</v>
      </c>
      <c r="AA15" s="754">
        <f>IF(W15=1,input_VOS-input_VOS/(1+O15*AB15),Q15*AB15)</f>
        <v>5.9123692338348519</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1597.9376307661651</v>
      </c>
    </row>
    <row r="16" spans="1:33">
      <c r="A16" s="827"/>
      <c r="B16" s="448" t="s">
        <v>524</v>
      </c>
      <c r="C16" s="803" t="s">
        <v>726</v>
      </c>
      <c r="D16" s="700" t="s">
        <v>723</v>
      </c>
      <c r="E16" s="463" t="s">
        <v>724</v>
      </c>
      <c r="F16" s="390">
        <f>'Interactive Data Grading'!D74</f>
        <v>9</v>
      </c>
      <c r="G16" s="79"/>
      <c r="H16" s="423">
        <v>42.637999999999998</v>
      </c>
      <c r="I16" s="468"/>
      <c r="J16" s="805" t="str">
        <f>IF('Start Page'!$AB$22="million gallons (US)","MG/Yr",IF('Start Page'!$AB$22="Megalitres (thousand cubic metres)","ML/Yr",IF('Start Page'!$AB$22="acre-feet","Acre-ft/Yr","")))</f>
        <v>MG/Yr</v>
      </c>
      <c r="K16" s="703" t="s">
        <v>723</v>
      </c>
      <c r="L16" s="491" t="s">
        <v>724</v>
      </c>
      <c r="M16" s="390">
        <f>'Interactive Data Grading'!D96</f>
        <v>9</v>
      </c>
      <c r="N16" s="805"/>
      <c r="O16" s="386">
        <v>1.0999999999999999E-2</v>
      </c>
      <c r="P16" s="466" t="s">
        <v>602</v>
      </c>
      <c r="Q16" s="992"/>
      <c r="R16" s="1022"/>
      <c r="S16" s="389" t="str">
        <f>IF('Start Page'!$AB$22="million gallons (US)","MG/Yr",IF('Start Page'!$AB$22="Megalitres (thousand cubic metres)","ML/Yr",IF('Start Page'!$AB$22="acre-feet","acre-ft/yr","")))</f>
        <v>MG/Yr</v>
      </c>
      <c r="T16" s="807" t="s">
        <v>727</v>
      </c>
      <c r="U16" s="445" t="s">
        <v>529</v>
      </c>
      <c r="V16" s="827"/>
      <c r="W16" s="383">
        <f t="shared" ref="W16:W17" si="0">IF(P16="percent",1,2)</f>
        <v>1</v>
      </c>
      <c r="X16" s="836">
        <f>IF(H16&gt;0,IF(W16=1,O16*H16,Q16),0)</f>
        <v>0.46901799999999993</v>
      </c>
      <c r="Y16" s="84">
        <f>$Y$19/$Y$18*H16</f>
        <v>0.90286035954441379</v>
      </c>
      <c r="Z16" s="114">
        <f>$Y$19/$Y$18*ABS(X16)</f>
        <v>9.9314639549885515E-3</v>
      </c>
      <c r="AA16" s="754">
        <f>IF(W16=1,input_WI-input_WI/(1+O16*AB16),Q16*AB16)</f>
        <v>-0.47423458038422694</v>
      </c>
      <c r="AB16" s="837">
        <f t="shared" ref="AB16:AB17" si="1">IF(OR(T16="",T16="Select….."),0,IF(T16="Under-registration",-1,1))</f>
        <v>-1</v>
      </c>
      <c r="AC16" s="206" t="str">
        <f t="shared" ref="AC16:AC17" si="2">IF(OR(H16&lt;=0,AND(H16&gt;0,OR(AND(W16=1,O16=0),AND(W16=2,Q16=0)))),"no","yes")</f>
        <v>yes</v>
      </c>
      <c r="AD16" s="206" t="str">
        <f>IF(OR(T16="select…..",T16=""),"no","yes")</f>
        <v>yes</v>
      </c>
      <c r="AE16" s="206" t="str">
        <f t="shared" ref="AE16:AE17" si="3">IF(AND(AC16="yes",AD16="no"),"yes","no")</f>
        <v>no</v>
      </c>
      <c r="AF16" s="205">
        <f t="shared" ref="AF16:AF17" si="4">IF(AE16="yes",1,0)</f>
        <v>0</v>
      </c>
      <c r="AG16" s="754">
        <f>input_WI-AA16</f>
        <v>43.112234580384225</v>
      </c>
    </row>
    <row r="17" spans="1:33" ht="13.35" customHeight="1">
      <c r="A17" s="827"/>
      <c r="B17" s="448" t="s">
        <v>533</v>
      </c>
      <c r="C17" s="803" t="s">
        <v>728</v>
      </c>
      <c r="D17" s="700" t="s">
        <v>723</v>
      </c>
      <c r="E17" s="463" t="s">
        <v>724</v>
      </c>
      <c r="F17" s="390" t="str">
        <f>'Interactive Data Grading'!D127</f>
        <v/>
      </c>
      <c r="G17" s="79"/>
      <c r="H17" s="254">
        <v>0</v>
      </c>
      <c r="I17" s="468"/>
      <c r="J17" s="805" t="str">
        <f>IF('Start Page'!$AB$22="million gallons (US)","MG/Yr",IF('Start Page'!$AB$22="Megalitres (thousand cubic metres)","ML/Yr",IF('Start Page'!$AB$22="acre-feet","Acre-ft/Yr","")))</f>
        <v>MG/Yr</v>
      </c>
      <c r="K17" s="703" t="s">
        <v>723</v>
      </c>
      <c r="L17" s="491" t="s">
        <v>724</v>
      </c>
      <c r="M17" s="390" t="str">
        <f>'Interactive Data Grading'!D150</f>
        <v/>
      </c>
      <c r="N17" s="805"/>
      <c r="O17" s="386"/>
      <c r="P17" s="466" t="s">
        <v>602</v>
      </c>
      <c r="Q17" s="992"/>
      <c r="R17" s="1022"/>
      <c r="S17" s="389" t="str">
        <f>IF('Start Page'!$AB$22="million gallons (US)","MG/Yr",IF('Start Page'!$AB$22="Megalitres (thousand cubic metres)","ML/Yr",IF('Start Page'!$AB$22="acre-feet","acre-ft/yr","")))</f>
        <v>MG/Yr</v>
      </c>
      <c r="T17" s="807" t="s">
        <v>729</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730</v>
      </c>
      <c r="U18" s="444"/>
      <c r="V18" s="827"/>
      <c r="W18" s="383"/>
      <c r="X18" s="385"/>
      <c r="Y18" s="84">
        <f>H15+H16+H17+IF(H15&gt;0,ABS(X15),0)+IF(H16&gt;0,ABS(X16),0)+IF(H17&gt;0,(ABS(X17)),)</f>
        <v>1652.8912629999998</v>
      </c>
      <c r="Z18" s="115"/>
      <c r="AA18" s="118"/>
      <c r="AB18" s="206"/>
      <c r="AC18" s="206"/>
      <c r="AD18" s="206"/>
      <c r="AE18" s="206"/>
      <c r="AF18" s="205">
        <f>SUM(AF15:AF17)</f>
        <v>0</v>
      </c>
      <c r="AG18" s="118" t="s">
        <v>731</v>
      </c>
    </row>
    <row r="19" spans="1:33" ht="13.5" thickBot="1">
      <c r="A19" s="827"/>
      <c r="B19" s="447"/>
      <c r="C19" s="995" t="s">
        <v>732</v>
      </c>
      <c r="D19" s="995"/>
      <c r="E19" s="995"/>
      <c r="F19" s="995"/>
      <c r="G19" s="205"/>
      <c r="H19" s="727">
        <f>IF(AF18&gt;0,"Select under/over",IF(H15&gt;0,IF(W15=1,H15/(1+O15*AB15),H15-Q15*AB15),0)+IF(H16&gt;0,IF(W16=1,H16/(1+O16*AB16),H16-Q16*AB16),0)-IF(H17&gt;0,IF(W17=1,H17/(1+O17*AB17),H17-Q17*AB17),0))</f>
        <v>1641.0498653465493</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736</v>
      </c>
      <c r="D23" s="700" t="s">
        <v>723</v>
      </c>
      <c r="E23" s="463" t="s">
        <v>724</v>
      </c>
      <c r="F23" s="390">
        <f>'Interactive Data Grading'!D177</f>
        <v>9</v>
      </c>
      <c r="G23" s="79"/>
      <c r="H23" s="254">
        <v>1426.9749999999999</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13.961002431233274</v>
      </c>
      <c r="Z23" s="845"/>
      <c r="AA23" s="118" t="s">
        <v>737</v>
      </c>
      <c r="AB23" s="206"/>
      <c r="AC23" s="206"/>
      <c r="AD23" s="206"/>
      <c r="AE23" s="206"/>
      <c r="AF23" s="118"/>
      <c r="AG23" s="118"/>
    </row>
    <row r="24" spans="1:33">
      <c r="A24" s="827"/>
      <c r="B24" s="448" t="s">
        <v>544</v>
      </c>
      <c r="C24" s="803" t="s">
        <v>738</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3.8997568766723903E-2</v>
      </c>
      <c r="Z24" s="835"/>
      <c r="AA24" s="118"/>
      <c r="AB24" s="206"/>
      <c r="AC24" s="206"/>
      <c r="AD24" s="206"/>
      <c r="AE24" s="206"/>
      <c r="AF24" s="118"/>
      <c r="AG24" s="118"/>
    </row>
    <row r="25" spans="1:33" ht="13.35" customHeight="1">
      <c r="A25" s="827"/>
      <c r="B25" s="448" t="s">
        <v>546</v>
      </c>
      <c r="C25" s="803" t="s">
        <v>739</v>
      </c>
      <c r="D25" s="700" t="s">
        <v>723</v>
      </c>
      <c r="E25" s="463" t="s">
        <v>724</v>
      </c>
      <c r="F25" s="390">
        <f>'Interactive Data Grading'!D224</f>
        <v>10</v>
      </c>
      <c r="G25" s="79"/>
      <c r="H25" s="395">
        <v>3.9860000000000002</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1430.961</v>
      </c>
      <c r="Z25" s="835"/>
      <c r="AA25" s="118"/>
      <c r="AB25" s="206"/>
      <c r="AC25" s="206"/>
      <c r="AD25" s="206"/>
      <c r="AE25" s="206"/>
      <c r="AF25" s="439" t="s">
        <v>740</v>
      </c>
      <c r="AG25" s="118"/>
    </row>
    <row r="26" spans="1:33" ht="15" customHeight="1" thickBot="1">
      <c r="A26" s="827"/>
      <c r="B26" s="448" t="s">
        <v>550</v>
      </c>
      <c r="C26" s="803" t="s">
        <v>741</v>
      </c>
      <c r="D26" s="700" t="s">
        <v>723</v>
      </c>
      <c r="E26" s="463" t="s">
        <v>724</v>
      </c>
      <c r="F26" s="390">
        <f>'Interactive Data Grading'!D247</f>
        <v>10</v>
      </c>
      <c r="G26" s="79"/>
      <c r="H26" s="727">
        <f>IF(OR(W26=1,AND(W26=2,Q26=0)),O26*SUM(H23:H24),Q26)</f>
        <v>34.601999999999997</v>
      </c>
      <c r="I26" s="468"/>
      <c r="J26" s="805" t="str">
        <f>IF('Start Page'!$AB$22="million gallons (US)","MG/Yr",IF('Start Page'!$AB$22="Megalitres (thousand cubic metres)","ML/Yr",IF('Start Page'!$AB$22="acre-feet","Acre-ft/Yr","")))</f>
        <v>MG/Yr</v>
      </c>
      <c r="K26" s="805"/>
      <c r="L26" s="805"/>
      <c r="M26" s="805"/>
      <c r="N26" s="805"/>
      <c r="O26" s="391">
        <v>2.5000000000000001E-3</v>
      </c>
      <c r="P26" s="524" t="s">
        <v>614</v>
      </c>
      <c r="Q26" s="992">
        <v>34.601999999999997</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743</v>
      </c>
      <c r="D30" s="989"/>
      <c r="E30" s="989"/>
      <c r="F30" s="989"/>
      <c r="G30" s="205"/>
      <c r="H30" s="727">
        <f>SUM(H23:H26)</f>
        <v>1465.5630000000001</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175.48686534654917</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746</v>
      </c>
      <c r="D39" s="700" t="s">
        <v>723</v>
      </c>
      <c r="E39" s="463" t="s">
        <v>724</v>
      </c>
      <c r="F39" s="390">
        <f>'Interactive Data Grading'!D271</f>
        <v>3</v>
      </c>
      <c r="G39" s="152"/>
      <c r="H39" s="847">
        <f>IF(OR(W39=1,AND(W39=2,Q39=0)),O39*SUM(H23:H24),Q39)</f>
        <v>3.5674375</v>
      </c>
      <c r="I39" s="728"/>
      <c r="J39" s="805" t="str">
        <f>IF('Start Page'!$AB$22="million gallons (US)","MG/Yr",IF('Start Page'!$AB$22="Megalitres (thousand cubic metres)","ML/Yr",IF('Start Page'!$AB$22="acre-feet","Acre-ft/Yr","")))</f>
        <v>MG/Yr</v>
      </c>
      <c r="K39" s="805"/>
      <c r="L39" s="805"/>
      <c r="M39" s="805"/>
      <c r="N39" s="805"/>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747</v>
      </c>
      <c r="D41" s="700" t="s">
        <v>723</v>
      </c>
      <c r="E41" s="463" t="s">
        <v>724</v>
      </c>
      <c r="F41" s="390">
        <f>'Interactive Data Grading'!D300</f>
        <v>4</v>
      </c>
      <c r="G41" s="152"/>
      <c r="H41" s="848">
        <f>IF(OR(T41="Select…..",T41=""),"Select under/over",IF(W41=1,((H23+H25)/(1-(O41*X41)))-(H23+H25),Q41*X41))</f>
        <v>29.203285714285812</v>
      </c>
      <c r="I41" s="728"/>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2" t="s">
        <v>727</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723</v>
      </c>
      <c r="E43" s="463" t="s">
        <v>724</v>
      </c>
      <c r="F43" s="390">
        <f>'Interactive Data Grading'!D322</f>
        <v>3</v>
      </c>
      <c r="G43" s="152"/>
      <c r="H43" s="727">
        <f>IF(OR(W43=1,AND(W43=2,Q43=0)),O43*SUM(H23:H24),Q43)</f>
        <v>3.5674375</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36.338160714285806</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29.121938775510216</v>
      </c>
      <c r="Y50" s="854">
        <f>IFERROR(IF(W41=1,((H25)/(1-(O41*X41)))-(H25),Q41*H25/(H23+H25)),0)</f>
        <v>8.1346938775510136E-2</v>
      </c>
      <c r="Z50" s="855">
        <f>SUM(X50:Y50)</f>
        <v>29.203285714285727</v>
      </c>
      <c r="AA50" s="990"/>
      <c r="AB50" s="990"/>
      <c r="AC50" s="990"/>
    </row>
    <row r="51" spans="1:29">
      <c r="A51" s="827"/>
      <c r="B51" s="448"/>
      <c r="C51" s="996" t="s">
        <v>754</v>
      </c>
      <c r="D51" s="996"/>
      <c r="E51" s="996"/>
      <c r="F51" s="996"/>
      <c r="G51" s="728"/>
      <c r="H51" s="727">
        <f>IFERROR(H35-H46,"")</f>
        <v>139.14870463226336</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403921.29081632668</v>
      </c>
      <c r="Y51" s="856">
        <f>Y50*input_VPC</f>
        <v>43.023582448979553</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175.48686534654917</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214.07486534654916</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723</v>
      </c>
      <c r="E61" s="463" t="s">
        <v>724</v>
      </c>
      <c r="F61" s="390">
        <f>'Interactive Data Grading'!D350</f>
        <v>10</v>
      </c>
      <c r="G61" s="47"/>
      <c r="H61" s="256">
        <v>295.8</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3" t="s">
        <v>761</v>
      </c>
      <c r="D62" s="700" t="s">
        <v>723</v>
      </c>
      <c r="E62" s="463" t="s">
        <v>724</v>
      </c>
      <c r="F62" s="390">
        <f>'Interactive Data Grading'!D374</f>
        <v>10</v>
      </c>
      <c r="G62" s="47"/>
      <c r="H62" s="396">
        <v>18558</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62.738336713995942</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3" t="s">
        <v>766</v>
      </c>
      <c r="D66" s="700" t="s">
        <v>723</v>
      </c>
      <c r="E66" s="463" t="s">
        <v>724</v>
      </c>
      <c r="F66" s="390">
        <f>'Interactive Data Grading'!D398</f>
        <v>10</v>
      </c>
      <c r="G66" s="47"/>
      <c r="H66" s="256">
        <v>20.399999999999999</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20.399999999999999</v>
      </c>
      <c r="X67" s="171" t="s">
        <v>769</v>
      </c>
      <c r="Y67" s="171"/>
      <c r="Z67" s="171"/>
    </row>
    <row r="68" spans="1:26">
      <c r="A68" s="827"/>
      <c r="B68" s="448" t="s">
        <v>577</v>
      </c>
      <c r="C68" s="803" t="s">
        <v>770</v>
      </c>
      <c r="D68" s="700" t="s">
        <v>723</v>
      </c>
      <c r="E68" s="463" t="s">
        <v>724</v>
      </c>
      <c r="F68" s="390">
        <f>'Interactive Data Grading'!D422</f>
        <v>8</v>
      </c>
      <c r="G68" s="47"/>
      <c r="H68" s="256">
        <v>70.3</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774</v>
      </c>
      <c r="D76" s="700" t="s">
        <v>723</v>
      </c>
      <c r="E76" s="425" t="s">
        <v>724</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583</v>
      </c>
      <c r="C77" s="803" t="s">
        <v>777</v>
      </c>
      <c r="D77" s="700" t="s">
        <v>723</v>
      </c>
      <c r="E77" s="463" t="s">
        <v>724</v>
      </c>
      <c r="F77" s="390">
        <f>'Interactive Data Grading'!D469</f>
        <v>10</v>
      </c>
      <c r="G77" s="118"/>
      <c r="H77" s="864">
        <v>528.89</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6943947</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Unauthorized Consumption (UC)</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14" activePane="bottomLeft" state="frozen"/>
      <selection activeCell="B15" sqref="B15:F17"/>
      <selection pane="bottomLeft" activeCell="D420" sqref="D420"/>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- 640 Royersford</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62</v>
      </c>
      <c r="E62" s="628"/>
      <c r="F62" s="258"/>
      <c r="I62" s="676"/>
      <c r="J62" s="669" t="s">
        <v>804</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t="s">
        <v>65</v>
      </c>
      <c r="E65" s="628" t="str">
        <f>IFERROR(IF(OR($D$74=10,NOT(ISNUMBER($D$74))),"",IF(I65=$I$74,"Limiting","")),"")</f>
        <v/>
      </c>
      <c r="F65" s="258"/>
      <c r="G65" s="669">
        <f>IFERROR(IF(H63&lt;7,1,IF(LEN(D65)&gt;0,1,0)),"")</f>
        <v>1</v>
      </c>
      <c r="H65" s="677">
        <f>VLOOKUP('Interactive Data Grading'!D65,WI!$D$6:$M$16,10,FALSE)</f>
        <v>10</v>
      </c>
      <c r="I65" s="678">
        <f>IF(AND(H65&gt;=7,H68&gt;=7),MAX(H65,9),IF(AND(H65&gt;3,H65&lt;7,H68&gt;3,H68&lt;7),MAX(H65,H68),IF(H68&gt;=7,MAX(7,H65),H65)))</f>
        <v>10</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f>IFERROR(IF(H63&lt;7,1,IF(OR(D65=WI!D23,D65=WI!D27),1,IF(LEN(D66)&gt;0,1,0))),"")</f>
        <v>1</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f>IFERROR(IF(H63&lt;7,1,IF(OR(D65=WI!D23,D65=WI!D27),1,IF(LEN(D67)&gt;0,1,0))),"")</f>
        <v>1</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t="s">
        <v>52</v>
      </c>
      <c r="E68" s="628" t="str">
        <f t="shared" si="5"/>
        <v>Limiting</v>
      </c>
      <c r="F68" s="258"/>
      <c r="G68" s="669">
        <f>IFERROR(IF(H63&lt;7,1,IF(LEN(D68)&gt;0,1,0)),"")</f>
        <v>1</v>
      </c>
      <c r="H68" s="677">
        <f>VLOOKUP('Interactive Data Grading'!D68,WI!$G$6:$M$16,7,FALSE)</f>
        <v>7</v>
      </c>
      <c r="I68" s="678">
        <f>IF(AND(H65&gt;=7,H68&gt;=7),MAX(H68,9),IF(AND(H65&gt;3,H65&lt;7,H68&gt;3,H68&lt;7),MAX(H65,H68),IF(H65&gt;=7,MAX(7,H68),H68)))</f>
        <v>9</v>
      </c>
    </row>
    <row r="69" spans="1:18" ht="20.45" customHeight="1">
      <c r="A69" s="163"/>
      <c r="B69" s="441" t="s">
        <v>102</v>
      </c>
      <c r="C69" s="743" t="str">
        <f>WI!B40</f>
        <v>Is the most recent in-situ flow accuracy testing documentation available?</v>
      </c>
      <c r="D69" s="264" t="s">
        <v>62</v>
      </c>
      <c r="E69" s="628" t="str">
        <f t="shared" si="5"/>
        <v/>
      </c>
      <c r="F69" s="258"/>
      <c r="G69" s="669">
        <f>IFERROR(IF(H63&lt;7,1,IF(D68=WI!G23,1,IF(LEN(D69)&gt;0,1,0))),"")</f>
        <v>1</v>
      </c>
      <c r="H69" s="677">
        <f>VLOOKUP('Interactive Data Grading'!D69,WI!$H$6:$M$16,6,FALSE)</f>
        <v>10</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t="s">
        <v>63</v>
      </c>
      <c r="E70" s="628" t="str">
        <f t="shared" si="5"/>
        <v/>
      </c>
      <c r="F70" s="258"/>
      <c r="G70" s="669">
        <f>IFERROR(IF(H63&lt;7,1,IF(OR(D68=WI!G23,D69=WI!H23),1,IF(LEN(D70)&gt;0,1,0))),"")</f>
        <v>1</v>
      </c>
      <c r="H70" s="677">
        <f>VLOOKUP('Interactive Data Grading'!D70,WI!$I$6:$M$16,5,FALSE)</f>
        <v>10</v>
      </c>
      <c r="I70" s="678">
        <f>IF(OR(D68=WI!G23,D69=WI!H23),X,H70)</f>
        <v>10</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t="s">
        <v>62</v>
      </c>
      <c r="E71" s="628" t="str">
        <f t="shared" si="5"/>
        <v/>
      </c>
      <c r="F71" s="258"/>
      <c r="G71" s="669">
        <f>IFERROR(IF(H63&lt;7,1,IF(AND(OR(D65=WI!D23,D65=WI!D27),D68=WI!G23),1,IF(LEN(D71)&gt;0,1,0))),"")</f>
        <v>1</v>
      </c>
      <c r="H71" s="677">
        <f>VLOOKUP('Interactive Data Grading'!D71,WI!$J$6:$M$16,4,FALSE)</f>
        <v>10</v>
      </c>
      <c r="I71" s="678">
        <f>IF(OR(D68=WI!G23,D69=WI!H23),X,H71)</f>
        <v>10</v>
      </c>
      <c r="J71" s="679" t="s">
        <v>818</v>
      </c>
    </row>
    <row r="72" spans="1:18" ht="25.5" customHeight="1">
      <c r="A72" s="163"/>
      <c r="B72" s="441" t="s">
        <v>105</v>
      </c>
      <c r="C72" s="743" t="str">
        <f>WI!B43</f>
        <v>Which best describes the frequency of meter readings (data collection frequency as opposed to billing frequency)?</v>
      </c>
      <c r="D72" s="264" t="s">
        <v>64</v>
      </c>
      <c r="E72" s="628" t="str">
        <f t="shared" si="5"/>
        <v/>
      </c>
      <c r="F72" s="258"/>
      <c r="G72" s="669">
        <f>IFERROR(IF(H63&lt;7,1,IF(LEN(D72)&gt;0,1,0)),"")</f>
        <v>1</v>
      </c>
      <c r="H72" s="677">
        <f>VLOOKUP('Interactive Data Grading'!D72,WI!$K$6:$M$16,3,FALSE)</f>
        <v>10</v>
      </c>
      <c r="I72" s="677">
        <f>H72</f>
        <v>10</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808</v>
      </c>
      <c r="D74" s="631">
        <f>IF(D62="","",IF(D62="No","n/a",IF(G74=0,"",IF(R8=0,H63,I74))))</f>
        <v>9</v>
      </c>
      <c r="E74" s="628"/>
      <c r="F74" s="258"/>
      <c r="G74" s="669">
        <f>MIN(G63:G73)</f>
        <v>1</v>
      </c>
      <c r="H74" s="680" t="e">
        <f>MIN(H63:H73)</f>
        <v>#N/A</v>
      </c>
      <c r="I74" s="680">
        <f t="array" ref="I74">MIN(IF(ISNUMBER(I63:I73),I63:I73))</f>
        <v>9</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137</v>
      </c>
      <c r="E93" s="628" t="str">
        <f t="shared" ref="E93:E95" si="7">IFERROR(IF(OR($D$96="",$H93=10,NOT(ISNUMBER($H93))),"",IF(H93=$H$96,"Limiting","")),"")</f>
        <v>Limiting</v>
      </c>
      <c r="F93" s="258"/>
      <c r="G93" s="683">
        <f>IF(OR(LEN(D93)&gt;0,D92=WIEA!$C$23),1,0)</f>
        <v>1</v>
      </c>
      <c r="H93" s="677">
        <f>VLOOKUP('Interactive Data Grading'!D93,WIEA!$D$6:$G$16,4,FALSE)</f>
        <v>9</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90</v>
      </c>
      <c r="E94" s="628" t="str">
        <f t="shared" si="7"/>
        <v/>
      </c>
      <c r="F94" s="258"/>
      <c r="G94" s="683">
        <f t="shared" ref="G94:G95" si="8">IF(LEN(D94)&gt;0,1,0)</f>
        <v>1</v>
      </c>
      <c r="H94" s="677">
        <f>VLOOKUP('Interactive Data Grading'!D94,WIEA!$E$6:$G$16,3,FALSE)</f>
        <v>10</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808</v>
      </c>
      <c r="D96" s="753">
        <f>IF(D62="No","n/a",IF(G96=0,"",H96))</f>
        <v>9</v>
      </c>
      <c r="E96" s="628"/>
      <c r="F96" s="258"/>
      <c r="G96" s="683">
        <f>MIN(G92:G95)</f>
        <v>1</v>
      </c>
      <c r="H96" s="680">
        <f t="array" ref="H96">MIN(IF(ISNUMBER(H92:H95),H92:H95))</f>
        <v>9</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331</v>
      </c>
      <c r="E294" s="628" t="str">
        <f t="shared" si="17"/>
        <v>Limiting</v>
      </c>
      <c r="F294" s="258"/>
      <c r="G294" s="669">
        <f t="shared" si="16"/>
        <v>1</v>
      </c>
      <c r="H294" s="677">
        <f>VLOOKUP('Interactive Data Grading'!D294,CMI!$F$6:$J$16,5,FALSE)</f>
        <v>4</v>
      </c>
      <c r="I294" s="677">
        <f>H294</f>
        <v>4</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t="e">
        <f>IF(OR(D294=CMI!F23,D294=CMI!F24),X,H295)</f>
        <v>#NAME?</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4</v>
      </c>
      <c r="E300" s="628"/>
      <c r="F300" s="258"/>
      <c r="G300" s="669">
        <f>MIN(G290:G299)</f>
        <v>1</v>
      </c>
      <c r="H300" s="680">
        <f t="array" ref="H300">MIN(IF(ISNUMBER(H291:H297),H291:H297))</f>
        <v>4</v>
      </c>
      <c r="I300" s="680">
        <f t="array" ref="I300">MIN(IF(ISNUMBER(I290:I299),I290:I299))</f>
        <v>4</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15"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- 640 Royersford</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87</v>
      </c>
      <c r="BS6" s="585"/>
      <c r="BT6" s="584"/>
      <c r="BU6" s="586"/>
      <c r="BV6" s="586"/>
      <c r="BW6" s="586"/>
      <c r="BX6" s="50"/>
      <c r="BY6" s="50"/>
    </row>
    <row r="7" spans="1:77" s="190" customFormat="1" ht="12.95" customHeight="1">
      <c r="A7" s="189"/>
      <c r="B7" s="265"/>
      <c r="C7" s="50"/>
      <c r="D7" s="193"/>
      <c r="E7" s="711"/>
      <c r="F7" s="193"/>
      <c r="G7" s="193"/>
      <c r="H7" s="553"/>
      <c r="I7" s="654" t="s">
        <v>887</v>
      </c>
      <c r="J7" s="1068">
        <f>BR6</f>
        <v>87</v>
      </c>
      <c r="K7" s="1068"/>
      <c r="L7" s="655"/>
      <c r="M7" s="655"/>
      <c r="N7" s="655"/>
      <c r="O7" s="655"/>
      <c r="P7" s="655"/>
      <c r="Q7" s="654" t="s">
        <v>888</v>
      </c>
      <c r="R7" s="1067" t="str">
        <f>IF(BO2&gt;0,"",BR4)</f>
        <v>Tier IV (71-90)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585</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87</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111.73333333333333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result is above 90th %ile</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31.065814691331688</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31.065814691331688</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31.065814691331688</v>
      </c>
      <c r="AB18" s="1061"/>
      <c r="AC18" s="1061"/>
      <c r="AD18" s="730" t="str">
        <f>BD13</f>
        <v>$/conn/year</v>
      </c>
      <c r="AE18" s="731"/>
      <c r="AF18" s="732"/>
      <c r="AG18" s="732"/>
      <c r="AH18" s="733"/>
      <c r="AI18" s="733"/>
      <c r="AJ18" s="731"/>
      <c r="AK18" s="1061">
        <f>BS22</f>
        <v>27.10017408388704</v>
      </c>
      <c r="AL18" s="1061"/>
      <c r="AM18" s="1061"/>
      <c r="AN18" s="730" t="str">
        <f>BD13</f>
        <v>$/conn/year</v>
      </c>
      <c r="AO18" s="731"/>
      <c r="AP18" s="731"/>
      <c r="AQ18" s="731"/>
      <c r="AR18" s="731"/>
      <c r="AS18" s="731"/>
      <c r="AT18" s="731"/>
      <c r="AU18" s="1061">
        <f>BS29</f>
        <v>3.9656406074446475</v>
      </c>
      <c r="AV18" s="1061"/>
      <c r="AW18" s="1061"/>
      <c r="AX18" s="730" t="str">
        <f>BD13</f>
        <v>$/conn/year</v>
      </c>
      <c r="AY18" s="576"/>
      <c r="AZ18" s="193"/>
      <c r="BA18" s="193"/>
      <c r="BB18" s="272"/>
      <c r="BC18" s="89"/>
      <c r="BD18" s="50" t="s">
        <v>911</v>
      </c>
      <c r="BE18" s="182">
        <f>(((5.41*Worksheet!H61)+(0.15*Worksheet!H62)+(7.5*(Worksheet!H62*Worksheet!W67/5280)))*Worksheet!H68)/1000000*365</f>
        <v>126.28934204270455</v>
      </c>
      <c r="BN18" s="535"/>
      <c r="BO18" s="591" t="s">
        <v>928</v>
      </c>
      <c r="BP18" s="593">
        <f>BQ18-BQ17</f>
        <v>8.9525318444022357</v>
      </c>
      <c r="BQ18" s="758">
        <f t="shared" si="0"/>
        <v>18.283980813778896</v>
      </c>
      <c r="BR18" s="591" t="s">
        <v>900</v>
      </c>
      <c r="BS18" s="595">
        <f>SUM(BP16:BP20)-SUM(BS16,BS17)</f>
        <v>83.612163895404422</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387.56725146676519</v>
      </c>
      <c r="BF19" s="181">
        <f>BE19*325851.427242/Worksheet!H62/365</f>
        <v>18.644153323487053</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760.42903311000009</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27.10017408388704</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24.233075430263664</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23.845346223379444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25.907206189045105</v>
      </c>
      <c r="AB29" s="1062"/>
      <c r="AC29" s="1062"/>
      <c r="AD29" s="729" t="str">
        <f>BD10</f>
        <v>gal/conn/day</v>
      </c>
      <c r="AE29" s="729"/>
      <c r="AF29" s="734"/>
      <c r="AG29" s="734"/>
      <c r="AH29" s="575"/>
      <c r="AI29" s="575"/>
      <c r="AJ29" s="575"/>
      <c r="AK29" s="1062">
        <f>BS43</f>
        <v>5.3646192853040979</v>
      </c>
      <c r="AL29" s="1062"/>
      <c r="AM29" s="1062"/>
      <c r="AN29" s="730" t="str">
        <f>BD10</f>
        <v>gal/conn/day</v>
      </c>
      <c r="AO29" s="575"/>
      <c r="AP29" s="575"/>
      <c r="AQ29" s="575"/>
      <c r="AR29" s="575"/>
      <c r="AS29" s="575"/>
      <c r="AT29" s="575"/>
      <c r="AU29" s="1057">
        <f>BS55</f>
        <v>20.542586903741007</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3.9656406074446475</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3.9656406074446475</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70.3</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66.560289809091373</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25.907206189045105</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25.907206189045105</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222.39238200211753</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1.101824606744807</v>
      </c>
      <c r="AI41" s="1056"/>
      <c r="AJ41" s="1056"/>
      <c r="AK41" s="729" t="s">
        <v>949</v>
      </c>
      <c r="AL41" s="661"/>
      <c r="AM41" s="662"/>
      <c r="AN41" s="658"/>
      <c r="AO41" s="658"/>
      <c r="AP41" s="658"/>
      <c r="AQ41" s="658"/>
      <c r="AR41" s="658"/>
      <c r="AS41" s="1055">
        <f>BS69</f>
        <v>1288.8077341434266</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126.28934204270455</v>
      </c>
      <c r="AL43" s="1054"/>
      <c r="AM43" s="1054"/>
      <c r="AN43" s="1054"/>
      <c r="AO43" s="773" t="str">
        <f>BD7</f>
        <v>MG/Yr</v>
      </c>
      <c r="AP43" s="575"/>
      <c r="AQ43" s="575"/>
      <c r="AR43" s="575"/>
      <c r="AS43" s="1054">
        <f>IF(BG19=1,BF19,IFERROR(AK43*1000000/Worksheet!H62/365,""))</f>
        <v>18.644153323487053</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5.3646192853040979</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5.3646192853040979</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27.016243309949076</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49">
        <f>IF(ISBLANK('Start Page'!$AB$22),"",Worksheet!H46)</f>
        <v>36.338160714285806</v>
      </c>
      <c r="J49" s="1049"/>
      <c r="K49" s="1049"/>
      <c r="L49" s="1049"/>
      <c r="M49" s="558"/>
      <c r="N49" s="1050">
        <f>IF(OR(ISBLANK('Start Page'!$AB$22),ISBLANK(Worksheet!J76)),"",(SUM(Worksheet!H43+Worksheet!H39+Worksheet!X50)*Worksheet!H76)*INDEX(Sheet1!B2:D4,MATCH('Start Page'!AB22,Sheet1!A2:A4,0),MATCH(Worksheet!J76,Sheet1!B1:D1,0))+Worksheet!Y50*Worksheet!H77)</f>
        <v>502925.03064877569</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139.14870463226336</v>
      </c>
      <c r="J50" s="1049"/>
      <c r="K50" s="1049"/>
      <c r="L50" s="1049"/>
      <c r="M50" s="558"/>
      <c r="N50" s="1050">
        <f>IFERROR(IF(Worksheet!H41="Select under/over","",IF(ISBLANK('Start Page'!AB22),"",Worksheet!H51*(IF(BD29=FALSE,Worksheet!H77,IF(BD29=TRUE,Worksheet!H76*INDEX(Sheet1!B2:D4,MATCH('Start Page'!AB22,Sheet1!A2:A4,0),MATCH(Worksheet!J76,Sheet1!B1:D1,0)),""))))),"")</f>
        <v>73594.358392957773</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38.587999999999994</v>
      </c>
      <c r="J51" s="1049"/>
      <c r="K51" s="1049"/>
      <c r="L51" s="1049"/>
      <c r="M51" s="558"/>
      <c r="N51" s="1050">
        <f>IFERROR(IF(SUM(Sheet1!D90:D91)=0,"",SUM(Sheet1!D90:D91)),"")</f>
        <v>20408.807319999996</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214.07486534654916</v>
      </c>
      <c r="J52" s="1049"/>
      <c r="K52" s="1049"/>
      <c r="L52" s="1049"/>
      <c r="M52" s="558"/>
      <c r="N52" s="1050">
        <f>IF(SUM(N49:N51)=0,"",SUM(N49:N51))</f>
        <v>596928.19636173348</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20.542586903741007</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20.542586903741007</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208.476445445472</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1.101824606744807</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1.101824606744807</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10.164353120424435</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1288.8077341434266</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1288.8077341434266</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10762.261175557076</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17.965808526427509</v>
      </c>
      <c r="BQ83" s="608">
        <f>BP83+BQ78</f>
        <v>70.3</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- 640 Royersford</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214 MG/Yr</v>
      </c>
    </row>
    <row r="79" spans="1:6" ht="16.5">
      <c r="B79" s="46"/>
      <c r="C79" s="46"/>
      <c r="D79" s="46"/>
      <c r="E79" s="8" t="str">
        <f>IFERROR("Total Cost of NRW = $"&amp;TEXT(SUM(D90,D91,D94,D95,D96,D97,D99),"#,###")&amp;"/Yr","")</f>
        <v>Total Cost of NRW = $596,928/Yr</v>
      </c>
      <c r="F79" s="46"/>
    </row>
    <row r="80" spans="1:6">
      <c r="A80"/>
      <c r="B80"/>
      <c r="C80" s="47" t="str">
        <f>"Volume ("&amp;Worksheet!J15&amp;")"</f>
        <v>Volume (MG/Yr)</v>
      </c>
      <c r="D80" s="47" t="s">
        <v>1041</v>
      </c>
      <c r="E80" s="79" t="s">
        <v>1042</v>
      </c>
      <c r="F80"/>
    </row>
    <row r="81" spans="1:6">
      <c r="A81" s="118" t="s">
        <v>1043</v>
      </c>
      <c r="B81" s="118"/>
      <c r="C81" s="100">
        <f>IF(Dashboard!BO$2&gt;0,"",Worksheet!H15)</f>
        <v>1603.85</v>
      </c>
      <c r="D81" s="872">
        <f>IF(Dashboard!BO$2&gt;0,"",C81*(Worksheet!$H$77))</f>
        <v>848260.22649999987</v>
      </c>
      <c r="E81" s="489">
        <f>D81</f>
        <v>848260.22649999987</v>
      </c>
      <c r="F81" s="75" t="s">
        <v>1044</v>
      </c>
    </row>
    <row r="82" spans="1:6">
      <c r="A82" s="118" t="str">
        <f>A81&amp;" MA"</f>
        <v>Vol. from own sources: MA</v>
      </c>
      <c r="B82" s="118"/>
      <c r="C82" s="100">
        <f>IF(Dashboard!BO$2&gt;0,"",Worksheet!X15)</f>
        <v>5.9342449999999998</v>
      </c>
      <c r="D82" s="872">
        <f>IF(Dashboard!BO$2&gt;0,"",C82*(Worksheet!$H$77))</f>
        <v>3138.5628380499998</v>
      </c>
      <c r="E82" s="489">
        <f t="shared" ref="E82:E100" si="0">D82</f>
        <v>3138.5628380499998</v>
      </c>
      <c r="F82"/>
    </row>
    <row r="83" spans="1:6">
      <c r="A83" t="s">
        <v>1045</v>
      </c>
      <c r="B83"/>
      <c r="C83" s="100">
        <f>IF(Dashboard!BO$2&gt;0,"",Worksheet!H16)</f>
        <v>42.637999999999998</v>
      </c>
      <c r="D83" s="872">
        <f>IF(Dashboard!BO$2&gt;0,"",C83*(Worksheet!$H$77))</f>
        <v>22550.811819999999</v>
      </c>
      <c r="E83" s="489">
        <f t="shared" si="0"/>
        <v>22550.811819999999</v>
      </c>
      <c r="F83"/>
    </row>
    <row r="84" spans="1:6">
      <c r="A84" t="str">
        <f>A83&amp;" MA"</f>
        <v>Water imported: MA</v>
      </c>
      <c r="B84"/>
      <c r="C84" s="100">
        <f>IF(Dashboard!BO$2&gt;0,"",Worksheet!X16)</f>
        <v>0.46901799999999993</v>
      </c>
      <c r="D84" s="872">
        <f>IF(Dashboard!BO$2&gt;0,"",C84*(Worksheet!$H$77))</f>
        <v>248.05893001999996</v>
      </c>
      <c r="E84" s="489">
        <f t="shared" si="0"/>
        <v>248.05893001999996</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1641.0498653465493</v>
      </c>
      <c r="D87" s="872">
        <f>IF(Dashboard!BO$2&gt;0,"",C87*(Worksheet!$H$77))</f>
        <v>867934.86328313639</v>
      </c>
      <c r="E87" s="489">
        <f t="shared" si="0"/>
        <v>867934.86328313639</v>
      </c>
      <c r="F87"/>
    </row>
    <row r="88" spans="1:6">
      <c r="A88" s="118" t="s">
        <v>1047</v>
      </c>
      <c r="B88"/>
      <c r="C88" s="100">
        <f>IF(Dashboard!BO$2&gt;0,"",Worksheet!H23)</f>
        <v>1426.9749999999999</v>
      </c>
      <c r="D88" s="872">
        <f>IF(Dashboard!BO$2&gt;0,"",C88*(Worksheet!$H$76*1000))</f>
        <v>19792143.25</v>
      </c>
      <c r="E88" s="489">
        <f t="shared" si="0"/>
        <v>19792143.25</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3.9860000000000002</v>
      </c>
      <c r="D90" s="873">
        <f>IF(Dashboard!BO$2&gt;0,"",IF(ISBLANK('Start Page'!AB22),"",IF(AND(ISBLANK(Worksheet!H77),Worksheet!Z77&lt;&gt;1),"",Worksheet!H25*(IF(Dashboard!BD29=FALSE,Worksheet!H77,IF(Dashboard!BD29=TRUE,Worksheet!H76*INDEX(Sheet1!B2:D4,MATCH('Start Page'!AB22,Sheet1!A2:A4,0),MATCH(Worksheet!J76,Sheet1!B1:D1,0)),""))))))</f>
        <v>2108.1555400000002</v>
      </c>
      <c r="E90" s="796">
        <f t="shared" si="0"/>
        <v>2108.1555400000002</v>
      </c>
      <c r="F90"/>
    </row>
    <row r="91" spans="1:6">
      <c r="A91" s="797" t="str">
        <f>"Unbilled Unmetered (UUAC) valued at "&amp;A76&amp;""</f>
        <v xml:space="preserve">Unbilled Unmetered (UUAC) valued at </v>
      </c>
      <c r="B91" s="794"/>
      <c r="C91" s="795">
        <f>IF(Dashboard!BO$2&gt;0,"",Worksheet!H26)</f>
        <v>34.601999999999997</v>
      </c>
      <c r="D91" s="873">
        <f>IF(Dashboard!BO$2&gt;0,"",IF(ISBLANK('Start Page'!AB22),"",IF(AND(ISBLANK(Worksheet!H77),Worksheet!Z77&lt;&gt;1),"",Worksheet!H26*(IF(Dashboard!BD29=FALSE,Worksheet!H77,IF(Dashboard!BD29=TRUE,Worksheet!H76*INDEX(Sheet1!B2:D4,MATCH('Start Page'!AB22,Sheet1!A2:A4,0),MATCH(Worksheet!J76,Sheet1!B1:D1,0)),""))))))</f>
        <v>18300.651779999997</v>
      </c>
      <c r="E91" s="796">
        <f t="shared" si="0"/>
        <v>18300.651779999997</v>
      </c>
      <c r="F91"/>
    </row>
    <row r="92" spans="1:6">
      <c r="A92" s="118" t="s">
        <v>1049</v>
      </c>
      <c r="B92" s="874" t="s">
        <v>1050</v>
      </c>
      <c r="C92" s="100">
        <f>IF(Dashboard!BO$2&gt;0,"",Worksheet!H30)</f>
        <v>1465.5630000000001</v>
      </c>
      <c r="D92" s="872">
        <f>IF(Dashboard!BO$2&gt;0,"",C92*(Worksheet!$H$76*1000))</f>
        <v>20327358.810000002</v>
      </c>
      <c r="E92" s="489">
        <f t="shared" si="0"/>
        <v>20327358.810000002</v>
      </c>
      <c r="F92"/>
    </row>
    <row r="93" spans="1:6">
      <c r="A93" t="s">
        <v>1051</v>
      </c>
      <c r="B93"/>
      <c r="C93" s="100">
        <f>IF(Dashboard!BO$2&gt;0,"",Worksheet!H35)</f>
        <v>175.48686534654917</v>
      </c>
      <c r="D93" s="872"/>
      <c r="E93" s="489">
        <f t="shared" si="0"/>
        <v>0</v>
      </c>
      <c r="F93"/>
    </row>
    <row r="94" spans="1:6">
      <c r="A94" s="171" t="s">
        <v>1052</v>
      </c>
      <c r="B94" s="118"/>
      <c r="C94" s="102">
        <f>IF(Dashboard!BO$2&gt;0,"",Worksheet!H43)</f>
        <v>3.5674375</v>
      </c>
      <c r="D94" s="875">
        <f>IF(Dashboard!BO$2&gt;0,"",IF(ISBLANK('Start Page'!AB22),"",IF(AND(ISBLANK(Worksheet!H77),Worksheet!Z77&lt;&gt;1),"",C94*Worksheet!H76*INDEX(Sheet1!B2:D4,MATCH('Start Page'!AB22,Sheet1!A2:A4,0),MATCH(Worksheet!J76,Sheet1!B1:D1,0)))))</f>
        <v>49480.358124999992</v>
      </c>
      <c r="E94" s="490">
        <f t="shared" si="0"/>
        <v>49480.358124999992</v>
      </c>
      <c r="F94" s="103"/>
    </row>
    <row r="95" spans="1:6">
      <c r="A95" s="785" t="s">
        <v>1053</v>
      </c>
      <c r="B95" s="785"/>
      <c r="C95" s="786">
        <f>Worksheet!X50</f>
        <v>29.121938775510216</v>
      </c>
      <c r="D95" s="876">
        <f>IF(Dashboard!BO$2&gt;0,"",IF(ISBLANK('Start Page'!AB22),"",IF(AND(ISBLANK(Worksheet!H77),Worksheet!Z77&lt;&gt;1),"",C95*Worksheet!H76*INDEX(Sheet1!B2:D4,MATCH('Start Page'!AB22,Sheet1!A2:A4,0),MATCH(Worksheet!J76,Sheet1!B1:D1,0)))))</f>
        <v>403921.29081632668</v>
      </c>
      <c r="E95" s="787">
        <f t="shared" si="0"/>
        <v>403921.29081632668</v>
      </c>
      <c r="F95" s="103"/>
    </row>
    <row r="96" spans="1:6">
      <c r="A96" s="785" t="s">
        <v>1054</v>
      </c>
      <c r="B96" s="785"/>
      <c r="C96" s="786">
        <f>Worksheet!Y50</f>
        <v>8.1346938775510136E-2</v>
      </c>
      <c r="D96" s="876">
        <f>C96*input_VPC</f>
        <v>43.023582448979553</v>
      </c>
      <c r="E96" s="787">
        <f t="shared" si="0"/>
        <v>43.023582448979553</v>
      </c>
      <c r="F96" s="788" t="s">
        <v>1055</v>
      </c>
    </row>
    <row r="97" spans="1:7">
      <c r="A97" s="171" t="s">
        <v>1056</v>
      </c>
      <c r="B97" s="118"/>
      <c r="C97" s="102">
        <f>IF(Dashboard!BO$2&gt;0,"",Worksheet!H39)</f>
        <v>3.5674375</v>
      </c>
      <c r="D97" s="875">
        <f>IF(Dashboard!BO$2&gt;0,"",IF(ISBLANK('Start Page'!AB22),"",IF(AND(ISBLANK(Worksheet!H77),Worksheet!Z77&lt;&gt;1),"",C97*Worksheet!H76*INDEX(Sheet1!B2:D4,MATCH('Start Page'!AB22,Sheet1!A2:A4,0),MATCH(Worksheet!J76,Sheet1!B1:D1,0)))))</f>
        <v>49480.358124999992</v>
      </c>
      <c r="E97" s="490">
        <f t="shared" si="0"/>
        <v>49480.358124999992</v>
      </c>
      <c r="F97" s="103"/>
    </row>
    <row r="98" spans="1:7">
      <c r="A98" s="792" t="s">
        <v>749</v>
      </c>
      <c r="B98" s="792"/>
      <c r="C98" s="793">
        <f>IF(Dashboard!BO$2&gt;0,"",Worksheet!H46)</f>
        <v>36.338160714285806</v>
      </c>
      <c r="D98" s="877">
        <f>IF(Dashboard!BO$2&gt;0,"",SUM(D94:D97))</f>
        <v>502925.03064877563</v>
      </c>
      <c r="E98" s="489">
        <f t="shared" si="0"/>
        <v>502925.03064877563</v>
      </c>
      <c r="F98"/>
    </row>
    <row r="99" spans="1:7">
      <c r="A99" s="171" t="str">
        <f>"Real Losses valued at "&amp;A76&amp;""</f>
        <v xml:space="preserve">Real Losses valued at </v>
      </c>
      <c r="B99" s="118"/>
      <c r="C99" s="102">
        <f>IF(Dashboard!BO$2&gt;0,"",Worksheet!H51)</f>
        <v>139.14870463226336</v>
      </c>
      <c r="D99" s="878">
        <f>IF(Dashboard!BO$2&gt;0,"",Dashboard!N50)</f>
        <v>73594.358392957773</v>
      </c>
      <c r="E99" s="490">
        <f t="shared" si="0"/>
        <v>73594.358392957773</v>
      </c>
      <c r="F99" s="489"/>
    </row>
    <row r="100" spans="1:7">
      <c r="A100" t="s">
        <v>757</v>
      </c>
      <c r="B100"/>
      <c r="C100" s="100">
        <f>IF(Dashboard!BO$2&gt;0,"",Worksheet!H57)</f>
        <v>214.07486534654916</v>
      </c>
      <c r="D100" s="101">
        <f>IF(Dashboard!BO$2&gt;0,"",D98+D99+D90+D91)</f>
        <v>596928.19636173337</v>
      </c>
      <c r="E100" s="489">
        <f t="shared" si="0"/>
        <v>596928.19636173337</v>
      </c>
      <c r="F100"/>
      <c r="G100" s="104"/>
    </row>
    <row r="101" spans="1:7">
      <c r="A101" s="789"/>
    </row>
    <row r="102" spans="1:7">
      <c r="A102" s="789" t="s">
        <v>1057</v>
      </c>
      <c r="C102" s="790">
        <f>C95+C96</f>
        <v>29.203285714285727</v>
      </c>
      <c r="D102" s="104">
        <f>D95+D96</f>
        <v>403964.31439877569</v>
      </c>
      <c r="E102" s="104">
        <f>E95+E96</f>
        <v>403964.31439877569</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- 640 Royersford</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1426.9749999999999</v>
      </c>
      <c r="H12" s="881"/>
      <c r="I12" s="4"/>
      <c r="K12" s="756"/>
    </row>
    <row r="13" spans="2:16" ht="22.5" customHeight="1">
      <c r="B13" s="1089"/>
      <c r="C13" s="288"/>
      <c r="D13" s="286"/>
      <c r="E13" s="1098"/>
      <c r="F13" s="290">
        <f>Worksheet!H23+Worksheet!H24</f>
        <v>1426.9749999999999</v>
      </c>
      <c r="G13" s="485" t="s">
        <v>1069</v>
      </c>
      <c r="H13" s="291">
        <f>SUM(G12+G14)</f>
        <v>1426.9749999999999</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1465.5630000000001</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3.9860000000000002</v>
      </c>
      <c r="H16" s="1097"/>
      <c r="I16" s="4"/>
      <c r="K16" s="118"/>
    </row>
    <row r="17" spans="2:16" ht="22.5" customHeight="1">
      <c r="B17" s="299">
        <f>Worksheet!AG15</f>
        <v>1597.9376307661651</v>
      </c>
      <c r="C17" s="300"/>
      <c r="D17" s="301"/>
      <c r="E17" s="194"/>
      <c r="F17" s="302">
        <f>Worksheet!H25+Worksheet!H26</f>
        <v>38.587999999999994</v>
      </c>
      <c r="G17" s="289" t="s">
        <v>1074</v>
      </c>
      <c r="H17" s="881"/>
      <c r="I17" s="4"/>
      <c r="K17" s="118"/>
      <c r="L17" s="99"/>
      <c r="M17" s="99"/>
      <c r="N17" s="99"/>
      <c r="O17" s="99"/>
      <c r="P17" s="99"/>
    </row>
    <row r="18" spans="2:16" ht="15.75" customHeight="1">
      <c r="B18" s="297"/>
      <c r="C18" s="1110" t="s">
        <v>1075</v>
      </c>
      <c r="D18" s="286"/>
      <c r="E18" s="303"/>
      <c r="F18" s="294"/>
      <c r="G18" s="304">
        <f>Worksheet!H26</f>
        <v>34.601999999999997</v>
      </c>
      <c r="H18" s="881"/>
      <c r="I18" s="4"/>
      <c r="K18" s="118"/>
    </row>
    <row r="19" spans="2:16" ht="22.5" customHeight="1">
      <c r="B19" s="297"/>
      <c r="C19" s="1110"/>
      <c r="D19" s="815" t="s">
        <v>1076</v>
      </c>
      <c r="E19" s="282"/>
      <c r="F19" s="884"/>
      <c r="G19" s="485" t="s">
        <v>1077</v>
      </c>
      <c r="H19" s="305">
        <f>Worksheet!H25+Worksheet!H26+Worksheet!H46+Worksheet!H51</f>
        <v>214.07486534654916</v>
      </c>
      <c r="I19" s="4"/>
      <c r="K19" s="118"/>
      <c r="L19" s="99"/>
      <c r="M19" s="99"/>
      <c r="N19" s="99"/>
      <c r="O19" s="99"/>
      <c r="P19" s="99"/>
    </row>
    <row r="20" spans="2:16" ht="15.75" customHeight="1">
      <c r="B20" s="297"/>
      <c r="C20" s="306">
        <f>B17+B27</f>
        <v>1641.0498653465493</v>
      </c>
      <c r="D20" s="286"/>
      <c r="E20" s="194"/>
      <c r="F20" s="307" t="s">
        <v>745</v>
      </c>
      <c r="G20" s="298">
        <f>Worksheet!H39</f>
        <v>3.5674375</v>
      </c>
      <c r="H20" s="881"/>
      <c r="I20" s="4"/>
      <c r="K20" s="118"/>
    </row>
    <row r="21" spans="2:16" ht="14.25" customHeight="1">
      <c r="B21" s="308"/>
      <c r="C21" s="309"/>
      <c r="D21" s="306">
        <f>Worksheet!H19</f>
        <v>1641.0498653465493</v>
      </c>
      <c r="E21" s="310"/>
      <c r="F21" s="302">
        <f>Worksheet!H46</f>
        <v>36.338160714285806</v>
      </c>
      <c r="G21" s="289" t="s">
        <v>1078</v>
      </c>
      <c r="H21" s="881"/>
      <c r="I21" s="4"/>
      <c r="K21" s="118"/>
      <c r="L21" s="99"/>
      <c r="M21" s="99"/>
      <c r="N21" s="99"/>
      <c r="O21" s="99"/>
      <c r="P21" s="99"/>
    </row>
    <row r="22" spans="2:16" ht="15.75" customHeight="1">
      <c r="B22" s="297"/>
      <c r="C22" s="285"/>
      <c r="D22" s="286"/>
      <c r="E22" s="194"/>
      <c r="F22" s="310"/>
      <c r="G22" s="311">
        <f>Worksheet!H41</f>
        <v>29.203285714285812</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3.5674375</v>
      </c>
      <c r="H24" s="881"/>
      <c r="I24" s="4"/>
      <c r="K24" s="118"/>
    </row>
    <row r="25" spans="2:16" ht="26.25" customHeight="1">
      <c r="B25" s="1088" t="s">
        <v>1080</v>
      </c>
      <c r="C25" s="288"/>
      <c r="D25" s="286"/>
      <c r="E25" s="313">
        <f>Worksheet!H53</f>
        <v>175.48686534654917</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43.112234580384225</v>
      </c>
      <c r="C27" s="300"/>
      <c r="D27" s="286"/>
      <c r="E27" s="194"/>
      <c r="F27" s="302">
        <f>Worksheet!H51</f>
        <v>139.14870463226336</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- 640 Royersford</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33.961550439873072</v>
      </c>
      <c r="AF98" s="35">
        <f t="shared" ref="AF98:AF103" si="0">AE98</f>
        <v>33.961550439873072</v>
      </c>
      <c r="AG98" s="35">
        <f>IF(AE98&lt;&gt;0,AF98/10,0)</f>
        <v>3.3961550439873074</v>
      </c>
      <c r="AH98" s="35">
        <f>IFERROR(AD98*AG98,0)</f>
        <v>33.961550439873072</v>
      </c>
      <c r="AI98" s="35">
        <f t="shared" ref="AI98:AI117" si="1">IF(AG98=0,0,AF98-AH98)</f>
        <v>0</v>
      </c>
      <c r="AJ98">
        <f t="array" aca="1" ref="AJ98" ca="1">SUM(1*(AI98&lt;$AI$98:$AI$117))+1+IF(ROW(AI98)-ROW($AI$98)=0,0,SUM(1*(AI98=OFFSET($AI$98,0,0,INDEX(ROW(AI98)-ROW($AI$98)+1,1)-1,1))))</f>
        <v>8</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0.12565773662753038</v>
      </c>
      <c r="AF99" s="35">
        <f t="shared" si="0"/>
        <v>0.12565773662753038</v>
      </c>
      <c r="AG99" s="35">
        <f t="shared" ref="AG99:AG117" si="3">IF(AE99&lt;&gt;0,AF99/10,0)</f>
        <v>1.2565773662753039E-2</v>
      </c>
      <c r="AH99" s="35">
        <f t="shared" ref="AH99:AH106" si="4">IFERROR(AD99*AG99,0)</f>
        <v>0.12565773662753038</v>
      </c>
      <c r="AI99" s="35">
        <f t="shared" si="1"/>
        <v>0</v>
      </c>
      <c r="AJ99">
        <f t="array" aca="1" ref="AJ99" ca="1">SUM(1*(AI99&lt;$AI$98:$AI$117))+1+IF(ROW(AI99)-ROW($AI$98)=0,0,SUM(1*(AI99=OFFSET($AI$98,0,0,INDEX(ROW(AI99)-ROW($AI$98)+1,1)-1,1))))</f>
        <v>9</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9</v>
      </c>
      <c r="AE100" s="56">
        <f>Worksheet!Y16</f>
        <v>0.90286035954441379</v>
      </c>
      <c r="AF100" s="35">
        <f t="shared" si="0"/>
        <v>0.90286035954441379</v>
      </c>
      <c r="AG100" s="35">
        <f t="shared" si="3"/>
        <v>9.0286035954441374E-2</v>
      </c>
      <c r="AH100" s="35">
        <f t="shared" si="4"/>
        <v>0.81257432358997239</v>
      </c>
      <c r="AI100" s="35">
        <f t="shared" si="1"/>
        <v>9.0286035954441402E-2</v>
      </c>
      <c r="AJ100">
        <f t="array" aca="1" ref="AJ100" ca="1">SUM(1*(AI100&lt;$AI$98:$AI$117))+1+IF(ROW(AI100)-ROW($AI$98)=0,0,SUM(1*(AI100=OFFSET($AI$98,0,0,INDEX(ROW(AI100)-ROW($AI$98)+1,1)-1,1))))</f>
        <v>6</v>
      </c>
      <c r="AK100" s="118" t="str">
        <f t="shared" si="5"/>
        <v>Water Imported (WI)</v>
      </c>
      <c r="AL100">
        <f t="shared" si="6"/>
        <v>1</v>
      </c>
      <c r="AM100">
        <f t="shared" si="7"/>
        <v>1</v>
      </c>
      <c r="AN100">
        <f t="shared" si="2"/>
        <v>0</v>
      </c>
    </row>
    <row r="101" spans="28:40">
      <c r="AC101" s="168" t="s">
        <v>1157</v>
      </c>
      <c r="AD101" s="36">
        <f>IF(Worksheet!M16="n/a",0,Worksheet!M16)</f>
        <v>9</v>
      </c>
      <c r="AE101" s="56">
        <f>Worksheet!Z16</f>
        <v>9.9314639549885515E-3</v>
      </c>
      <c r="AF101" s="35">
        <f t="shared" si="0"/>
        <v>9.9314639549885515E-3</v>
      </c>
      <c r="AG101" s="35">
        <f t="shared" si="3"/>
        <v>9.9314639549885511E-4</v>
      </c>
      <c r="AH101" s="35">
        <f t="shared" si="4"/>
        <v>8.9383175594896953E-3</v>
      </c>
      <c r="AI101" s="35">
        <f t="shared" si="1"/>
        <v>9.9314639549885619E-4</v>
      </c>
      <c r="AJ101">
        <f t="array" aca="1" ref="AJ101" ca="1">SUM(1*(AI101&lt;$AI$98:$AI$117))+1+IF(ROW(AI101)-ROW($AI$98)=0,0,SUM(1*(AI101=OFFSET($AI$98,0,0,INDEX(ROW(AI101)-ROW($AI$98)+1,1)-1,1))))</f>
        <v>7</v>
      </c>
      <c r="AK101" s="118" t="str">
        <f t="shared" si="5"/>
        <v>WI Error Adjustment (WIEA)</v>
      </c>
      <c r="AL101">
        <f t="shared" si="6"/>
        <v>1</v>
      </c>
      <c r="AM101">
        <f t="shared" si="7"/>
        <v>1</v>
      </c>
      <c r="AN101">
        <f t="shared" si="2"/>
        <v>0</v>
      </c>
    </row>
    <row r="102" spans="28:40">
      <c r="AC102" s="164" t="s">
        <v>1158</v>
      </c>
      <c r="AD102" s="36" t="str">
        <f>IF(Worksheet!F17="n/a",0,Worksheet!F17)</f>
        <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1159</v>
      </c>
      <c r="AD103" s="57" t="str">
        <f>IF(Worksheet!M17="n/a",0,Worksheet!M17)</f>
        <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13.961002431233274</v>
      </c>
      <c r="AF104" s="67">
        <f t="shared" ref="AF104:AF117" si="8">AE104/$AE$120</f>
        <v>17.121984113776655</v>
      </c>
      <c r="AG104" s="67">
        <f t="shared" si="3"/>
        <v>1.7121984113776656</v>
      </c>
      <c r="AH104" s="67">
        <f t="shared" ref="AH104:AH117" si="9">AD104*AG104</f>
        <v>15.40978570239899</v>
      </c>
      <c r="AI104" s="67">
        <f t="shared" si="1"/>
        <v>1.7121984113776652</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3.8997568766723903E-2</v>
      </c>
      <c r="AF106" s="71">
        <f t="shared" si="8"/>
        <v>4.7827206978057618E-2</v>
      </c>
      <c r="AG106" s="71">
        <f t="shared" si="3"/>
        <v>4.7827206978057618E-3</v>
      </c>
      <c r="AH106" s="35">
        <f t="shared" si="4"/>
        <v>4.7827206978057618E-2</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2</v>
      </c>
      <c r="AK108" s="889" t="str">
        <f t="shared" si="5"/>
        <v>Unauthorized Consumption (UC)</v>
      </c>
      <c r="AL108" s="64">
        <f t="shared" si="10"/>
        <v>1</v>
      </c>
      <c r="AM108" s="64">
        <f t="shared" si="7"/>
        <v>1</v>
      </c>
      <c r="AN108" s="64">
        <f t="shared" si="2"/>
        <v>0</v>
      </c>
    </row>
    <row r="109" spans="28:40">
      <c r="AC109" s="165" t="s">
        <v>1078</v>
      </c>
      <c r="AD109" s="65">
        <f>IF(Worksheet!F41="n/a",0,Worksheet!F41)</f>
        <v>4</v>
      </c>
      <c r="AE109" s="66">
        <f>IF(AND(Worksheet!F41="n/a",Worksheet!H41=0),0,6)</f>
        <v>6</v>
      </c>
      <c r="AF109" s="67">
        <f t="shared" si="8"/>
        <v>7.3584905660377355</v>
      </c>
      <c r="AG109" s="67">
        <f t="shared" si="3"/>
        <v>0.73584905660377353</v>
      </c>
      <c r="AH109" s="67">
        <f t="shared" si="9"/>
        <v>2.9433962264150941</v>
      </c>
      <c r="AI109" s="67">
        <f t="shared" si="1"/>
        <v>4.415094339622641</v>
      </c>
      <c r="AJ109" s="68">
        <f t="array" aca="1" ref="AJ109" ca="1">SUM(1*(AI109&lt;$AI$98:$AI$117))+1+IF(ROW(AI109)-ROW($AI$98)=0,0,SUM(1*(AI109=OFFSET($AI$98,0,0,INDEX(ROW(AI109)-ROW($AI$98)+1,1)-1,1))))</f>
        <v>1</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3</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87.281428066649752</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6029D32D-5A78-440C-8BF2-3C74404961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2024-05-22T14:55:55Z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