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4FB61812-E276-45F3-B157-C1F73AFF2A12}"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<sst xmlns="http://schemas.openxmlformats.org/spreadsheetml/2006/main" count="2545" uniqueCount="1284">
  <si>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</si>
  <si>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</si>
  <si>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</si>
  <si>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</si>
  <si>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</si>
  <si>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</si>
  <si>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</si>
  <si>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</si>
  <si>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</si>
  <si>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</si>
  <si>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</si>
  <si>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</si>
  <si>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</si>
  <si>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</si>
  <si>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</si>
  <si>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</si>
  <si>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</si>
  <si>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</si>
  <si>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</si>
  <si>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</si>
  <si>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</si>
  <si>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</si>
  <si>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</si>
  <si>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</si>
  <si>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</si>
  <si>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</si>
  <si>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</si>
  <si>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</si>
  <si>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</si>
  <si>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</si>
  <si>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</si>
  <si>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</si>
  <si>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</si>
  <si>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</si>
  <si>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</si>
  <si>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</si>
  <si>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</si>
  <si>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</si>
  <si>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</si>
  <si>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</si>
  <si>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</si>
  <si>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</si>
  <si>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</si>
  <si>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</si>
  <si>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</si>
  <si>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</si>
  <si>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</si>
  <si>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</si>
  <si>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</si>
  <si>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</si>
  <si>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</si>
  <si>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</si>
  <si>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</si>
  <si>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</si>
  <si>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</si>
  <si>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</si>
  <si>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</si>
  <si>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</si>
  <si>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</si>
  <si>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</si>
  <si>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</si>
  <si>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</si>
  <si>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</si>
  <si>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</si>
  <si>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</si>
  <si>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</si>
  <si>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</si>
  <si>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</si>
  <si>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</si>
  <si>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</si>
  <si>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</si>
  <si>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</si>
  <si>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</si>
  <si>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</si>
  <si>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</si>
  <si>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</si>
  <si>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</si>
  <si>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</si>
  <si>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</si>
  <si>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</si>
  <si>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</si>
  <si>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</si>
  <si>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</si>
  <si>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</si>
  <si>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</si>
  <si>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</si>
  <si>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</si>
  <si>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</si>
  <si>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</si>
  <si>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</si>
  <si>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</si>
  <si>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</si>
  <si>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</si>
  <si>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</si>
  <si>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</si>
  <si>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</si>
  <si>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</si>
  <si>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</si>
  <si>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</si>
  <si>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</si>
  <si>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</si>
  <si>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</si>
  <si>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</si>
  <si>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</si>
  <si>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</si>
  <si>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</si>
  <si>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</si>
  <si>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</si>
  <si>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</si>
  <si>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</si>
  <si>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</si>
  <si>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</si>
  <si>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</si>
  <si>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</si>
  <si>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</si>
  <si>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</si>
  <si>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</si>
  <si>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</si>
  <si>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</si>
  <si>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</si>
  <si>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</si>
  <si>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</si>
  <si>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</si>
  <si>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</si>
  <si>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</si>
  <si>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</si>
  <si>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</si>
  <si>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</si>
  <si>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</si>
  <si>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</si>
  <si>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</si>
  <si>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</si>
  <si>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</si>
  <si>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</si>
  <si>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</si>
  <si>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</si>
  <si>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</si>
  <si>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</si>
  <si>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</si>
  <si>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</si>
  <si>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</si>
  <si>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</si>
  <si>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</si>
  <si>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</si>
  <si>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</si>
  <si>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</si>
  <si>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</si>
  <si>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</si>
  <si>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</si>
  <si>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</si>
  <si>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</si>
  <si>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</si>
  <si>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</si>
  <si>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</si>
  <si>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</si>
  <si>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</si>
  <si>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</si>
  <si>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</si>
  <si>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</si>
  <si>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</si>
  <si>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</si>
  <si>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</si>
  <si>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</si>
  <si>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</si>
  <si>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</si>
  <si>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</si>
  <si>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</si>
  <si>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</si>
  <si>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</si>
  <si>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</si>
  <si>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</si>
  <si>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</si>
  <si>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</si>
  <si>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</si>
  <si>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</si>
  <si>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</si>
  <si>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</si>
  <si>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</si>
  <si>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</si>
  <si>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</si>
  <si>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</si>
  <si>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</si>
  <si>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</si>
  <si>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</si>
  <si>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</si>
  <si>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</si>
  <si>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</si>
  <si>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</si>
  <si>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</si>
  <si>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</si>
  <si>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</si>
  <si>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</si>
  <si>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</si>
  <si>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</si>
  <si>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</si>
  <si>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</si>
  <si>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</si>
  <si>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</si>
  <si>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</si>
  <si>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</si>
  <si>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</si>
  <si>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</si>
  <si>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</si>
  <si>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</si>
  <si>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</si>
  <si>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</si>
  <si>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</si>
  <si>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</si>
  <si>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</si>
  <si>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</si>
  <si>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</si>
  <si>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</si>
  <si>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</si>
  <si>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</si>
  <si>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</si>
  <si>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</si>
  <si>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</si>
  <si>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</si>
  <si>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</si>
  <si>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</si>
  <si>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</si>
  <si>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</si>
  <si>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</si>
  <si>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</si>
  <si>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</si>
  <si>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</si>
  <si>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</si>
  <si>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</si>
  <si>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</si>
  <si>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</si>
  <si>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</si>
  <si>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</si>
  <si>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</si>
  <si>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</si>
  <si>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</si>
  <si>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</si>
  <si>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</si>
  <si>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</si>
  <si>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</si>
  <si>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</si>
  <si>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</si>
  <si>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</si>
  <si>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</si>
  <si>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</si>
  <si>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</si>
  <si>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</si>
  <si>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</si>
  <si>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</si>
  <si>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</si>
  <si>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</si>
  <si>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</si>
  <si>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</si>
  <si>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</si>
  <si>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</si>
  <si>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</si>
  <si>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</si>
  <si>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</si>
  <si>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</si>
  <si>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</si>
  <si>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</si>
  <si>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</si>
  <si>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</si>
  <si>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</si>
  <si>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</si>
  <si>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</si>
  <si>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</si>
  <si>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</si>
  <si>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</si>
  <si>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</si>
  <si>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</si>
  <si>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</si>
  <si>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</si>
  <si>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</si>
  <si>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</si>
  <si>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</si>
  <si>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</si>
  <si>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</si>
  <si>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</si>
  <si>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</si>
  <si>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</si>
  <si>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</si>
  <si>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</si>
  <si>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</si>
  <si>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</si>
  <si>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</si>
  <si>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</si>
  <si>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</si>
  <si>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</si>
  <si>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</si>
  <si>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</si>
  <si>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</si>
  <si>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</si>
  <si>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</si>
  <si>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</si>
  <si>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</si>
  <si>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</si>
  <si>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</si>
  <si>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</si>
  <si>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</si>
  <si>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</si>
  <si>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</si>
  <si>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</si>
  <si>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</si>
  <si>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</si>
  <si>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</si>
  <si>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</si>
  <si>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</si>
  <si>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</si>
  <si>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</si>
  <si>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</si>
  <si>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</si>
  <si>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</si>
  <si>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</si>
  <si>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</si>
  <si>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</si>
  <si>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</si>
  <si>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</si>
  <si>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</si>
  <si>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</si>
  <si>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</si>
  <si>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</si>
  <si>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</si>
  <si>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</si>
  <si>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</si>
  <si>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</si>
  <si>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</si>
  <si>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</si>
  <si>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</si>
  <si>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</si>
  <si>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</si>
  <si>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</si>
  <si>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</si>
  <si>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</si>
  <si>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</si>
  <si>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</si>
  <si>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</si>
  <si>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</si>
  <si>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</si>
  <si>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</si>
  <si>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</si>
  <si>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</si>
  <si>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</si>
  <si>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</si>
  <si>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</si>
  <si>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</si>
  <si>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</si>
  <si>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</si>
  <si>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</si>
  <si>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</si>
  <si>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</si>
  <si>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</si>
  <si>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</si>
  <si>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</si>
  <si>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</si>
  <si>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</si>
  <si>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</si>
  <si>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</si>
  <si>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</si>
  <si>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</si>
  <si>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</si>
  <si>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</si>
  <si>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</si>
  <si>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</si>
  <si>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</si>
  <si>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</si>
  <si>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</si>
  <si>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</si>
  <si>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</si>
  <si>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</si>
  <si>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</si>
  <si>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</si>
  <si>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</si>
  <si>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</si>
  <si>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</si>
  <si>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</si>
  <si>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</si>
  <si>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</si>
  <si>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</si>
  <si>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</si>
  <si>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</si>
  <si>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</si>
  <si>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</si>
  <si>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</si>
  <si>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</si>
  <si>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</si>
  <si>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</si>
  <si>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</si>
  <si>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</si>
  <si>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</si>
  <si>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</si>
  <si>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</si>
  <si>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</si>
  <si>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</si>
  <si>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</si>
  <si>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</si>
  <si>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</si>
  <si>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</si>
  <si>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</si>
  <si>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</si>
  <si>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</si>
  <si>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</si>
  <si>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</si>
  <si>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</si>
  <si>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</si>
  <si>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</si>
  <si>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</si>
  <si>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</si>
  <si>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</si>
  <si>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</si>
  <si>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</si>
  <si>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</si>
  <si>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</si>
  <si>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</si>
  <si>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</si>
  <si>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</si>
  <si>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</si>
  <si>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</si>
  <si>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</si>
  <si>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</si>
  <si>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</si>
  <si>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</si>
  <si>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</si>
  <si>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</si>
  <si>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</si>
  <si>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</si>
  <si>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</si>
  <si>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</si>
  <si>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</si>
  <si>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</si>
  <si>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</si>
  <si>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</si>
  <si>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</si>
  <si>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</si>
  <si>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</si>
  <si>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</si>
  <si>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</si>
  <si>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</si>
  <si>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</si>
  <si>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</si>
  <si>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</si>
  <si>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</si>
  <si>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</si>
  <si>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</si>
  <si>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</si>
  <si>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</si>
  <si>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</si>
  <si>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</si>
  <si>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</si>
  <si>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</si>
  <si>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</si>
  <si>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</si>
  <si>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</si>
  <si>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</si>
  <si>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</si>
  <si>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</si>
  <si>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</si>
  <si>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</si>
  <si>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</si>
  <si>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</si>
  <si>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</si>
  <si>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</si>
  <si>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</si>
  <si>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</si>
  <si>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</si>
  <si>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</si>
  <si>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</si>
  <si>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</si>
  <si>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</si>
  <si>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</si>
  <si>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</si>
  <si>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</si>
  <si>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</si>
  <si>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</si>
  <si>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</si>
  <si>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</si>
  <si>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</si>
  <si>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</si>
  <si>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</si>
  <si>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</si>
  <si>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</si>
  <si>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</si>
  <si>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</si>
  <si>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</si>
  <si>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</si>
  <si>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</si>
  <si>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</si>
  <si>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</si>
  <si>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</si>
  <si>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</si>
  <si>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</si>
  <si>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</si>
  <si>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</si>
  <si>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</si>
  <si>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</si>
  <si>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</si>
  <si>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</si>
  <si>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</si>
  <si>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</si>
  <si>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</si>
  <si>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</si>
  <si>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</si>
  <si>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</si>
  <si>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</si>
  <si>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</si>
  <si>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</si>
  <si>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</si>
  <si>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</si>
  <si>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</si>
  <si>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</si>
  <si>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</si>
  <si>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</si>
  <si>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</si>
  <si>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</si>
  <si>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</si>
  <si>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</si>
  <si>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</si>
  <si>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- 660 Lake Heritage</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</si>
  <si>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</si>
  <si>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</si>
  <si>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</si>
  <si>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</si>
  <si>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</si>
  <si>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</si>
  <si>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</si>
  <si>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</si>
  <si>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</si>
  <si>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</si>
  <si>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</si>
  <si>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</si>
  <si>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</si>
  <si>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</si>
  <si>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</si>
  <si>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Mount Joy</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</si>
  <si>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</si>
  <si>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</si>
  <si>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</si>
  <si>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</si>
  <si>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</si>
  <si>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</si>
  <si>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</si>
  <si>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</si>
  <si>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</si>
  <si>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</si>
  <si>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</si>
  <si>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</si>
  <si>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</si>
  <si>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</si>
  <si>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</si>
  <si>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</si>
  <si>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</si>
  <si>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</si>
  <si>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</si>
  <si>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</si>
  <si>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</si>
  <si>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</si>
  <si>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</si>
  <si>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</si>
  <si>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</si>
  <si>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</si>
  <si>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</si>
  <si>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</si>
  <si>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</si>
  <si>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</si>
  <si>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</si>
  <si>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</si>
  <si>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</si>
  <si>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</si>
  <si>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</si>
  <si>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</si>
  <si>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</si>
  <si>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</si>
  <si>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</si>
  <si>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</si>
  <si>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</si>
  <si>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</si>
  <si>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</si>
  <si>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7010035</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</si>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</sst>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22.882962995199122</c:v>
                </c:pt>
                <c:pt idx="1">
                  <c:v>2.0024160337996988</c:v>
                </c:pt>
                <c:pt idx="2">
                  <c:v>225.41662519596352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5.0156133650048886</c:v>
                </c:pt>
                <c:pt idx="1">
                  <c:v>0.26113598867139654</c:v>
                </c:pt>
                <c:pt idx="2">
                  <c:v>27.365249230248281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27.574306278948399</c:v>
                </c:pt>
                <c:pt idx="1">
                  <c:v>0.92482240795754933</c:v>
                </c:pt>
                <c:pt idx="2">
                  <c:v>87.103672307787718</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2.1825128379428929</c:v>
                </c:pt>
                <c:pt idx="1">
                  <c:v>0.56875750335916142</c:v>
                </c:pt>
                <c:pt idx="2">
                  <c:v>68.343417578593119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84</c:v>
                </c:pt>
                <c:pt idx="1">
                  <c:v>1.2666666666666666</c:v>
                </c:pt>
                <c:pt idx="2" formatCode="General">
                  <c:v>114.73333333333333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9.3545000000000003E-2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9.3545000000000003E-2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0.7636326530612223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0.52500000000000002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4.9237948743407758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$20,850/Yr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31.305769700000003</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1297.4691499999999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10591.584897959154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7281.75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1647.7971926468842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22.265808526427506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17.867349630194234</c:v>
                </c:pt>
                <c:pt idx="1">
                  <c:v>1.8469276802355887</c:v>
                </c:pt>
                <c:pt idx="2">
                  <c:v>211.15168271901877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1037.6806900612805</c:v>
                </c:pt>
                <c:pt idx="1">
                  <c:v>97.186039594358903</c:v>
                </c:pt>
                <c:pt idx="2" formatCode="_(* #,##0_);_(* \(#,##0\);_(* &quot;-&quot;??_);_(@_)">
                  <c:v>11013.388219639222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CRUC"/><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Lp"/><Relationship Id="rId28" Type="http://schemas.openxmlformats.org/officeDocument/2006/relationships/hyperlink" Target="#'Interactive Data Grading'!UUAC"/><Relationship Id="rId10" Type="http://schemas.openxmlformats.org/officeDocument/2006/relationships/hyperlink" Target="#'Interactive Data Grading'!UMAC"/><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Nc"/><Relationship Id="rId27" Type="http://schemas.openxmlformats.org/officeDocument/2006/relationships/image" Target="../media/image1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67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67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678"/>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679"/>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680"/>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681"/>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682"/>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683"/>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684"/>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685"/>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686"/>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687"/>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336"/>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337"/>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338"/>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339"/>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340"/>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341"/>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342"/>
                  </a:ext>
                </a:extLst>
              </xdr:cNvPicPr>
            </xdr:nvPicPr>
            <xdr:blipFill rotWithShape="1">
              <a:blip xmlns:r="http://schemas.openxmlformats.org/officeDocument/2006/relationships" r:embed="rId2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53340</xdr:colOff>
          <xdr:row>13</xdr:row>
          <xdr:rowOff>30480</xdr:rowOff>
        </xdr:from>
        <xdr:to>
          <xdr:col>15</xdr:col>
          <xdr:colOff>45720</xdr:colOff>
          <xdr:row>17</xdr:row>
          <xdr:rowOff>15240</xdr:rowOff>
        </xdr:to>
        <xdr:pic>
          <xdr:nvPicPr>
            <xdr:cNvPr id="6656250" name="Picture 110">
              <a:extLst>
                <a:ext uri="{FF2B5EF4-FFF2-40B4-BE49-F238E27FC236}">
                  <a16:creationId xmlns:a16="http://schemas.microsoft.com/office/drawing/2014/main" id="{C37C43E3-6999-DD94-BFF6-4B7626281532}"/>
                </a:ext>
              </a:extLst>
            </xdr:cNvPr>
            <xdr:cNvPicPr>
              <a:picLocks noChangeAspect="1" noChangeArrowheads="1"/>
              <a:extLst>
                <a:ext uri="{84589F7E-364E-4C9E-8A38-B11213B215E9}">
                  <a14:cameraTool cellRange="GremlinShow" spid="_x0000_s6656257"/>
                </a:ext>
              </a:extLst>
            </xdr:cNvPicPr>
          </xdr:nvPicPr>
          <xdr:blipFill>
            <a:blip xmlns:r="http://schemas.openxmlformats.org/officeDocument/2006/relationships" r:embed="rId1"/>
            <a:srcRect l="2481" t="10892" r="2972" b="6870"/>
            <a:stretch>
              <a:fillRect/>
            </a:stretch>
          </xdr:blipFill>
          <xdr:spPr bwMode="auto">
            <a:xfrm>
              <a:off x="1775460" y="2324100"/>
              <a:ext cx="1645920" cy="7467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5" sqref="AB25:AL25"/>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45360</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584</v>
      </c>
      <c r="AI28" s="929">
        <v>3208</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585</v>
      </c>
      <c r="C30" s="946"/>
      <c r="D30" s="946"/>
      <c r="E30" s="946"/>
      <c r="F30" s="946"/>
      <c r="G30" s="947" t="s">
        <v>586</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591</v>
      </c>
      <c r="C33" s="946"/>
      <c r="D33" s="946"/>
      <c r="E33" s="946"/>
      <c r="F33" s="946"/>
      <c r="G33" s="947" t="s">
        <v>592</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593</v>
      </c>
      <c r="AB34" s="933" t="s">
        <v>525</v>
      </c>
      <c r="AC34" s="933"/>
      <c r="AD34" s="933"/>
      <c r="AE34" s="933"/>
      <c r="AF34" s="494"/>
      <c r="AG34" s="494"/>
      <c r="AH34" s="494"/>
      <c r="AI34" s="494"/>
      <c r="AJ34" s="501"/>
      <c r="AK34" s="501"/>
      <c r="AL34" s="118"/>
      <c r="AM34" s="526"/>
      <c r="AN34" s="526"/>
      <c r="AO34" s="526"/>
      <c r="AP34" s="118"/>
      <c r="AQ34" s="118"/>
      <c r="AR34" s="766" t="s">
        <v>593</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599</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600</v>
      </c>
      <c r="C39" s="946"/>
      <c r="D39" s="946"/>
      <c r="E39" s="946"/>
      <c r="F39" s="946"/>
      <c r="G39" s="947" t="s">
        <v>601</v>
      </c>
      <c r="H39" s="947"/>
      <c r="I39" s="947"/>
      <c r="J39" s="947"/>
      <c r="K39" s="947"/>
      <c r="L39" s="947"/>
      <c r="M39" s="947"/>
      <c r="N39" s="947"/>
      <c r="O39" s="947"/>
      <c r="P39" s="947"/>
      <c r="Q39" s="947"/>
      <c r="R39" s="947"/>
      <c r="S39" s="947"/>
      <c r="T39" s="947"/>
      <c r="U39" s="801"/>
      <c r="V39" s="510"/>
      <c r="W39" s="936">
        <v>0.01</v>
      </c>
      <c r="X39" s="936"/>
      <c r="Y39" s="936"/>
      <c r="Z39" s="922" t="s">
        <v>602</v>
      </c>
      <c r="AA39" s="923"/>
      <c r="AB39" s="924"/>
      <c r="AC39" s="508" t="s">
        <v>603</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604</v>
      </c>
      <c r="AA40" s="923"/>
      <c r="AB40" s="924"/>
      <c r="AC40" s="925" t="s">
        <v>605</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10"/>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801"/>
      <c r="V44" s="510"/>
      <c r="W44" s="510"/>
      <c r="X44" s="932" t="s">
        <v>599</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611</v>
      </c>
      <c r="AA45" s="923"/>
      <c r="AB45" s="924"/>
      <c r="AC45" s="508" t="s">
        <v>603</v>
      </c>
      <c r="AD45" s="510"/>
      <c r="AE45" s="510"/>
      <c r="AF45" s="510"/>
      <c r="AG45" s="798"/>
      <c r="AH45" s="798"/>
      <c r="AI45" s="938" t="s">
        <v>612</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614</v>
      </c>
      <c r="AA46" s="923"/>
      <c r="AB46" s="924"/>
      <c r="AC46" s="925" t="s">
        <v>615</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E39" sqref="E39"/>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703</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1018" t="str">
        <f>IF(ISBLANK('Start Page'!AB9),"&lt;&lt; Please enter system details on the Start Page &gt;&gt;",'Start Page'!AB9&amp;IF(ISBLANK('Start Page'!AM28),"","  ("&amp;'Start Page'!AM28&amp;")"))</f>
        <v>PAW - 660 Lake Heritage</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706</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707</v>
      </c>
      <c r="L12" s="1028"/>
      <c r="M12" s="1028"/>
      <c r="N12" s="1028"/>
      <c r="O12" s="1028"/>
      <c r="P12" s="1028"/>
      <c r="Q12" s="1028"/>
      <c r="R12" s="1028"/>
      <c r="S12" s="1028"/>
      <c r="T12" s="1028"/>
      <c r="U12" s="1024"/>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4"/>
      <c r="O13" s="205"/>
      <c r="P13" s="493" t="s">
        <v>599</v>
      </c>
      <c r="Q13" s="205"/>
      <c r="R13" s="205"/>
      <c r="S13" s="388"/>
      <c r="T13" s="388"/>
      <c r="U13" s="1024"/>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722</v>
      </c>
      <c r="D15" s="700" t="s">
        <v>723</v>
      </c>
      <c r="E15" s="463" t="s">
        <v>724</v>
      </c>
      <c r="F15" s="390">
        <f>'Interactive Data Grading'!D20</f>
        <v>9</v>
      </c>
      <c r="G15" s="79"/>
      <c r="H15" s="424">
        <v>44.374000000000002</v>
      </c>
      <c r="I15" s="468"/>
      <c r="J15" s="805" t="str">
        <f>IF('Start Page'!$AB$22="million gallons (US)","MG/Yr",IF('Start Page'!$AB$22="Megalitres (thousand cubic metres)","ML/Yr",IF('Start Page'!$AB$22="acre-feet","Acre-ft/Yr","")))</f>
        <v>MG/Yr</v>
      </c>
      <c r="K15" s="703" t="s">
        <v>723</v>
      </c>
      <c r="L15" s="491" t="s">
        <v>724</v>
      </c>
      <c r="M15" s="390">
        <f>'Interactive Data Grading'!D43</f>
        <v>10</v>
      </c>
      <c r="N15" s="805"/>
      <c r="O15" s="386">
        <v>1.2699999999999999E-2</v>
      </c>
      <c r="P15" s="466" t="s">
        <v>602</v>
      </c>
      <c r="Q15" s="992"/>
      <c r="R15" s="1022"/>
      <c r="S15" s="389" t="str">
        <f>IF('Start Page'!$AB$22="million gallons (US)","MG/Yr",IF('Start Page'!$AB$22="Megalitres (thousand cubic metres)","ML/Yr",IF('Start Page'!$AB$22="acre-feet","acre-ft/yr","")))</f>
        <v>MG/Yr</v>
      </c>
      <c r="T15" s="807" t="s">
        <v>725</v>
      </c>
      <c r="U15" s="445" t="s">
        <v>520</v>
      </c>
      <c r="V15" s="827"/>
      <c r="W15" s="383">
        <f>IF(P15="percent",1,2)</f>
        <v>1</v>
      </c>
      <c r="X15" s="836">
        <f>IF(H15&gt;0,IF(W15=1,O15*H15,Q15),0)</f>
        <v>0.56354979999999999</v>
      </c>
      <c r="Y15" s="84">
        <f>$Y$19/$Y$18*H15</f>
        <v>34.561074355682834</v>
      </c>
      <c r="Z15" s="114">
        <f>$Y$19/$Y$18*ABS(X15)</f>
        <v>0.43892564431717196</v>
      </c>
      <c r="AA15" s="754">
        <f>IF(W15=1,input_VOS-input_VOS/(1+O15*AB15),Q15*AB15)</f>
        <v>0.55648247259800598</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43.817517527401996</v>
      </c>
    </row>
    <row r="16" spans="1:33">
      <c r="A16" s="827"/>
      <c r="B16" s="448" t="s">
        <v>524</v>
      </c>
      <c r="C16" s="803" t="s">
        <v>726</v>
      </c>
      <c r="D16" s="700" t="s">
        <v>723</v>
      </c>
      <c r="E16" s="463" t="s">
        <v>724</v>
      </c>
      <c r="F16" s="390" t="str">
        <f>'Interactive Data Grading'!D74</f>
        <v>n/a</v>
      </c>
      <c r="G16" s="79"/>
      <c r="H16" s="423">
        <v>0</v>
      </c>
      <c r="I16" s="468"/>
      <c r="J16" s="805" t="str">
        <f>IF('Start Page'!$AB$22="million gallons (US)","MG/Yr",IF('Start Page'!$AB$22="Megalitres (thousand cubic metres)","ML/Yr",IF('Start Page'!$AB$22="acre-feet","Acre-ft/Yr","")))</f>
        <v>MG/Yr</v>
      </c>
      <c r="K16" s="703" t="s">
        <v>723</v>
      </c>
      <c r="L16" s="491" t="s">
        <v>724</v>
      </c>
      <c r="M16" s="390" t="str">
        <f>'Interactive Data Grading'!D96</f>
        <v>n/a</v>
      </c>
      <c r="N16" s="805"/>
      <c r="O16" s="386"/>
      <c r="P16" s="466" t="s">
        <v>602</v>
      </c>
      <c r="Q16" s="992"/>
      <c r="R16" s="1022"/>
      <c r="S16" s="389" t="str">
        <f>IF('Start Page'!$AB$22="million gallons (US)","MG/Yr",IF('Start Page'!$AB$22="Megalitres (thousand cubic metres)","ML/Yr",IF('Start Page'!$AB$22="acre-feet","acre-ft/yr","")))</f>
        <v>MG/Yr</v>
      </c>
      <c r="T16" s="807"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3" t="s">
        <v>728</v>
      </c>
      <c r="D17" s="700"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3" t="s">
        <v>723</v>
      </c>
      <c r="L17" s="491"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807"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729</v>
      </c>
      <c r="U18" s="444"/>
      <c r="V18" s="827"/>
      <c r="W18" s="383"/>
      <c r="X18" s="385"/>
      <c r="Y18" s="84">
        <f>H15+H16+H17+IF(H15&gt;0,ABS(X15),0)+IF(H16&gt;0,ABS(X16),0)+IF(H17&gt;0,(ABS(X17)),)</f>
        <v>44.937549799999999</v>
      </c>
      <c r="Z18" s="115"/>
      <c r="AA18" s="118"/>
      <c r="AB18" s="206"/>
      <c r="AC18" s="206"/>
      <c r="AD18" s="206"/>
      <c r="AE18" s="206"/>
      <c r="AF18" s="205">
        <f>SUM(AF15:AF17)</f>
        <v>0</v>
      </c>
      <c r="AG18" s="118" t="s">
        <v>730</v>
      </c>
    </row>
    <row r="19" spans="1:33" ht="13.5" thickBot="1">
      <c r="A19" s="827"/>
      <c r="B19" s="447"/>
      <c r="C19" s="995" t="s">
        <v>731</v>
      </c>
      <c r="D19" s="995"/>
      <c r="E19" s="995"/>
      <c r="F19" s="995"/>
      <c r="G19" s="205"/>
      <c r="H19" s="727">
        <f>IF(AF18&gt;0,"Select under/over",IF(H15&gt;0,IF(W15=1,H15/(1+O15*AB15),H15-Q15*AB15),0)+IF(H16&gt;0,IF(W16=1,H16/(1+O16*AB16),H16-Q16*AB16),0)-IF(H17&gt;0,IF(W17=1,H17/(1+O17*AB17),H17-Q17*AB17),0))</f>
        <v>43.817517527401996</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735</v>
      </c>
      <c r="D23" s="700" t="s">
        <v>723</v>
      </c>
      <c r="E23" s="463" t="s">
        <v>724</v>
      </c>
      <c r="F23" s="390">
        <f>'Interactive Data Grading'!D177</f>
        <v>9</v>
      </c>
      <c r="G23" s="79"/>
      <c r="H23" s="254">
        <v>37.417999999999999</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14</v>
      </c>
      <c r="Z23" s="845"/>
      <c r="AA23" s="118" t="s">
        <v>736</v>
      </c>
      <c r="AB23" s="206"/>
      <c r="AC23" s="206"/>
      <c r="AD23" s="206"/>
      <c r="AE23" s="206"/>
      <c r="AF23" s="118"/>
      <c r="AG23" s="118"/>
    </row>
    <row r="24" spans="1:33">
      <c r="A24" s="827"/>
      <c r="B24" s="448" t="s">
        <v>544</v>
      </c>
      <c r="C24" s="803" t="s">
        <v>737</v>
      </c>
      <c r="D24" s="700"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0</v>
      </c>
      <c r="Z24" s="835"/>
      <c r="AA24" s="118"/>
      <c r="AB24" s="206"/>
      <c r="AC24" s="206"/>
      <c r="AD24" s="206"/>
      <c r="AE24" s="206"/>
      <c r="AF24" s="118"/>
      <c r="AG24" s="118"/>
    </row>
    <row r="25" spans="1:33" ht="13.35" customHeight="1">
      <c r="A25" s="827"/>
      <c r="B25" s="448" t="s">
        <v>546</v>
      </c>
      <c r="C25" s="803" t="s">
        <v>738</v>
      </c>
      <c r="D25" s="700" t="s">
        <v>723</v>
      </c>
      <c r="E25" s="463" t="s">
        <v>724</v>
      </c>
      <c r="F25" s="390" t="str">
        <f>'Interactive Data Grading'!D224</f>
        <v>n/a</v>
      </c>
      <c r="G25" s="79"/>
      <c r="H25" s="395">
        <v>0</v>
      </c>
      <c r="I25" s="468"/>
      <c r="J25" s="805" t="str">
        <f>IF('Start Page'!$AB$22="million gallons (US)","MG/Yr",IF('Start Page'!$AB$22="Megalitres (thousand cubic metres)","ML/Yr",IF('Start Page'!$AB$22="acre-feet","Acre-ft/Yr","")))</f>
        <v>MG/Yr</v>
      </c>
      <c r="K25" s="805"/>
      <c r="L25" s="805"/>
      <c r="M25" s="805"/>
      <c r="N25" s="805"/>
      <c r="O25" s="205"/>
      <c r="P25" s="813" t="s">
        <v>599</v>
      </c>
      <c r="Q25" s="205"/>
      <c r="R25" s="118"/>
      <c r="S25" s="118"/>
      <c r="T25" s="118"/>
      <c r="U25" s="199"/>
      <c r="V25" s="827"/>
      <c r="W25" s="383"/>
      <c r="X25" s="118"/>
      <c r="Y25" s="754">
        <f>H23+H25</f>
        <v>37.417999999999999</v>
      </c>
      <c r="Z25" s="835"/>
      <c r="AA25" s="118"/>
      <c r="AB25" s="206"/>
      <c r="AC25" s="206"/>
      <c r="AD25" s="206"/>
      <c r="AE25" s="206"/>
      <c r="AF25" s="439" t="s">
        <v>739</v>
      </c>
      <c r="AG25" s="118"/>
    </row>
    <row r="26" spans="1:33" ht="15" customHeight="1" thickBot="1">
      <c r="A26" s="827"/>
      <c r="B26" s="448" t="s">
        <v>550</v>
      </c>
      <c r="C26" s="803" t="s">
        <v>740</v>
      </c>
      <c r="D26" s="700" t="s">
        <v>723</v>
      </c>
      <c r="E26" s="463" t="s">
        <v>724</v>
      </c>
      <c r="F26" s="390">
        <f>'Interactive Data Grading'!D247</f>
        <v>3</v>
      </c>
      <c r="G26" s="79"/>
      <c r="H26" s="727">
        <f>IF(OR(W26=1,AND(W26=2,Q26=0)),O26*SUM(H23:H24),Q26)</f>
        <v>9.3545000000000003E-2</v>
      </c>
      <c r="I26" s="468"/>
      <c r="J26" s="805" t="str">
        <f>IF('Start Page'!$AB$22="million gallons (US)","MG/Yr",IF('Start Page'!$AB$22="Megalitres (thousand cubic metres)","ML/Yr",IF('Start Page'!$AB$22="acre-feet","Acre-ft/Yr","")))</f>
        <v>MG/Yr</v>
      </c>
      <c r="K26" s="805"/>
      <c r="L26" s="805"/>
      <c r="M26" s="805"/>
      <c r="N26" s="805"/>
      <c r="O26" s="391">
        <v>2.5000000000000001E-3</v>
      </c>
      <c r="P26" s="524" t="s">
        <v>611</v>
      </c>
      <c r="Q26" s="992">
        <v>9.734</v>
      </c>
      <c r="R26" s="992"/>
      <c r="S26" s="389" t="str">
        <f>IF('Start Page'!$AB$22="million gallons (US)","MG/Yr",IF('Start Page'!$AB$22="Megalitres (thousand cubic metres)","ML/Yr",IF('Start Page'!$AB$22="acre-feet","acre-ft/yr","")))</f>
        <v>MG/Yr</v>
      </c>
      <c r="T26" s="195"/>
      <c r="U26" s="199"/>
      <c r="V26" s="827"/>
      <c r="W26" s="384">
        <f>IF(P26="default",1,2)</f>
        <v>1</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742</v>
      </c>
      <c r="D30" s="989"/>
      <c r="E30" s="989"/>
      <c r="F30" s="989"/>
      <c r="G30" s="205"/>
      <c r="H30" s="727">
        <f>SUM(H23:H26)</f>
        <v>37.511544999999998</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6.3059725274019982</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
      </c>
      <c r="D38" s="411"/>
      <c r="F38" s="118"/>
      <c r="G38" s="118"/>
      <c r="H38" s="118"/>
      <c r="I38" s="118"/>
      <c r="J38" s="118"/>
      <c r="K38" s="118"/>
      <c r="L38" s="118"/>
      <c r="M38" s="118"/>
      <c r="N38" s="118"/>
      <c r="O38" s="118"/>
      <c r="P38" s="813" t="s">
        <v>599</v>
      </c>
      <c r="Q38" s="468"/>
      <c r="R38" s="118"/>
      <c r="S38" s="118"/>
      <c r="T38" s="387"/>
      <c r="U38" s="199"/>
      <c r="V38" s="827"/>
      <c r="W38" s="385"/>
      <c r="X38" s="118"/>
      <c r="Y38" s="118"/>
      <c r="Z38" s="118"/>
      <c r="AA38" s="118"/>
      <c r="AB38" s="206"/>
      <c r="AC38" s="206"/>
    </row>
    <row r="39" spans="1:29" ht="13.35" customHeight="1">
      <c r="A39" s="827"/>
      <c r="B39" s="448" t="s">
        <v>554</v>
      </c>
      <c r="C39" s="803" t="s">
        <v>745</v>
      </c>
      <c r="D39" s="700" t="s">
        <v>723</v>
      </c>
      <c r="E39" s="463" t="s">
        <v>724</v>
      </c>
      <c r="F39" s="390">
        <f>'Interactive Data Grading'!D271</f>
        <v>10</v>
      </c>
      <c r="G39" s="152"/>
      <c r="H39" s="847">
        <f>IF(OR(W39=1,AND(W39=2,Q39=0)),O39*SUM(H23:H24),Q39)</f>
        <v>0.52500000000000002</v>
      </c>
      <c r="I39" s="728"/>
      <c r="J39" s="805" t="str">
        <f>IF('Start Page'!$AB$22="million gallons (US)","MG/Yr",IF('Start Page'!$AB$22="Megalitres (thousand cubic metres)","ML/Yr",IF('Start Page'!$AB$22="acre-feet","Acre-ft/Yr","")))</f>
        <v>MG/Yr</v>
      </c>
      <c r="K39" s="805"/>
      <c r="L39" s="805"/>
      <c r="M39" s="805"/>
      <c r="N39" s="805"/>
      <c r="O39" s="391">
        <v>2.5000000000000001E-3</v>
      </c>
      <c r="P39" s="467" t="s">
        <v>614</v>
      </c>
      <c r="Q39" s="992">
        <v>0.52500000000000002</v>
      </c>
      <c r="R39" s="992"/>
      <c r="S39" s="389" t="str">
        <f>IF('Start Page'!$AB$22="million gallons (US)","MG/Yr",IF('Start Page'!$AB$22="Megalitres (thousand cubic metres)","ML/Yr",IF('Start Page'!$AB$22="acre-feet","acre-ft/yr","")))</f>
        <v>MG/Yr</v>
      </c>
      <c r="T39" s="118"/>
      <c r="U39" s="199"/>
      <c r="V39" s="827"/>
      <c r="W39" s="385">
        <f>IF(P39="default",1,2)</f>
        <v>2</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746</v>
      </c>
      <c r="D41" s="700" t="s">
        <v>723</v>
      </c>
      <c r="E41" s="463" t="s">
        <v>724</v>
      </c>
      <c r="F41" s="390">
        <f>'Interactive Data Grading'!D300</f>
        <v>3</v>
      </c>
      <c r="G41" s="152"/>
      <c r="H41" s="848">
        <f>IF(OR(T41="Select…..",T41=""),"Select under/over",IF(W41=1,((H23+H25)/(1-(O41*X41)))-(H23+H25),Q41*X41))</f>
        <v>0.7636326530612223</v>
      </c>
      <c r="I41" s="728"/>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2" t="s">
        <v>747</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748</v>
      </c>
      <c r="D43" s="700" t="s">
        <v>723</v>
      </c>
      <c r="E43" s="463" t="s">
        <v>724</v>
      </c>
      <c r="F43" s="390">
        <f>'Interactive Data Grading'!D322</f>
        <v>3</v>
      </c>
      <c r="G43" s="152"/>
      <c r="H43" s="727">
        <f>IF(OR(W43=1,AND(W43=2,Q43=0)),O43*SUM(H23:H24),Q43)</f>
        <v>9.3545000000000003E-2</v>
      </c>
      <c r="I43" s="728"/>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749</v>
      </c>
      <c r="D46" s="996"/>
      <c r="E46" s="996"/>
      <c r="F46" s="996"/>
      <c r="G46" s="164"/>
      <c r="H46" s="727">
        <f t="array" ref="H46">SUM(IF(ISNUMBER(H39:H43),H39:H43))</f>
        <v>1.3821776530612222</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751</v>
      </c>
      <c r="Y48" s="106" t="s">
        <v>752</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0.7636326530612223</v>
      </c>
      <c r="Y50" s="854">
        <f>IFERROR(IF(W41=1,((H25)/(1-(O41*X41)))-(H25),Q41*H25/(H23+H25)),0)</f>
        <v>0</v>
      </c>
      <c r="Z50" s="855">
        <f>SUM(X50:Y50)</f>
        <v>0.7636326530612223</v>
      </c>
      <c r="AA50" s="990"/>
      <c r="AB50" s="990"/>
      <c r="AC50" s="990"/>
    </row>
    <row r="51" spans="1:29">
      <c r="A51" s="827"/>
      <c r="B51" s="448"/>
      <c r="C51" s="996" t="s">
        <v>754</v>
      </c>
      <c r="D51" s="996"/>
      <c r="E51" s="996"/>
      <c r="F51" s="996"/>
      <c r="G51" s="728"/>
      <c r="H51" s="727">
        <f>IFERROR(H35-H46,"")</f>
        <v>4.9237948743407758</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10591.584897959154</v>
      </c>
      <c r="Y51" s="856">
        <f>Y50*input_VPC</f>
        <v>0</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755</v>
      </c>
      <c r="D53" s="989"/>
      <c r="E53" s="989"/>
      <c r="F53" s="989"/>
      <c r="G53" s="468"/>
      <c r="H53" s="727">
        <f>IFERROR(H46+H51,"")</f>
        <v>6.3059725274019982</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757</v>
      </c>
      <c r="D57" s="989"/>
      <c r="E57" s="989"/>
      <c r="F57" s="989"/>
      <c r="G57" s="728"/>
      <c r="H57" s="727">
        <f>IFERROR(H35+H25+H26,"")</f>
        <v>6.399517527401998</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759</v>
      </c>
      <c r="D61" s="700" t="s">
        <v>723</v>
      </c>
      <c r="E61" s="463" t="s">
        <v>724</v>
      </c>
      <c r="F61" s="390">
        <f>'Interactive Data Grading'!D350</f>
        <v>10</v>
      </c>
      <c r="G61" s="47"/>
      <c r="H61" s="256">
        <v>13</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3" t="s">
        <v>761</v>
      </c>
      <c r="D62" s="700" t="s">
        <v>723</v>
      </c>
      <c r="E62" s="463" t="s">
        <v>724</v>
      </c>
      <c r="F62" s="390">
        <f>'Interactive Data Grading'!D374</f>
        <v>10</v>
      </c>
      <c r="G62" s="47"/>
      <c r="H62" s="396">
        <v>755</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3" t="s">
        <v>763</v>
      </c>
      <c r="D63" s="47"/>
      <c r="E63" s="405"/>
      <c r="F63" s="210"/>
      <c r="G63" s="47"/>
      <c r="H63" s="858">
        <f>IF(ISERROR(H62/H61),"",H62/H61)</f>
        <v>58.07692307692308</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764</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3" t="s">
        <v>766</v>
      </c>
      <c r="D66" s="700" t="s">
        <v>723</v>
      </c>
      <c r="E66" s="463" t="s">
        <v>724</v>
      </c>
      <c r="F66" s="390">
        <f>'Interactive Data Grading'!D398</f>
        <v>10</v>
      </c>
      <c r="G66" s="47"/>
      <c r="H66" s="256">
        <v>20.9</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20.9</v>
      </c>
      <c r="X67" s="171" t="s">
        <v>769</v>
      </c>
      <c r="Y67" s="171"/>
      <c r="Z67" s="171"/>
    </row>
    <row r="68" spans="1:26">
      <c r="A68" s="827"/>
      <c r="B68" s="448" t="s">
        <v>577</v>
      </c>
      <c r="C68" s="803" t="s">
        <v>770</v>
      </c>
      <c r="D68" s="700" t="s">
        <v>723</v>
      </c>
      <c r="E68" s="463" t="s">
        <v>724</v>
      </c>
      <c r="F68" s="390">
        <f>'Interactive Data Grading'!D422</f>
        <v>8</v>
      </c>
      <c r="G68" s="47"/>
      <c r="H68" s="256">
        <v>74.599999999999994</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3" t="s">
        <v>774</v>
      </c>
      <c r="D76" s="700" t="s">
        <v>723</v>
      </c>
      <c r="E76" s="425" t="s">
        <v>724</v>
      </c>
      <c r="F76" s="390">
        <f>'Interactive Data Grading'!D446</f>
        <v>10</v>
      </c>
      <c r="G76" s="118"/>
      <c r="H76" s="864">
        <v>13.87</v>
      </c>
      <c r="I76" s="118"/>
      <c r="J76" s="1003" t="s">
        <v>775</v>
      </c>
      <c r="K76" s="1004"/>
      <c r="L76" s="1004"/>
      <c r="M76" s="1005"/>
      <c r="N76" s="118"/>
      <c r="O76" s="1006" t="str">
        <f>IF(AND(NOT(ISBLANK(H76)),ISBLANK(J76)),"&lt;----Enter units","")</f>
        <v/>
      </c>
      <c r="P76" s="1006"/>
      <c r="Q76" s="1010" t="s">
        <v>776</v>
      </c>
      <c r="R76" s="1010"/>
      <c r="S76" s="1010"/>
      <c r="T76" s="118"/>
      <c r="U76" s="199"/>
      <c r="V76" s="827"/>
      <c r="W76" s="118"/>
      <c r="X76" s="118"/>
      <c r="Y76" s="118"/>
      <c r="Z76" s="118"/>
    </row>
    <row r="77" spans="1:26" ht="13.5" customHeight="1">
      <c r="A77" s="827"/>
      <c r="B77" s="448" t="s">
        <v>583</v>
      </c>
      <c r="C77" s="803" t="s">
        <v>777</v>
      </c>
      <c r="D77" s="700" t="s">
        <v>723</v>
      </c>
      <c r="E77" s="463" t="s">
        <v>724</v>
      </c>
      <c r="F77" s="390">
        <f>'Interactive Data Grading'!D469</f>
        <v>10</v>
      </c>
      <c r="G77" s="118"/>
      <c r="H77" s="864">
        <v>334.66</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312710</v>
      </c>
      <c r="R77" s="1008"/>
      <c r="S77" s="1009"/>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4"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Volume from Own Sources (VOS)</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Unauthorized Consumption (UC)</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63" activePane="bottomLeft" state="frozen"/>
      <selection activeCell="B15" sqref="B15:F17"/>
      <selection pane="bottomLeft" activeCell="D277" sqref="D277"/>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- 660 Lake Heritage</v>
      </c>
      <c r="C1" s="495"/>
      <c r="D1" s="496"/>
      <c r="E1" s="750" t="s">
        <v>790</v>
      </c>
    </row>
    <row r="2" spans="1:20" ht="30.6" customHeight="1">
      <c r="A2" s="367"/>
      <c r="B2" s="749">
        <f>IF(ISBLANK('Start Page'!AB18),"",'Start Page'!AB18)</f>
        <v>2023</v>
      </c>
      <c r="C2" s="367"/>
      <c r="D2" s="367"/>
      <c r="E2" s="1040" t="s">
        <v>791</v>
      </c>
    </row>
    <row r="3" spans="1:20" ht="38.25" customHeight="1">
      <c r="A3" s="367"/>
      <c r="B3" s="706"/>
      <c r="C3" s="367"/>
      <c r="D3" s="367"/>
      <c r="E3" s="1041"/>
    </row>
    <row r="4" spans="1:20" ht="1.35" customHeight="1"/>
    <row r="5" spans="1:20" s="368" customFormat="1" ht="16.350000000000001" customHeight="1">
      <c r="A5" s="1034" t="s">
        <v>792</v>
      </c>
      <c r="B5" s="1035"/>
      <c r="C5" s="1036" t="s">
        <v>793</v>
      </c>
      <c r="D5" s="1036"/>
      <c r="E5" s="750" t="s">
        <v>794</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805</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52</v>
      </c>
      <c r="E11" s="628" t="str">
        <f>IFERROR(IF(OR(D20=10,NOT(ISNUMBER(D20))),"",IF(I11=I20,"Limiting","")),"")</f>
        <v>Limiting</v>
      </c>
      <c r="F11" s="258"/>
      <c r="G11" s="669">
        <f>IFERROR(IF(H9&lt;7,1,IF(LEN(D11)&gt;0,1,0)),"")</f>
        <v>1</v>
      </c>
      <c r="H11" s="677">
        <f>VLOOKUP('Interactive Data Grading'!D11,VOS!$D$6:$M$16,10,FALSE)</f>
        <v>7</v>
      </c>
      <c r="I11" s="678">
        <f>IF(AND(H11&gt;=7,H14&gt;=7),MAX(H11,9),IF(AND(H11&gt;3,H11&lt;7,H14&gt;3,H14&lt;7),MAX(H11,H14),IF(H14&gt;=7,MAX(7,H11),H11)))</f>
        <v>9</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52</v>
      </c>
      <c r="E14" s="628" t="str">
        <f t="shared" ref="E14:E19" si="1">IFERROR(IF(OR($D$20=10,NOT(ISNUMBER($D$20))),"",IF(I14=$I$20,"Limiting","")),"")</f>
        <v>Limiting</v>
      </c>
      <c r="F14" s="258"/>
      <c r="G14" s="669">
        <f>IF(D13=VOS!F23,1,IFERROR(IF(H9&lt;7,1,IF(LEN(D14)&gt;0,1,0)),""))</f>
        <v>1</v>
      </c>
      <c r="H14" s="677">
        <f>VLOOKUP('Interactive Data Grading'!D14,VOS!$G$6:$M$16,7,FALSE)</f>
        <v>7</v>
      </c>
      <c r="I14" s="678">
        <f>IF(AND(H11&gt;=7,H14&gt;=7),MAX(H14,9),IF(AND(H11&gt;3,H11&lt;7,H14&gt;3,H14&lt;7),MAX(H11,H14),IF(H11&gt;=7,MAX(7,H14),H14)))</f>
        <v>9</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9</v>
      </c>
      <c r="E20" s="628"/>
      <c r="F20" s="258"/>
      <c r="G20" s="670">
        <f>MIN(G9:G19)</f>
        <v>1</v>
      </c>
      <c r="H20" s="680">
        <f>MIN(H9:H19)</f>
        <v>7</v>
      </c>
      <c r="I20" s="680">
        <f t="array" ref="I20">MIN(IF(ISNUMBER(I9:I19),I9:I19))</f>
        <v>9</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792</v>
      </c>
      <c r="B36" s="1035"/>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89</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89</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89</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792</v>
      </c>
      <c r="B59" s="1035"/>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38" t="s">
        <v>816</v>
      </c>
      <c r="D64" s="1039"/>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792</v>
      </c>
      <c r="B89" s="1035"/>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792</v>
      </c>
      <c r="B112" s="1035"/>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826</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792</v>
      </c>
      <c r="B143" s="1035"/>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792</v>
      </c>
      <c r="B166" s="1035"/>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792</v>
      </c>
      <c r="B193" s="1035"/>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792</v>
      </c>
      <c r="B216" s="1035"/>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49</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t="str">
        <f>IFERROR((IF(D219="No","n/a",H224)),"")</f>
        <v>n/a</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792</v>
      </c>
      <c r="B240" s="1035"/>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This Data Grading Criteria is hidden when the 'default' input is used on the Worksheet</v>
      </c>
      <c r="D241" s="1043"/>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Default is used because Custom Value is selected but no value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3</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792</v>
      </c>
      <c r="B263" s="1035"/>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
      </c>
      <c r="D264" s="1043"/>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A system specific volume has been entered</v>
      </c>
      <c r="F266" s="258"/>
      <c r="H266" s="669" t="s">
        <v>849</v>
      </c>
      <c r="I266" s="676"/>
      <c r="J266" s="669" t="s">
        <v>845</v>
      </c>
    </row>
    <row r="267" spans="1:18" ht="27.6" customHeight="1">
      <c r="A267" s="163"/>
      <c r="B267" s="441" t="s">
        <v>352</v>
      </c>
      <c r="C267" s="743" t="str">
        <f>SDHE!B35</f>
        <v>Which best describes how the input was derived?</v>
      </c>
      <c r="D267" s="261" t="s">
        <v>369</v>
      </c>
      <c r="E267" s="628" t="str">
        <f>IF(OR($D$271=10,$D$271=3),"",IFERROR(IF(H267=MIN($H$267:$H$270),"Limiting",""),""))</f>
        <v/>
      </c>
      <c r="F267" s="258"/>
      <c r="H267" s="677">
        <f>VLOOKUP('Interactive Data Grading'!D267,SDHE!$C$6:$G$15,5,FALSE)</f>
        <v>10</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t="s">
        <v>370</v>
      </c>
      <c r="E268" s="628" t="str">
        <f>IF(OR($D$271=10,$D$271=3),"",IFERROR(IF(H268=MIN($H$267:$H$270),"Limiting",""),""))</f>
        <v/>
      </c>
      <c r="F268" s="258"/>
      <c r="H268" s="677">
        <f>VLOOKUP('Interactive Data Grading'!D268,SDHE!$D$6:$G$15,4,FALSE)</f>
        <v>10</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t="s">
        <v>371</v>
      </c>
      <c r="E269" s="628" t="str">
        <f>IF(OR($D$271=10,$D$271=3),"",IFERROR(IF(H269=MIN($H$267:$H$270),"Limiting",""),""))</f>
        <v/>
      </c>
      <c r="F269" s="258"/>
      <c r="H269" s="677">
        <f>VLOOKUP('Interactive Data Grading'!D269,SDHE!$E$6:$G$15,3,FALSE)</f>
        <v>10</v>
      </c>
      <c r="I269" s="678"/>
    </row>
    <row r="270" spans="1:18" ht="27.6" customHeight="1">
      <c r="A270" s="163"/>
      <c r="B270" s="441" t="s">
        <v>355</v>
      </c>
      <c r="C270" s="743" t="str">
        <f>SDHE!B38</f>
        <v>Which best describes auditing that takes place on the billing process?</v>
      </c>
      <c r="D270" s="261" t="s">
        <v>372</v>
      </c>
      <c r="E270" s="628" t="str">
        <f>IF(OR($D$271=10,$D$271=3),"",IFERROR(IF(H270=MIN($H$267:$H$270),"Limiting",""),""))</f>
        <v/>
      </c>
      <c r="F270" s="258"/>
      <c r="H270" s="677">
        <f>VLOOKUP('Interactive Data Grading'!D270,SDHE!$F$6:$G$15,2,FALSE)</f>
        <v>10</v>
      </c>
      <c r="I270" s="678"/>
      <c r="N270" s="1042"/>
      <c r="O270" s="1042"/>
    </row>
    <row r="271" spans="1:18" ht="27.6" customHeight="1">
      <c r="A271" s="163"/>
      <c r="B271" s="163"/>
      <c r="C271" s="259" t="s">
        <v>808</v>
      </c>
      <c r="D271" s="753">
        <f>IFERROR((IF(D266=SDHE!A3,3,H271)),"")</f>
        <v>10</v>
      </c>
      <c r="E271" s="628"/>
      <c r="F271" s="258"/>
      <c r="H271" s="680">
        <f>MIN(H267:H270)</f>
        <v>10</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792</v>
      </c>
      <c r="B287" s="1035"/>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326</v>
      </c>
      <c r="E292" s="628" t="str">
        <f t="shared" si="17"/>
        <v>Limiting</v>
      </c>
      <c r="F292" s="258"/>
      <c r="G292" s="669">
        <f t="shared" si="16"/>
        <v>1</v>
      </c>
      <c r="H292" s="677">
        <f>VLOOKUP('Interactive Data Grading'!D292,CMI!$D$6:$J$16,7,FALSE)</f>
        <v>3</v>
      </c>
      <c r="I292" s="677">
        <f>H292</f>
        <v>3</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t="e">
        <f>IF(OR(D292=CMI!D23,D292=CMI!D24),X,H293)</f>
        <v>#NAME?</v>
      </c>
      <c r="J293" s="669" t="s">
        <v>295</v>
      </c>
    </row>
    <row r="294" spans="1:18" ht="29.45" customHeight="1">
      <c r="A294" s="163"/>
      <c r="B294" s="441" t="s">
        <v>297</v>
      </c>
      <c r="C294" s="743" t="str">
        <f>CMI!B38</f>
        <v>For mid and large size customer meters, which best describes the frequency of the proactive testing program?</v>
      </c>
      <c r="D294" s="264" t="s">
        <v>327</v>
      </c>
      <c r="E294" s="628" t="str">
        <f t="shared" si="17"/>
        <v>Limiting</v>
      </c>
      <c r="F294" s="258"/>
      <c r="G294" s="669">
        <f t="shared" si="16"/>
        <v>1</v>
      </c>
      <c r="H294" s="677">
        <f>VLOOKUP('Interactive Data Grading'!D294,CMI!$F$6:$J$16,5,FALSE)</f>
        <v>3</v>
      </c>
      <c r="I294" s="677">
        <f>H294</f>
        <v>3</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t="e">
        <f>IF(OR(D294=CMI!F23,D294=CMI!F24),X,H295)</f>
        <v>#NAME?</v>
      </c>
      <c r="J295" s="669" t="s">
        <v>297</v>
      </c>
    </row>
    <row r="296" spans="1:18" ht="29.45" customHeight="1">
      <c r="A296" s="163"/>
      <c r="B296" s="441" t="s">
        <v>299</v>
      </c>
      <c r="C296" s="743" t="str">
        <f>CMI!B40</f>
        <v>Which best describes how the input was derived?</v>
      </c>
      <c r="D296" s="264" t="s">
        <v>334</v>
      </c>
      <c r="E296" s="628" t="str">
        <f t="shared" si="17"/>
        <v/>
      </c>
      <c r="F296" s="258"/>
      <c r="G296" s="669">
        <f t="shared" si="16"/>
        <v>1</v>
      </c>
      <c r="H296" s="677">
        <f>VLOOKUP('Interactive Data Grading'!D296,CMI!$H$6:$J$16,3,FALSE)</f>
        <v>6</v>
      </c>
      <c r="I296" s="677">
        <f>H296</f>
        <v>6</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3</v>
      </c>
      <c r="E300" s="628"/>
      <c r="F300" s="258"/>
      <c r="G300" s="669">
        <f>MIN(G290:G299)</f>
        <v>1</v>
      </c>
      <c r="H300" s="680">
        <f t="array" ref="H300">MIN(IF(ISNUMBER(H291:H297),H291:H297))</f>
        <v>3</v>
      </c>
      <c r="I300" s="680">
        <f t="array" ref="I300">MIN(IF(ISNUMBER(I290:I299),I290:I299))</f>
        <v>3</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792</v>
      </c>
      <c r="B316" s="1035"/>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792</v>
      </c>
      <c r="B343" s="1035"/>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792</v>
      </c>
      <c r="B366" s="1035"/>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792</v>
      </c>
      <c r="B390" s="1035"/>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792</v>
      </c>
      <c r="B414" s="1035"/>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792</v>
      </c>
      <c r="B438" s="1035"/>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792</v>
      </c>
      <c r="B462" s="1035"/>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3" t="s">
        <v>875</v>
      </c>
      <c r="AO2" s="1064"/>
      <c r="AP2" s="1064"/>
      <c r="AQ2" s="1065"/>
      <c r="AR2" s="772"/>
      <c r="AS2" s="1063" t="s">
        <v>876</v>
      </c>
      <c r="AT2" s="1064"/>
      <c r="AU2" s="1064"/>
      <c r="AV2" s="1065"/>
      <c r="AW2" s="772"/>
      <c r="AX2" s="1063" t="s">
        <v>877</v>
      </c>
      <c r="AY2" s="1064"/>
      <c r="AZ2" s="1064"/>
      <c r="BA2" s="1065"/>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- 660 Lake Heritage</v>
      </c>
      <c r="Q3" s="552"/>
      <c r="R3" s="552"/>
      <c r="S3" s="552"/>
      <c r="T3" s="552"/>
      <c r="U3" s="552"/>
      <c r="V3" s="552"/>
      <c r="W3" s="552"/>
      <c r="X3" s="552"/>
      <c r="Y3" s="552"/>
      <c r="Z3" s="552"/>
      <c r="AA3" s="552"/>
      <c r="AB3" s="552"/>
      <c r="AC3" s="549"/>
      <c r="AD3" s="550"/>
      <c r="AE3" s="551"/>
      <c r="AF3" s="548" t="s">
        <v>705</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881</v>
      </c>
      <c r="AE5" s="610"/>
      <c r="AF5" s="610"/>
      <c r="AG5" s="610"/>
      <c r="AH5" s="1076" t="s">
        <v>882</v>
      </c>
      <c r="AI5" s="1076"/>
      <c r="AJ5" s="1076"/>
      <c r="AK5" s="1076"/>
      <c r="AL5" s="1076"/>
      <c r="AM5" s="1076"/>
      <c r="AN5" s="1076"/>
      <c r="AO5" s="1076"/>
      <c r="AP5" s="1076"/>
      <c r="AQ5" s="1076"/>
      <c r="AR5" s="1076"/>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884</v>
      </c>
      <c r="Z6" s="1071">
        <v>0.73699999999999999</v>
      </c>
      <c r="AA6" s="1071"/>
      <c r="AB6" s="761" t="s">
        <v>885</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84</v>
      </c>
      <c r="BS6" s="585"/>
      <c r="BT6" s="584"/>
      <c r="BU6" s="586"/>
      <c r="BV6" s="586"/>
      <c r="BW6" s="586"/>
      <c r="BX6" s="50"/>
      <c r="BY6" s="50"/>
    </row>
    <row r="7" spans="1:77" s="190" customFormat="1" ht="12.95" customHeight="1">
      <c r="A7" s="189"/>
      <c r="B7" s="265"/>
      <c r="C7" s="50"/>
      <c r="D7" s="193"/>
      <c r="E7" s="711"/>
      <c r="F7" s="193"/>
      <c r="G7" s="193"/>
      <c r="H7" s="553"/>
      <c r="I7" s="654" t="s">
        <v>887</v>
      </c>
      <c r="J7" s="1068">
        <f>BR6</f>
        <v>84</v>
      </c>
      <c r="K7" s="1068"/>
      <c r="L7" s="655"/>
      <c r="M7" s="655"/>
      <c r="N7" s="655"/>
      <c r="O7" s="655"/>
      <c r="P7" s="655"/>
      <c r="Q7" s="654" t="s">
        <v>888</v>
      </c>
      <c r="R7" s="1067" t="str">
        <f>IF(BO2&gt;0,"",BR4)</f>
        <v>Tier IV (71-90)</v>
      </c>
      <c r="S7" s="1067"/>
      <c r="T7" s="1067"/>
      <c r="U7" s="1067"/>
      <c r="V7" s="1067"/>
      <c r="W7" s="553"/>
      <c r="X7" s="763" t="s">
        <v>889</v>
      </c>
      <c r="AD7" s="497"/>
      <c r="AE7" s="719"/>
      <c r="AF7" s="719"/>
      <c r="AG7" s="719"/>
      <c r="AH7" s="1070" t="s">
        <v>890</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75" t="s">
        <v>893</v>
      </c>
      <c r="I8" s="1075"/>
      <c r="J8" s="1072" t="s">
        <v>585</v>
      </c>
      <c r="K8" s="1072"/>
      <c r="L8" s="1072"/>
      <c r="M8" s="1072"/>
      <c r="N8" s="1072"/>
      <c r="O8" s="1072"/>
      <c r="P8" s="1073" t="s">
        <v>894</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84</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114.73333333333333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result is above 90th %ile</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915</v>
      </c>
      <c r="BP15" s="590"/>
      <c r="BR15" s="579" t="s">
        <v>916</v>
      </c>
      <c r="BS15" s="606">
        <f>IF($BO$2&gt;0,"",IFERROR(SUM(N49:N50)/Worksheet!H62,""))</f>
        <v>27.574306278948399</v>
      </c>
      <c r="BT15" s="591"/>
      <c r="BU15" s="664" t="s">
        <v>910</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27.574306278948399</v>
      </c>
      <c r="BT16" s="591" t="s">
        <v>919</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27.574306278948399</v>
      </c>
      <c r="AB18" s="1061"/>
      <c r="AC18" s="1061"/>
      <c r="AD18" s="730" t="str">
        <f>BD13</f>
        <v>$/conn/year</v>
      </c>
      <c r="AE18" s="731"/>
      <c r="AF18" s="732"/>
      <c r="AG18" s="732"/>
      <c r="AH18" s="733"/>
      <c r="AI18" s="733"/>
      <c r="AJ18" s="731"/>
      <c r="AK18" s="1061">
        <f>BS22</f>
        <v>25.391793441005504</v>
      </c>
      <c r="AL18" s="1061"/>
      <c r="AM18" s="1061"/>
      <c r="AN18" s="730" t="str">
        <f>BD13</f>
        <v>$/conn/year</v>
      </c>
      <c r="AO18" s="731"/>
      <c r="AP18" s="731"/>
      <c r="AQ18" s="731"/>
      <c r="AR18" s="731"/>
      <c r="AS18" s="731"/>
      <c r="AT18" s="731"/>
      <c r="AU18" s="1061">
        <f>BS29</f>
        <v>2.1825128379428929</v>
      </c>
      <c r="AV18" s="1061"/>
      <c r="AW18" s="1061"/>
      <c r="AX18" s="730" t="str">
        <f>BD13</f>
        <v>$/conn/year</v>
      </c>
      <c r="AY18" s="576"/>
      <c r="AZ18" s="193"/>
      <c r="BA18" s="193"/>
      <c r="BB18" s="272"/>
      <c r="BC18" s="89"/>
      <c r="BD18" s="50" t="s">
        <v>911</v>
      </c>
      <c r="BE18" s="182">
        <f>(((5.41*Worksheet!H61)+(0.15*Worksheet!H62)+(7.5*(Worksheet!H62*Worksheet!W67/5280)))*Worksheet!H68)/1000000*365</f>
        <v>5.6090123278124988</v>
      </c>
      <c r="BN18" s="535"/>
      <c r="BO18" s="591" t="s">
        <v>928</v>
      </c>
      <c r="BP18" s="593">
        <f>BQ18-BQ17</f>
        <v>8.9525318444022357</v>
      </c>
      <c r="BQ18" s="758">
        <f t="shared" si="0"/>
        <v>18.283980813778896</v>
      </c>
      <c r="BR18" s="591" t="s">
        <v>900</v>
      </c>
      <c r="BS18" s="595">
        <f>SUM(BP16:BP20)-SUM(BS16,BS17)</f>
        <v>87.103672307787718</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4"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17.213404204753889</v>
      </c>
      <c r="BF19" s="181">
        <f>BE19*325851.427242/Worksheet!H62/365</f>
        <v>20.353850413907278</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33.559402137499994</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25.391793441005504</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24.233075430263664</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928</v>
      </c>
      <c r="BP25" s="593">
        <f>BQ25-BQ24</f>
        <v>5.2798362211473915</v>
      </c>
      <c r="BQ25" s="758">
        <f t="shared" si="1"/>
        <v>6.1547896930365926</v>
      </c>
      <c r="BR25" s="591" t="s">
        <v>900</v>
      </c>
      <c r="BS25" s="595">
        <f>SUM(BP23:BP27)-SUM(BS23,BS24)</f>
        <v>23.845346223379444</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22.882962995199122</v>
      </c>
      <c r="AB29" s="1062"/>
      <c r="AC29" s="1062"/>
      <c r="AD29" s="729" t="str">
        <f>BD10</f>
        <v>gal/conn/day</v>
      </c>
      <c r="AE29" s="729"/>
      <c r="AF29" s="734"/>
      <c r="AG29" s="734"/>
      <c r="AH29" s="575"/>
      <c r="AI29" s="575"/>
      <c r="AJ29" s="575"/>
      <c r="AK29" s="1062">
        <f>BS43</f>
        <v>5.0156133650048886</v>
      </c>
      <c r="AL29" s="1062"/>
      <c r="AM29" s="1062"/>
      <c r="AN29" s="730" t="str">
        <f>BD10</f>
        <v>gal/conn/day</v>
      </c>
      <c r="AO29" s="575"/>
      <c r="AP29" s="575"/>
      <c r="AQ29" s="575"/>
      <c r="AR29" s="575"/>
      <c r="AS29" s="575"/>
      <c r="AT29" s="575"/>
      <c r="AU29" s="1057">
        <f>BS55</f>
        <v>17.867349630194234</v>
      </c>
      <c r="AV29" s="1057"/>
      <c r="AW29" s="1057"/>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2.1825128379428929</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2.1825128379428929</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74.599999999999994</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68.343417578593119</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22.882962995199122</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result is below 10th %ile</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22.882962995199122</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225.41662519596352</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0.87783634382936793</v>
      </c>
      <c r="AI41" s="1056"/>
      <c r="AJ41" s="1056"/>
      <c r="AK41" s="729" t="s">
        <v>949</v>
      </c>
      <c r="AL41" s="661"/>
      <c r="AM41" s="662"/>
      <c r="AN41" s="658"/>
      <c r="AO41" s="658"/>
      <c r="AP41" s="658"/>
      <c r="AQ41" s="658"/>
      <c r="AR41" s="658"/>
      <c r="AS41" s="1055">
        <f>BS69</f>
        <v>1037.6806900612805</v>
      </c>
      <c r="AT41" s="1055"/>
      <c r="AU41" s="1055"/>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5.6090123278124988</v>
      </c>
      <c r="AL43" s="1054"/>
      <c r="AM43" s="1054"/>
      <c r="AN43" s="1054"/>
      <c r="AO43" s="773" t="str">
        <f>BD7</f>
        <v>MG/Yr</v>
      </c>
      <c r="AP43" s="575"/>
      <c r="AQ43" s="575"/>
      <c r="AR43" s="575"/>
      <c r="AS43" s="1054">
        <f>IF(BG19=1,BF19,IFERROR(AK43*1000000/Worksheet!H62/365,""))</f>
        <v>20.353850413907278</v>
      </c>
      <c r="AT43" s="1054"/>
      <c r="AU43" s="1054"/>
      <c r="AV43" s="1054"/>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5.0156133650048886</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5.0156133650048886</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27.365249230248281</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51" t="s">
        <v>957</v>
      </c>
      <c r="J47" s="1051"/>
      <c r="K47" s="1051"/>
      <c r="L47" s="1051"/>
      <c r="M47" s="572"/>
      <c r="N47" s="1051" t="s">
        <v>895</v>
      </c>
      <c r="O47" s="1051"/>
      <c r="P47" s="1051"/>
      <c r="Q47" s="1051"/>
      <c r="R47" s="1060" t="s">
        <v>958</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51" t="str">
        <f>BD7</f>
        <v>MG/Yr</v>
      </c>
      <c r="J48" s="1051"/>
      <c r="K48" s="1051"/>
      <c r="L48" s="1051"/>
      <c r="M48" s="572"/>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744</v>
      </c>
      <c r="I49" s="1049">
        <f>IF(ISBLANK('Start Page'!$AB$22),"",Worksheet!H46)</f>
        <v>1.3821776530612222</v>
      </c>
      <c r="J49" s="1049"/>
      <c r="K49" s="1049"/>
      <c r="L49" s="1049"/>
      <c r="M49" s="558"/>
      <c r="N49" s="1050">
        <f>IF(OR(ISBLANK('Start Page'!$AB$22),ISBLANK(Worksheet!J76)),"",(SUM(Worksheet!H43+Worksheet!H39+Worksheet!X50)*Worksheet!H76)*INDEX(Sheet1!B2:D4,MATCH('Start Page'!AB22,Sheet1!A2:A4,0),MATCH(Worksheet!J76,Sheet1!B1:D1,0))+Worksheet!Y50*Worksheet!H77)</f>
        <v>19170.804047959155</v>
      </c>
      <c r="O49" s="1050"/>
      <c r="P49" s="1050"/>
      <c r="Q49" s="1050"/>
      <c r="R49" s="1048" t="s">
        <v>579</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49">
        <f>IF(ISBLANK('Start Page'!$AB$22),"",Worksheet!H51)</f>
        <v>4.9237948743407758</v>
      </c>
      <c r="J50" s="1049"/>
      <c r="K50" s="1049"/>
      <c r="L50" s="1049"/>
      <c r="M50" s="558"/>
      <c r="N50" s="1050">
        <f>IFERROR(IF(Worksheet!H41="Select under/over","",IF(ISBLANK('Start Page'!AB22),"",Worksheet!H51*(IF(BD29=FALSE,Worksheet!H77,IF(BD29=TRUE,Worksheet!H76*INDEX(Sheet1!B2:D4,MATCH('Start Page'!AB22,Sheet1!A2:A4,0),MATCH(Worksheet!J76,Sheet1!B1:D1,0)),""))))),"")</f>
        <v>1647.7971926468842</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49">
        <f>IF(ISBLANK('Start Page'!$AB$22),"",SUM(Worksheet!H25:H26))</f>
        <v>9.3545000000000003E-2</v>
      </c>
      <c r="J51" s="1049"/>
      <c r="K51" s="1049"/>
      <c r="L51" s="1049"/>
      <c r="M51" s="558"/>
      <c r="N51" s="1050">
        <f>IFERROR(IF(SUM(Sheet1!D90:D91)=0,"",SUM(Sheet1!D90:D91)),"")</f>
        <v>31.305769700000003</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49">
        <f>IF(SUM(I49:I51)=0,"",SUM(I49:I51))</f>
        <v>6.399517527401998</v>
      </c>
      <c r="J52" s="1049"/>
      <c r="K52" s="1049"/>
      <c r="L52" s="1049"/>
      <c r="M52" s="558"/>
      <c r="N52" s="1050">
        <f>IF(SUM(N49:N51)=0,"",SUM(N49:N51))</f>
        <v>20849.90701030604</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17.867349630194234</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17.867349630194234</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211.15168271901877</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0.87783634382936793</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0</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11.266177727169243</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1037.6806900612805</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1037.6806900612805</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11013.388219639222</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22.265808526427506</v>
      </c>
      <c r="BQ83" s="608">
        <f>BP83+BQ78</f>
        <v>74.599999999999994</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G13" sqref="G13:G15"/>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- 660 Lake Heritage</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6"/>
      <c r="H7" s="1086"/>
    </row>
    <row r="8" spans="2:21" ht="5.45" customHeight="1">
      <c r="F8" s="810"/>
      <c r="G8" s="810"/>
      <c r="H8" s="810"/>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4" t="s">
        <v>875</v>
      </c>
      <c r="C11" s="411"/>
      <c r="D11" s="704" t="s">
        <v>876</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84"/>
      <c r="G14" s="1081"/>
      <c r="H14" s="1081"/>
    </row>
    <row r="15" spans="2:21" ht="28.9" customHeight="1">
      <c r="B15" s="705"/>
      <c r="C15" s="411"/>
      <c r="D15" s="705"/>
      <c r="F15" s="1085"/>
      <c r="G15" s="1082"/>
      <c r="H15" s="1082"/>
    </row>
    <row r="16" spans="2:21" ht="28.9" customHeight="1">
      <c r="B16" s="427"/>
      <c r="C16" s="411"/>
      <c r="D16" s="427"/>
      <c r="F16" s="1083" t="s">
        <v>980</v>
      </c>
      <c r="G16" s="1080"/>
      <c r="H16" s="1080"/>
    </row>
    <row r="17" spans="2:8" ht="28.9" customHeight="1">
      <c r="B17" s="704" t="s">
        <v>875</v>
      </c>
      <c r="C17" s="411"/>
      <c r="D17" s="704"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4" t="s">
        <v>875</v>
      </c>
      <c r="C20" s="411"/>
      <c r="D20" s="704"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4" t="s">
        <v>875</v>
      </c>
      <c r="C23" s="411"/>
      <c r="D23" s="704"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4" t="s">
        <v>875</v>
      </c>
      <c r="C26" s="411"/>
      <c r="D26" s="704"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4" t="s">
        <v>875</v>
      </c>
      <c r="C29" s="411"/>
      <c r="D29" s="704"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4" t="s">
        <v>875</v>
      </c>
      <c r="C32" s="411"/>
      <c r="D32" s="704"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4" t="s">
        <v>875</v>
      </c>
      <c r="C35" s="411"/>
      <c r="D35" s="704"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4" t="s">
        <v>875</v>
      </c>
      <c r="C38" s="411"/>
      <c r="D38" s="704"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4" t="s">
        <v>875</v>
      </c>
      <c r="C41" s="411"/>
      <c r="D41" s="704"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4" t="s">
        <v>875</v>
      </c>
      <c r="C44" s="411"/>
      <c r="D44" s="704"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4" t="s">
        <v>875</v>
      </c>
      <c r="C47" s="411"/>
      <c r="D47" s="704"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4" t="s">
        <v>875</v>
      </c>
      <c r="C50" s="411"/>
      <c r="D50" s="704"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4" t="s">
        <v>875</v>
      </c>
      <c r="C53" s="411"/>
      <c r="D53" s="704"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4" t="s">
        <v>875</v>
      </c>
      <c r="C56" s="411"/>
      <c r="D56" s="704"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4" t="s">
        <v>875</v>
      </c>
      <c r="C59" s="411"/>
      <c r="D59" s="704"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4" t="s">
        <v>875</v>
      </c>
      <c r="C62" s="411"/>
      <c r="D62" s="704"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4" t="s">
        <v>875</v>
      </c>
      <c r="C65" s="411"/>
      <c r="D65" s="704" t="s">
        <v>876</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6 MG/Yr</v>
      </c>
    </row>
    <row r="79" spans="1:6" ht="16.5">
      <c r="B79" s="46"/>
      <c r="C79" s="46"/>
      <c r="D79" s="46"/>
      <c r="E79" s="8" t="str">
        <f>IFERROR("Total Cost of NRW = $"&amp;TEXT(SUM(D90,D91,D94,D95,D96,D97,D99),"#,###")&amp;"/Yr","")</f>
        <v>Total Cost of NRW = $20,850/Yr</v>
      </c>
      <c r="F79" s="46"/>
    </row>
    <row r="80" spans="1:6">
      <c r="A80"/>
      <c r="B80"/>
      <c r="C80" s="47" t="str">
        <f>"Volume ("&amp;Worksheet!J15&amp;")"</f>
        <v>Volume (MG/Yr)</v>
      </c>
      <c r="D80" s="47" t="s">
        <v>1041</v>
      </c>
      <c r="E80" s="79" t="s">
        <v>1042</v>
      </c>
      <c r="F80"/>
    </row>
    <row r="81" spans="1:6">
      <c r="A81" s="118" t="s">
        <v>1043</v>
      </c>
      <c r="B81" s="118"/>
      <c r="C81" s="100">
        <f>IF(Dashboard!BO$2&gt;0,"",Worksheet!H15)</f>
        <v>44.374000000000002</v>
      </c>
      <c r="D81" s="872">
        <f>IF(Dashboard!BO$2&gt;0,"",C81*(Worksheet!$H$77))</f>
        <v>14850.202840000002</v>
      </c>
      <c r="E81" s="489">
        <f>D81</f>
        <v>14850.202840000002</v>
      </c>
      <c r="F81" s="75" t="s">
        <v>1044</v>
      </c>
    </row>
    <row r="82" spans="1:6">
      <c r="A82" s="118" t="str">
        <f>A81&amp;" MA"</f>
        <v>Vol. from own sources: MA</v>
      </c>
      <c r="B82" s="118"/>
      <c r="C82" s="100">
        <f>IF(Dashboard!BO$2&gt;0,"",Worksheet!X15)</f>
        <v>0.56354979999999999</v>
      </c>
      <c r="D82" s="872">
        <f>IF(Dashboard!BO$2&gt;0,"",C82*(Worksheet!$H$77))</f>
        <v>188.59757606800002</v>
      </c>
      <c r="E82" s="489">
        <f t="shared" ref="E82:E100" si="0">D82</f>
        <v>188.59757606800002</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43.817517527401996</v>
      </c>
      <c r="D87" s="872">
        <f>IF(Dashboard!BO$2&gt;0,"",C87*(Worksheet!$H$77))</f>
        <v>14663.970415720352</v>
      </c>
      <c r="E87" s="489">
        <f t="shared" si="0"/>
        <v>14663.970415720352</v>
      </c>
      <c r="F87"/>
    </row>
    <row r="88" spans="1:6">
      <c r="A88" s="118" t="s">
        <v>1047</v>
      </c>
      <c r="B88"/>
      <c r="C88" s="100">
        <f>IF(Dashboard!BO$2&gt;0,"",Worksheet!H23)</f>
        <v>37.417999999999999</v>
      </c>
      <c r="D88" s="872">
        <f>IF(Dashboard!BO$2&gt;0,"",C88*(Worksheet!$H$76*1000))</f>
        <v>518987.66</v>
      </c>
      <c r="E88" s="489">
        <f t="shared" si="0"/>
        <v>518987.66</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0</v>
      </c>
      <c r="D90" s="873">
        <f>IF(Dashboard!BO$2&gt;0,"",IF(ISBLANK('Start Page'!AB22),"",IF(AND(ISBLANK(Worksheet!H77),Worksheet!Z77&lt;&gt;1),"",Worksheet!H25*(IF(Dashboard!BD29=FALSE,Worksheet!H77,IF(Dashboard!BD29=TRUE,Worksheet!H76*INDEX(Sheet1!B2:D4,MATCH('Start Page'!AB22,Sheet1!A2:A4,0),MATCH(Worksheet!J76,Sheet1!B1:D1,0)),""))))))</f>
        <v>0</v>
      </c>
      <c r="E90" s="796">
        <f t="shared" si="0"/>
        <v>0</v>
      </c>
      <c r="F90"/>
    </row>
    <row r="91" spans="1:6">
      <c r="A91" s="797" t="str">
        <f>"Unbilled Unmetered (UUAC) valued at "&amp;A76&amp;""</f>
        <v xml:space="preserve">Unbilled Unmetered (UUAC) valued at </v>
      </c>
      <c r="B91" s="794"/>
      <c r="C91" s="795">
        <f>IF(Dashboard!BO$2&gt;0,"",Worksheet!H26)</f>
        <v>9.3545000000000003E-2</v>
      </c>
      <c r="D91" s="873">
        <f>IF(Dashboard!BO$2&gt;0,"",IF(ISBLANK('Start Page'!AB22),"",IF(AND(ISBLANK(Worksheet!H77),Worksheet!Z77&lt;&gt;1),"",Worksheet!H26*(IF(Dashboard!BD29=FALSE,Worksheet!H77,IF(Dashboard!BD29=TRUE,Worksheet!H76*INDEX(Sheet1!B2:D4,MATCH('Start Page'!AB22,Sheet1!A2:A4,0),MATCH(Worksheet!J76,Sheet1!B1:D1,0)),""))))))</f>
        <v>31.305769700000003</v>
      </c>
      <c r="E91" s="796">
        <f t="shared" si="0"/>
        <v>31.305769700000003</v>
      </c>
      <c r="F91"/>
    </row>
    <row r="92" spans="1:6">
      <c r="A92" s="118" t="s">
        <v>1049</v>
      </c>
      <c r="B92" s="874" t="s">
        <v>1050</v>
      </c>
      <c r="C92" s="100">
        <f>IF(Dashboard!BO$2&gt;0,"",Worksheet!H30)</f>
        <v>37.511544999999998</v>
      </c>
      <c r="D92" s="872">
        <f>IF(Dashboard!BO$2&gt;0,"",C92*(Worksheet!$H$76*1000))</f>
        <v>520285.12914999999</v>
      </c>
      <c r="E92" s="489">
        <f t="shared" si="0"/>
        <v>520285.12914999999</v>
      </c>
      <c r="F92"/>
    </row>
    <row r="93" spans="1:6">
      <c r="A93" t="s">
        <v>1051</v>
      </c>
      <c r="B93"/>
      <c r="C93" s="100">
        <f>IF(Dashboard!BO$2&gt;0,"",Worksheet!H35)</f>
        <v>6.3059725274019982</v>
      </c>
      <c r="D93" s="872"/>
      <c r="E93" s="489">
        <f t="shared" si="0"/>
        <v>0</v>
      </c>
      <c r="F93"/>
    </row>
    <row r="94" spans="1:6">
      <c r="A94" s="171" t="s">
        <v>1052</v>
      </c>
      <c r="B94" s="118"/>
      <c r="C94" s="102">
        <f>IF(Dashboard!BO$2&gt;0,"",Worksheet!H43)</f>
        <v>9.3545000000000003E-2</v>
      </c>
      <c r="D94" s="875">
        <f>IF(Dashboard!BO$2&gt;0,"",IF(ISBLANK('Start Page'!AB22),"",IF(AND(ISBLANK(Worksheet!H77),Worksheet!Z77&lt;&gt;1),"",C94*Worksheet!H76*INDEX(Sheet1!B2:D4,MATCH('Start Page'!AB22,Sheet1!A2:A4,0),MATCH(Worksheet!J76,Sheet1!B1:D1,0)))))</f>
        <v>1297.4691499999999</v>
      </c>
      <c r="E94" s="490">
        <f t="shared" si="0"/>
        <v>1297.4691499999999</v>
      </c>
      <c r="F94" s="103"/>
    </row>
    <row r="95" spans="1:6">
      <c r="A95" s="785" t="s">
        <v>1053</v>
      </c>
      <c r="B95" s="785"/>
      <c r="C95" s="786">
        <f>Worksheet!X50</f>
        <v>0.7636326530612223</v>
      </c>
      <c r="D95" s="876">
        <f>IF(Dashboard!BO$2&gt;0,"",IF(ISBLANK('Start Page'!AB22),"",IF(AND(ISBLANK(Worksheet!H77),Worksheet!Z77&lt;&gt;1),"",C95*Worksheet!H76*INDEX(Sheet1!B2:D4,MATCH('Start Page'!AB22,Sheet1!A2:A4,0),MATCH(Worksheet!J76,Sheet1!B1:D1,0)))))</f>
        <v>10591.584897959154</v>
      </c>
      <c r="E95" s="787">
        <f t="shared" si="0"/>
        <v>10591.584897959154</v>
      </c>
      <c r="F95" s="103"/>
    </row>
    <row r="96" spans="1:6">
      <c r="A96" s="785" t="s">
        <v>1054</v>
      </c>
      <c r="B96" s="785"/>
      <c r="C96" s="786">
        <f>Worksheet!Y50</f>
        <v>0</v>
      </c>
      <c r="D96" s="876">
        <f>C96*input_VPC</f>
        <v>0</v>
      </c>
      <c r="E96" s="787">
        <f t="shared" si="0"/>
        <v>0</v>
      </c>
      <c r="F96" s="788" t="s">
        <v>1055</v>
      </c>
    </row>
    <row r="97" spans="1:7">
      <c r="A97" s="171" t="s">
        <v>1056</v>
      </c>
      <c r="B97" s="118"/>
      <c r="C97" s="102">
        <f>IF(Dashboard!BO$2&gt;0,"",Worksheet!H39)</f>
        <v>0.52500000000000002</v>
      </c>
      <c r="D97" s="875">
        <f>IF(Dashboard!BO$2&gt;0,"",IF(ISBLANK('Start Page'!AB22),"",IF(AND(ISBLANK(Worksheet!H77),Worksheet!Z77&lt;&gt;1),"",C97*Worksheet!H76*INDEX(Sheet1!B2:D4,MATCH('Start Page'!AB22,Sheet1!A2:A4,0),MATCH(Worksheet!J76,Sheet1!B1:D1,0)))))</f>
        <v>7281.75</v>
      </c>
      <c r="E97" s="490">
        <f t="shared" si="0"/>
        <v>7281.75</v>
      </c>
      <c r="F97" s="103"/>
    </row>
    <row r="98" spans="1:7">
      <c r="A98" s="792" t="s">
        <v>749</v>
      </c>
      <c r="B98" s="792"/>
      <c r="C98" s="793">
        <f>IF(Dashboard!BO$2&gt;0,"",Worksheet!H46)</f>
        <v>1.3821776530612222</v>
      </c>
      <c r="D98" s="877">
        <f>IF(Dashboard!BO$2&gt;0,"",SUM(D94:D97))</f>
        <v>19170.804047959155</v>
      </c>
      <c r="E98" s="489">
        <f t="shared" si="0"/>
        <v>19170.804047959155</v>
      </c>
      <c r="F98"/>
    </row>
    <row r="99" spans="1:7">
      <c r="A99" s="171" t="str">
        <f>"Real Losses valued at "&amp;A76&amp;""</f>
        <v xml:space="preserve">Real Losses valued at </v>
      </c>
      <c r="B99" s="118"/>
      <c r="C99" s="102">
        <f>IF(Dashboard!BO$2&gt;0,"",Worksheet!H51)</f>
        <v>4.9237948743407758</v>
      </c>
      <c r="D99" s="878">
        <f>IF(Dashboard!BO$2&gt;0,"",Dashboard!N50)</f>
        <v>1647.7971926468842</v>
      </c>
      <c r="E99" s="490">
        <f t="shared" si="0"/>
        <v>1647.7971926468842</v>
      </c>
      <c r="F99" s="489"/>
    </row>
    <row r="100" spans="1:7">
      <c r="A100" t="s">
        <v>757</v>
      </c>
      <c r="B100"/>
      <c r="C100" s="100">
        <f>IF(Dashboard!BO$2&gt;0,"",Worksheet!H57)</f>
        <v>6.399517527401998</v>
      </c>
      <c r="D100" s="101">
        <f>IF(Dashboard!BO$2&gt;0,"",D98+D99+D90+D91)</f>
        <v>20849.90701030604</v>
      </c>
      <c r="E100" s="489">
        <f t="shared" si="0"/>
        <v>20849.90701030604</v>
      </c>
      <c r="F100"/>
      <c r="G100" s="104"/>
    </row>
    <row r="101" spans="1:7">
      <c r="A101" s="789"/>
    </row>
    <row r="102" spans="1:7">
      <c r="A102" s="789" t="s">
        <v>1057</v>
      </c>
      <c r="C102" s="790">
        <f>C95+C96</f>
        <v>0.7636326530612223</v>
      </c>
      <c r="D102" s="104">
        <f>D95+D96</f>
        <v>10591.584897959154</v>
      </c>
      <c r="E102" s="104">
        <f>E95+E96</f>
        <v>10591.584897959154</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- 660 Lake Heritage</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37.417999999999999</v>
      </c>
      <c r="H12" s="881"/>
      <c r="I12" s="4"/>
      <c r="K12" s="756"/>
    </row>
    <row r="13" spans="2:16" ht="22.5" customHeight="1">
      <c r="B13" s="1089"/>
      <c r="C13" s="288"/>
      <c r="D13" s="286"/>
      <c r="E13" s="1098"/>
      <c r="F13" s="290">
        <f>Worksheet!H23+Worksheet!H24</f>
        <v>37.417999999999999</v>
      </c>
      <c r="G13" s="485" t="s">
        <v>1069</v>
      </c>
      <c r="H13" s="291">
        <f>SUM(G12+G14)</f>
        <v>37.417999999999999</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37.511544999999998</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0</v>
      </c>
      <c r="H16" s="1097"/>
      <c r="I16" s="4"/>
      <c r="K16" s="118"/>
    </row>
    <row r="17" spans="2:16" ht="22.5" customHeight="1">
      <c r="B17" s="299">
        <f>Worksheet!AG15</f>
        <v>43.817517527401996</v>
      </c>
      <c r="C17" s="300"/>
      <c r="D17" s="301"/>
      <c r="E17" s="194"/>
      <c r="F17" s="302">
        <f>Worksheet!H25+Worksheet!H26</f>
        <v>9.3545000000000003E-2</v>
      </c>
      <c r="G17" s="289" t="s">
        <v>1074</v>
      </c>
      <c r="H17" s="881"/>
      <c r="I17" s="4"/>
      <c r="K17" s="118"/>
      <c r="L17" s="99"/>
      <c r="M17" s="99"/>
      <c r="N17" s="99"/>
      <c r="O17" s="99"/>
      <c r="P17" s="99"/>
    </row>
    <row r="18" spans="2:16" ht="15.75" customHeight="1">
      <c r="B18" s="297"/>
      <c r="C18" s="1110" t="s">
        <v>1075</v>
      </c>
      <c r="D18" s="286"/>
      <c r="E18" s="303"/>
      <c r="F18" s="294"/>
      <c r="G18" s="304">
        <f>Worksheet!H26</f>
        <v>9.3545000000000003E-2</v>
      </c>
      <c r="H18" s="881"/>
      <c r="I18" s="4"/>
      <c r="K18" s="118"/>
    </row>
    <row r="19" spans="2:16" ht="22.5" customHeight="1">
      <c r="B19" s="297"/>
      <c r="C19" s="1110"/>
      <c r="D19" s="815" t="s">
        <v>1076</v>
      </c>
      <c r="E19" s="282"/>
      <c r="F19" s="884"/>
      <c r="G19" s="485" t="s">
        <v>1077</v>
      </c>
      <c r="H19" s="305">
        <f>Worksheet!H25+Worksheet!H26+Worksheet!H46+Worksheet!H51</f>
        <v>6.399517527401998</v>
      </c>
      <c r="I19" s="4"/>
      <c r="K19" s="118"/>
      <c r="L19" s="99"/>
      <c r="M19" s="99"/>
      <c r="N19" s="99"/>
      <c r="O19" s="99"/>
      <c r="P19" s="99"/>
    </row>
    <row r="20" spans="2:16" ht="15.75" customHeight="1">
      <c r="B20" s="297"/>
      <c r="C20" s="306">
        <f>B17+B27</f>
        <v>43.817517527401996</v>
      </c>
      <c r="D20" s="286"/>
      <c r="E20" s="194"/>
      <c r="F20" s="307" t="s">
        <v>744</v>
      </c>
      <c r="G20" s="298">
        <f>Worksheet!H39</f>
        <v>0.52500000000000002</v>
      </c>
      <c r="H20" s="881"/>
      <c r="I20" s="4"/>
      <c r="K20" s="118"/>
    </row>
    <row r="21" spans="2:16" ht="14.25" customHeight="1">
      <c r="B21" s="308"/>
      <c r="C21" s="309"/>
      <c r="D21" s="306">
        <f>Worksheet!H19</f>
        <v>43.817517527401996</v>
      </c>
      <c r="E21" s="310"/>
      <c r="F21" s="302">
        <f>Worksheet!H46</f>
        <v>1.3821776530612222</v>
      </c>
      <c r="G21" s="289" t="s">
        <v>1078</v>
      </c>
      <c r="H21" s="881"/>
      <c r="I21" s="4"/>
      <c r="K21" s="118"/>
      <c r="L21" s="99"/>
      <c r="M21" s="99"/>
      <c r="N21" s="99"/>
      <c r="O21" s="99"/>
      <c r="P21" s="99"/>
    </row>
    <row r="22" spans="2:16" ht="15.75" customHeight="1">
      <c r="B22" s="297"/>
      <c r="C22" s="285"/>
      <c r="D22" s="286"/>
      <c r="E22" s="194"/>
      <c r="F22" s="310"/>
      <c r="G22" s="311">
        <f>Worksheet!H41</f>
        <v>0.7636326530612223</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9.3545000000000003E-2</v>
      </c>
      <c r="H24" s="881"/>
      <c r="I24" s="4"/>
      <c r="K24" s="118"/>
    </row>
    <row r="25" spans="2:16" ht="26.25" customHeight="1">
      <c r="B25" s="1088" t="s">
        <v>1080</v>
      </c>
      <c r="C25" s="288"/>
      <c r="D25" s="286"/>
      <c r="E25" s="313">
        <f>Worksheet!H53</f>
        <v>6.3059725274019982</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4.9237948743407758</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- 660 Lake Heritage</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888</v>
      </c>
      <c r="G6" s="1127" t="str">
        <f>IF(OR(ISBLANK('Start Page'!AB22:AL22),'M36 Refs'!AN118&gt;0),"Additional data entry required",Dashboard!BR4)</f>
        <v>Tier IV (71-90)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9</v>
      </c>
      <c r="AE98" s="56">
        <f>Worksheet!Y15</f>
        <v>34.561074355682834</v>
      </c>
      <c r="AF98" s="35">
        <f t="shared" ref="AF98:AF103" si="0">AE98</f>
        <v>34.561074355682834</v>
      </c>
      <c r="AG98" s="35">
        <f>IF(AE98&lt;&gt;0,AF98/10,0)</f>
        <v>3.4561074355682835</v>
      </c>
      <c r="AH98" s="35">
        <f>IFERROR(AD98*AG98,0)</f>
        <v>31.104966920114553</v>
      </c>
      <c r="AI98" s="35">
        <f t="shared" ref="AI98:AI117" si="1">IF(AG98=0,0,AF98-AH98)</f>
        <v>3.4561074355682813</v>
      </c>
      <c r="AJ98">
        <f t="array" aca="1" ref="AJ98" ca="1">SUM(1*(AI98&lt;$AI$98:$AI$117))+1+IF(ROW(AI98)-ROW($AI$98)=0,0,SUM(1*(AI98=OFFSET($AI$98,0,0,INDEX(ROW(AI98)-ROW($AI$98)+1,1)-1,1))))</f>
        <v>2</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0.43892564431717196</v>
      </c>
      <c r="AF99" s="35">
        <f t="shared" si="0"/>
        <v>0.43892564431717196</v>
      </c>
      <c r="AG99" s="35">
        <f t="shared" ref="AG99:AG117" si="3">IF(AE99&lt;&gt;0,AF99/10,0)</f>
        <v>4.3892564431717199E-2</v>
      </c>
      <c r="AH99" s="35">
        <f t="shared" ref="AH99:AH106" si="4">IFERROR(AD99*AG99,0)</f>
        <v>0.43892564431717196</v>
      </c>
      <c r="AI99" s="35">
        <f t="shared" si="1"/>
        <v>0</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14</v>
      </c>
      <c r="AF104" s="67">
        <f t="shared" ref="AF104:AF117" si="8">AE104/$AE$120</f>
        <v>17.169811320754718</v>
      </c>
      <c r="AG104" s="67">
        <f t="shared" si="3"/>
        <v>1.7169811320754718</v>
      </c>
      <c r="AH104" s="67">
        <f t="shared" ref="AH104:AH117" si="9">AD104*AG104</f>
        <v>15.452830188679245</v>
      </c>
      <c r="AI104" s="67">
        <f t="shared" si="1"/>
        <v>1.7169811320754729</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1162</v>
      </c>
      <c r="AD106" s="70">
        <f>IF(Worksheet!F25="n/a",0,Worksheet!F25)</f>
        <v>0</v>
      </c>
      <c r="AE106" s="170">
        <f>IF(Worksheet!H25&gt;0,Worksheet!Y24,0)</f>
        <v>0</v>
      </c>
      <c r="AF106" s="71">
        <f t="shared" si="8"/>
        <v>0</v>
      </c>
      <c r="AG106" s="71">
        <f t="shared" si="3"/>
        <v>0</v>
      </c>
      <c r="AH106" s="35">
        <f t="shared" si="4"/>
        <v>0</v>
      </c>
      <c r="AI106" s="71">
        <f t="shared" si="1"/>
        <v>0</v>
      </c>
      <c r="AJ106" s="72">
        <f t="array" aca="1" ref="AJ106" ca="1">SUM(1*(AI106&lt;$AI$98:$AI$117))+1+IF(ROW(AI106)-ROW($AI$98)=0,0,SUM(1*(AI106=OFFSET($AI$98,0,0,INDEX(ROW(AI106)-ROW($AI$98)+1,1)-1,1))))</f>
        <v>13</v>
      </c>
      <c r="AK106" s="888" t="str">
        <f t="shared" si="5"/>
        <v>Unbilled Metered (UMAC)</v>
      </c>
      <c r="AL106" s="72">
        <f t="shared" si="10"/>
        <v>0</v>
      </c>
      <c r="AM106" s="72">
        <f t="shared" si="7"/>
        <v>0</v>
      </c>
      <c r="AN106" s="72">
        <f t="shared" si="2"/>
        <v>0</v>
      </c>
    </row>
    <row r="107" spans="28:40">
      <c r="AB107" t="s">
        <v>1163</v>
      </c>
      <c r="AC107" s="167" t="s">
        <v>1164</v>
      </c>
      <c r="AD107" s="69">
        <f>IF(OR(Worksheet!W26=1,AND(Worksheet!W26=2,Worksheet!Q26=0)),3,Worksheet!F26)</f>
        <v>3</v>
      </c>
      <c r="AE107" s="62">
        <v>2</v>
      </c>
      <c r="AF107" s="63">
        <f t="shared" si="8"/>
        <v>2.4528301886792452</v>
      </c>
      <c r="AG107" s="63">
        <f t="shared" si="3"/>
        <v>0.24528301886792453</v>
      </c>
      <c r="AH107" s="63">
        <f t="shared" si="9"/>
        <v>0.73584905660377364</v>
      </c>
      <c r="AI107" s="63">
        <f t="shared" si="1"/>
        <v>1.7169811320754715</v>
      </c>
      <c r="AJ107" s="64">
        <f t="array" aca="1" ref="AJ107" ca="1">SUM(1*(AI107&lt;$AI$98:$AI$117))+1+IF(ROW(AI107)-ROW($AI$98)=0,0,SUM(1*(AI107=OFFSET($AI$98,0,0,INDEX(ROW(AI107)-ROW($AI$98)+1,1)-1,1))))</f>
        <v>5</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3</v>
      </c>
      <c r="AK108" s="889" t="str">
        <f t="shared" si="5"/>
        <v>Unauthorized Consumption (UC)</v>
      </c>
      <c r="AL108" s="64">
        <f t="shared" si="10"/>
        <v>1</v>
      </c>
      <c r="AM108" s="64">
        <f t="shared" si="7"/>
        <v>1</v>
      </c>
      <c r="AN108" s="64">
        <f t="shared" si="2"/>
        <v>0</v>
      </c>
    </row>
    <row r="109" spans="28:40">
      <c r="AC109" s="165" t="s">
        <v>1078</v>
      </c>
      <c r="AD109" s="65">
        <f>IF(Worksheet!F41="n/a",0,Worksheet!F41)</f>
        <v>3</v>
      </c>
      <c r="AE109" s="66">
        <f>IF(AND(Worksheet!F41="n/a",Worksheet!H41=0),0,6)</f>
        <v>6</v>
      </c>
      <c r="AF109" s="67">
        <f t="shared" si="8"/>
        <v>7.3584905660377355</v>
      </c>
      <c r="AG109" s="67">
        <f t="shared" si="3"/>
        <v>0.73584905660377353</v>
      </c>
      <c r="AH109" s="67">
        <f t="shared" si="9"/>
        <v>2.2075471698113205</v>
      </c>
      <c r="AI109" s="67">
        <f t="shared" si="1"/>
        <v>5.1509433962264151</v>
      </c>
      <c r="AJ109" s="68">
        <f t="array" aca="1" ref="AJ109" ca="1">SUM(1*(AI109&lt;$AI$98:$AI$117))+1+IF(ROW(AI109)-ROW($AI$98)=0,0,SUM(1*(AI109=OFFSET($AI$98,0,0,INDEX(ROW(AI109)-ROW($AI$98)+1,1)-1,1))))</f>
        <v>1</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10</v>
      </c>
      <c r="AE110" s="62">
        <v>3.5</v>
      </c>
      <c r="AF110" s="63">
        <f t="shared" si="8"/>
        <v>4.2924528301886795</v>
      </c>
      <c r="AG110" s="63">
        <f t="shared" si="3"/>
        <v>0.42924528301886794</v>
      </c>
      <c r="AH110" s="63">
        <f t="shared" si="9"/>
        <v>4.2924528301886795</v>
      </c>
      <c r="AI110" s="63">
        <f t="shared" si="1"/>
        <v>0</v>
      </c>
      <c r="AJ110" s="64">
        <f t="array" aca="1" ref="AJ110" ca="1">SUM(1*(AI110&lt;$AI$98:$AI$117))+1+IF(ROW(AI110)-ROW($AI$98)=0,0,SUM(1*(AI110=OFFSET($AI$98,0,0,INDEX(ROW(AI110)-ROW($AI$98)+1,1)-1,1))))</f>
        <v>14</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10</v>
      </c>
      <c r="AH118" s="78">
        <f>SUM(AH98:AH117)</f>
        <v>84.463703885186447</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2</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1174</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1175</v>
      </c>
      <c r="D4" s="1163" t="s">
        <v>1176</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66" t="s">
        <v>1178</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66" t="s">
        <v>1179</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9" t="s">
        <v>1181</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9" t="s">
        <v>1183</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9" t="s">
        <v>1184</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9" t="s">
        <v>1186</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9" t="s">
        <v>1188</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9" t="s">
        <v>1190</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9" t="s">
        <v>1192</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9" t="s">
        <v>1193</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9" t="s">
        <v>1194</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66" t="s">
        <v>1195</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9" t="s">
        <v>1197</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9" t="s">
        <v>1198</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9" t="s">
        <v>1199</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66" t="s">
        <v>1201</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9" t="s">
        <v>1203</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9" t="s">
        <v>1205</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9" t="s">
        <v>1207</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1208</v>
      </c>
      <c r="D44" s="1176" t="s">
        <v>1209</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9" t="s">
        <v>1210</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9" t="s">
        <v>1212</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9" t="s">
        <v>1214</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1215</v>
      </c>
      <c r="D53" s="1176" t="s">
        <v>1216</v>
      </c>
      <c r="E53" s="1177"/>
      <c r="F53" s="1177"/>
      <c r="G53" s="1177"/>
      <c r="H53" s="1177"/>
      <c r="I53" s="1177"/>
      <c r="J53" s="1177"/>
      <c r="K53" s="1177"/>
      <c r="L53" s="1178"/>
      <c r="M53" s="892"/>
      <c r="N53" s="891"/>
    </row>
    <row r="54" spans="1:14" ht="18" customHeight="1">
      <c r="A54" s="93"/>
      <c r="B54" s="335"/>
      <c r="C54" s="1183"/>
      <c r="D54" s="896"/>
      <c r="E54" s="1182" t="s">
        <v>1217</v>
      </c>
      <c r="F54" s="1182"/>
      <c r="G54" s="897" t="s">
        <v>1218</v>
      </c>
      <c r="H54" s="897"/>
      <c r="I54" s="1184" t="s">
        <v>1219</v>
      </c>
      <c r="J54" s="1184"/>
      <c r="K54" s="637"/>
      <c r="L54" s="643"/>
      <c r="M54" s="892"/>
      <c r="N54" s="891"/>
    </row>
    <row r="55" spans="1:14" ht="18.75" customHeight="1">
      <c r="A55" s="93"/>
      <c r="B55" s="335"/>
      <c r="C55" s="1183"/>
      <c r="D55" s="896"/>
      <c r="E55" s="1185">
        <v>100</v>
      </c>
      <c r="F55" s="1186"/>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9" t="s">
        <v>1221</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9" t="s">
        <v>1223</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9" t="s">
        <v>1225</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9" t="s">
        <v>1226</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9" t="s">
        <v>1228</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9" t="s">
        <v>1230</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9" t="s">
        <v>1232</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1233</v>
      </c>
      <c r="D73" s="1187" t="s">
        <v>1234</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66" t="s">
        <v>1236</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1239</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1240</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1252</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1254</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1255</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1256</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1257</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1258</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1259</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1260</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1261</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1262</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1263</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1264</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5" t="s">
        <v>1269</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1270</v>
      </c>
      <c r="D34" s="911" t="s">
        <v>1271</v>
      </c>
      <c r="E34" s="912">
        <v>5</v>
      </c>
      <c r="F34" s="1208" t="s">
        <v>1272</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1273</v>
      </c>
      <c r="D35" s="912">
        <v>2006</v>
      </c>
      <c r="E35" s="912">
        <v>5</v>
      </c>
      <c r="F35" s="1208" t="s">
        <v>1274</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1275</v>
      </c>
      <c r="D36" s="912">
        <v>2007</v>
      </c>
      <c r="E36" s="912">
        <v>7</v>
      </c>
      <c r="F36" s="1208" t="s">
        <v>1276</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1277</v>
      </c>
      <c r="D37" s="912">
        <v>2010</v>
      </c>
      <c r="E37" s="912">
        <v>10</v>
      </c>
      <c r="F37" s="1208" t="s">
        <v>1278</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1279</v>
      </c>
      <c r="D38" s="365">
        <v>2014</v>
      </c>
      <c r="E38" s="365">
        <v>12</v>
      </c>
      <c r="F38" s="1202" t="s">
        <v>1280</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1281</v>
      </c>
      <c r="D39" s="365">
        <v>2020</v>
      </c>
      <c r="E39" s="366">
        <v>11</v>
      </c>
      <c r="F39" s="1202" t="s">
        <v>1282</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0F2734C9-DAB1-4C0F-B62A-556383C85F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2024-05-22T14:53:52Z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