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EC1106AB-91BF-42D6-9BE4-D8C08F143278}"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<sst xmlns="http://schemas.openxmlformats.org/spreadsheetml/2006/main" count="2555" uniqueCount="1284">
  <si>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</si>
  <si>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</si>
  <si>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</si>
  <si>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</si>
  <si>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</si>
  <si>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</si>
  <si>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</si>
  <si>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</si>
  <si>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</si>
  <si>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</si>
  <si>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</si>
  <si>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</si>
  <si>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</si>
  <si>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</si>
  <si>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</si>
  <si>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</si>
  <si>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</si>
  <si>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</si>
  <si>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</si>
  <si>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</si>
  <si>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</si>
  <si>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</si>
  <si>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</si>
  <si>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</si>
  <si>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</si>
  <si>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</si>
  <si>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</si>
  <si>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</si>
  <si>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</si>
  <si>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</si>
  <si>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</si>
  <si>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</si>
  <si>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</si>
  <si>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</si>
  <si>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</si>
  <si>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</si>
  <si>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</si>
  <si>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</si>
  <si>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</si>
  <si>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</si>
  <si>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</si>
  <si>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</si>
  <si>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</si>
  <si>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</si>
  <si>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</si>
  <si>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</si>
  <si>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</si>
  <si>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</si>
  <si>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</si>
  <si>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</si>
  <si>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</si>
  <si>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</si>
  <si>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</si>
  <si>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</si>
  <si>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</si>
  <si>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</si>
  <si>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</si>
  <si>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</si>
  <si>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</si>
  <si>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</si>
  <si>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</si>
  <si>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</si>
  <si>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</si>
  <si>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</si>
  <si>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</si>
  <si>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</si>
  <si>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</si>
  <si>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</si>
  <si>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</si>
  <si>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</si>
  <si>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</si>
  <si>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</si>
  <si>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</si>
  <si>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</si>
  <si>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</si>
  <si>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</si>
  <si>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</si>
  <si>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</si>
  <si>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</si>
  <si>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</si>
  <si>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</si>
  <si>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</si>
  <si>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</si>
  <si>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</si>
  <si>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</si>
  <si>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</si>
  <si>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</si>
  <si>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</si>
  <si>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</si>
  <si>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</si>
  <si>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</si>
  <si>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</si>
  <si>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</si>
  <si>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</si>
  <si>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</si>
  <si>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</si>
  <si>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</si>
  <si>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</si>
  <si>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</si>
  <si>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</si>
  <si>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</si>
  <si>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</si>
  <si>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</si>
  <si>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</si>
  <si>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</si>
  <si>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</si>
  <si>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</si>
  <si>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</si>
  <si>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</si>
  <si>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</si>
  <si>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</si>
  <si>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</si>
  <si>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</si>
  <si>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</si>
  <si>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</si>
  <si>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</si>
  <si>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</si>
  <si>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</si>
  <si>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</si>
  <si>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</si>
  <si>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</si>
  <si>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</si>
  <si>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</si>
  <si>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</si>
  <si>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</si>
  <si>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</si>
  <si>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</si>
  <si>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</si>
  <si>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</si>
  <si>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</si>
  <si>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</si>
  <si>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</si>
  <si>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</si>
  <si>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</si>
  <si>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</si>
  <si>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</si>
  <si>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</si>
  <si>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</si>
  <si>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</si>
  <si>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</si>
  <si>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</si>
  <si>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</si>
  <si>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</si>
  <si>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</si>
  <si>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</si>
  <si>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</si>
  <si>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</si>
  <si>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</si>
  <si>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</si>
  <si>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</si>
  <si>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</si>
  <si>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</si>
  <si>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</si>
  <si>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</si>
  <si>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</si>
  <si>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</si>
  <si>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</si>
  <si>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</si>
  <si>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</si>
  <si>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</si>
  <si>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</si>
  <si>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</si>
  <si>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</si>
  <si>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</si>
  <si>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</si>
  <si>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</si>
  <si>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</si>
  <si>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</si>
  <si>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</si>
  <si>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</si>
  <si>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</si>
  <si>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</si>
  <si>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</si>
  <si>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</si>
  <si>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</si>
  <si>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</si>
  <si>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</si>
  <si>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</si>
  <si>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</si>
  <si>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</si>
  <si>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</si>
  <si>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</si>
  <si>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</si>
  <si>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</si>
  <si>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</si>
  <si>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</si>
  <si>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</si>
  <si>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</si>
  <si>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</si>
  <si>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</si>
  <si>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</si>
  <si>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</si>
  <si>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</si>
  <si>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</si>
  <si>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</si>
  <si>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</si>
  <si>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</si>
  <si>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</si>
  <si>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</si>
  <si>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</si>
  <si>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</si>
  <si>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</si>
  <si>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</si>
  <si>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</si>
  <si>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</si>
  <si>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</si>
  <si>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</si>
  <si>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</si>
  <si>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</si>
  <si>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</si>
  <si>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</si>
  <si>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</si>
  <si>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</si>
  <si>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</si>
  <si>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</si>
  <si>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</si>
  <si>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</si>
  <si>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</si>
  <si>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</si>
  <si>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</si>
  <si>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</si>
  <si>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</si>
  <si>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</si>
  <si>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</si>
  <si>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</si>
  <si>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</si>
  <si>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</si>
  <si>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</si>
  <si>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</si>
  <si>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</si>
  <si>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</si>
  <si>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</si>
  <si>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</si>
  <si>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</si>
  <si>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</si>
  <si>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</si>
  <si>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</si>
  <si>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</si>
  <si>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</si>
  <si>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</si>
  <si>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</si>
  <si>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</si>
  <si>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</si>
  <si>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</si>
  <si>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</si>
  <si>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</si>
  <si>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</si>
  <si>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</si>
  <si>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</si>
  <si>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</si>
  <si>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</si>
  <si>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</si>
  <si>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</si>
  <si>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</si>
  <si>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</si>
  <si>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</si>
  <si>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</si>
  <si>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</si>
  <si>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</si>
  <si>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</si>
  <si>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</si>
  <si>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</si>
  <si>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</si>
  <si>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</si>
  <si>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</si>
  <si>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</si>
  <si>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</si>
  <si>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</si>
  <si>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</si>
  <si>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</si>
  <si>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</si>
  <si>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</si>
  <si>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</si>
  <si>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</si>
  <si>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</si>
  <si>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</si>
  <si>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</si>
  <si>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</si>
  <si>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</si>
  <si>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</si>
  <si>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</si>
  <si>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</si>
  <si>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</si>
  <si>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</si>
  <si>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</si>
  <si>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</si>
  <si>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</si>
  <si>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</si>
  <si>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</si>
  <si>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</si>
  <si>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</si>
  <si>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</si>
  <si>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</si>
  <si>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</si>
  <si>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</si>
  <si>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</si>
  <si>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</si>
  <si>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</si>
  <si>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</si>
  <si>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</si>
  <si>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</si>
  <si>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</si>
  <si>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</si>
  <si>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</si>
  <si>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</si>
  <si>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</si>
  <si>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</si>
  <si>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</si>
  <si>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</si>
  <si>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</si>
  <si>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</si>
  <si>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</si>
  <si>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</si>
  <si>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</si>
  <si>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</si>
  <si>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</si>
  <si>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</si>
  <si>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</si>
  <si>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</si>
  <si>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</si>
  <si>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</si>
  <si>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</si>
  <si>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</si>
  <si>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</si>
  <si>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</si>
  <si>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</si>
  <si>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</si>
  <si>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</si>
  <si>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</si>
  <si>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</si>
  <si>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</si>
  <si>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</si>
  <si>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</si>
  <si>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</si>
  <si>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</si>
  <si>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</si>
  <si>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</si>
  <si>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</si>
  <si>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</si>
  <si>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</si>
  <si>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</si>
  <si>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</si>
  <si>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</si>
  <si>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</si>
  <si>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</si>
  <si>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</si>
  <si>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</si>
  <si>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</si>
  <si>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</si>
  <si>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</si>
  <si>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</si>
  <si>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</si>
  <si>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</si>
  <si>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</si>
  <si>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</si>
  <si>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</si>
  <si>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</si>
  <si>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</si>
  <si>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</si>
  <si>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</si>
  <si>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</si>
  <si>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</si>
  <si>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</si>
  <si>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</si>
  <si>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</si>
  <si>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</si>
  <si>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</si>
  <si>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</si>
  <si>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</si>
  <si>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</si>
  <si>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</si>
  <si>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</si>
  <si>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</si>
  <si>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</si>
  <si>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</si>
  <si>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</si>
  <si>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</si>
  <si>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</si>
  <si>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</si>
  <si>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</si>
  <si>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</si>
  <si>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</si>
  <si>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</si>
  <si>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</si>
  <si>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</si>
  <si>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</si>
  <si>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</si>
  <si>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</si>
  <si>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</si>
  <si>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</si>
  <si>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</si>
  <si>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</si>
  <si>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</si>
  <si>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</si>
  <si>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</si>
  <si>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</si>
  <si>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</si>
  <si>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</si>
  <si>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</si>
  <si>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</si>
  <si>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</si>
  <si>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</si>
  <si>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</si>
  <si>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</si>
  <si>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</si>
  <si>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</si>
  <si>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</si>
  <si>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</si>
  <si>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</si>
  <si>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</si>
  <si>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</si>
  <si>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</si>
  <si>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</si>
  <si>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</si>
  <si>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</si>
  <si>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</si>
  <si>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</si>
  <si>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</si>
  <si>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</si>
  <si>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</si>
  <si>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</si>
  <si>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</si>
  <si>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</si>
  <si>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</si>
  <si>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</si>
  <si>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</si>
  <si>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</si>
  <si>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</si>
  <si>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</si>
  <si>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</si>
  <si>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</si>
  <si>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</si>
  <si>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</si>
  <si>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</si>
  <si>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</si>
  <si>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</si>
  <si>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</si>
  <si>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</si>
  <si>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</si>
  <si>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</si>
  <si>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</si>
  <si>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</si>
  <si>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</si>
  <si>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</si>
  <si>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</si>
  <si>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</si>
  <si>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</si>
  <si>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</si>
  <si>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</si>
  <si>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</si>
  <si>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</si>
  <si>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</si>
  <si>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</si>
  <si>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</si>
  <si>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</si>
  <si>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</si>
  <si>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</si>
  <si>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</si>
  <si>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</si>
  <si>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</si>
  <si>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</si>
  <si>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</si>
  <si>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</si>
  <si>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</si>
  <si>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</si>
  <si>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</si>
  <si>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</si>
  <si>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</si>
  <si>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</si>
  <si>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</si>
  <si>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</si>
  <si>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</si>
  <si>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</si>
  <si>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</si>
  <si>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</si>
  <si>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</si>
  <si>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</si>
  <si>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</si>
  <si>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</si>
  <si>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</si>
  <si>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</si>
  <si>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</si>
  <si>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</si>
  <si>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</si>
  <si>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</si>
  <si>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</si>
  <si>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</si>
  <si>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</si>
  <si>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</si>
  <si>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</si>
  <si>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</si>
  <si>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</si>
  <si>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</si>
  <si>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</si>
  <si>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</si>
  <si>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</si>
  <si>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</si>
  <si>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</si>
  <si>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</si>
  <si>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</si>
  <si>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</si>
  <si>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</si>
  <si>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</si>
  <si>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</si>
  <si>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</si>
  <si>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</si>
  <si>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</si>
  <si>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</si>
  <si>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</si>
  <si>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</si>
  <si>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</si>
  <si>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</si>
  <si>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</si>
  <si>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</si>
  <si>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</si>
  <si>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</si>
  <si>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- 620 Hershey</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</si>
  <si>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</si>
  <si>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</si>
  <si>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</si>
  <si>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</si>
  <si>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</si>
  <si>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</si>
  <si>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</si>
  <si>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</si>
  <si>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</si>
  <si>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</si>
  <si>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</si>
  <si>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</si>
  <si>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</si>
  <si>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</si>
  <si>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</si>
  <si>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Hershey</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</si>
  <si>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</si>
  <si>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</si>
  <si>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</si>
  <si>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</si>
  <si>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</si>
  <si>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</si>
  <si>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</si>
  <si>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</si>
  <si>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</si>
  <si>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</si>
  <si>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</si>
  <si>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</si>
  <si>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</si>
  <si>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</si>
  <si>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</si>
  <si>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</si>
  <si>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</si>
  <si>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</si>
  <si>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</si>
  <si>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</si>
  <si>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</si>
  <si>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</si>
  <si>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</si>
  <si>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</si>
  <si>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</si>
  <si>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</si>
  <si>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</si>
  <si>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</si>
  <si>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</si>
  <si>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</si>
  <si>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</si>
  <si>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</si>
  <si>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</si>
  <si>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</si>
  <si>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</si>
  <si>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</si>
  <si>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</si>
  <si>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</si>
  <si>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</si>
  <si>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</si>
  <si>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</si>
  <si>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</si>
  <si>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</si>
  <si>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7220017</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</si>
  <si>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</si>
  <si>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</si>
  <si>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</si>
  <si>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</si>
  <si>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</si>
  <si>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</si>
  <si>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</si>
  <si>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</si>
  <si>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</si>
  <si>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</si>
  <si>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</si>
  <si>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</si>
  <si>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</si>
  <si>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</si>
  <si>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</si>
  <si>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</si>
  <si>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</si>
  <si>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</si>
  <si>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</si>
  <si>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</si>
  <si>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</si>
  <si>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</si>
  <si>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</si>
  <si>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</si>
  <si>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</si>
  <si>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</si>
  <si>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</si>
  <si>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</si>
  <si>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</si>
  <si>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</si>
  <si>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</si>
  <si>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</si>
  <si>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</si>
  <si>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</si>
  <si>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</si>
  <si>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</si>
  <si>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</si>
  <si>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</si>
  <si>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</si>
  <si>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</si>
  <si>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</si>
  <si>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</si>
  <si>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</si>
  <si>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</si>
  <si>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</si>
  <si>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</si>
  <si>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</si>
  <si>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</si>
  <si>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</si>
  <si>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</si>
  <si>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</si>
  <si>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</si>
  <si>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</si>
  <si>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</si>
  <si>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</si>
  <si>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</si>
  <si>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</si>
  <si>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</si>
  <si>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</si>
  <si>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</si>
  <si>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</si>
  <si>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</si>
  <si>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</si>
  <si>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</si>
  <si>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</si>
  <si>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</si>
  <si>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</si>
  <si>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</si>
  <si>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</si>
  <si>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</si>
  <si>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</si>
  <si>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</si>
  <si>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</si>
  <si>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</si>
  <si>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</si>
  <si>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</si>
  <si>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</si>
  <si>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</si>
  <si>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</si>
  <si>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</si>
  <si>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</si>
  <si>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</si>
  <si>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</si>
  <si>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</si>
  <si>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</si>
  <si>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</si>
  <si>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</si>
  <si>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</si>
  <si>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</si>
  <si>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</si>
  <si>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</si>
  <si>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</si>
  <si>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</si>
  <si>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</si>
  <si>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</si>
  <si>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</si>
  <si>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</si>
  <si>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</si>
  <si>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</si>
  <si>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</si>
  <si>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</si>
  <si>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</si>
  <si>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</si>
  <si>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</si>
  <si>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</si>
  <si>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</si>
  <si>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</si>
  <si>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</si>
  <si>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</si>
  <si>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</si>
  <si>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</si>
  <si>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</si>
  <si>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</si>
  <si>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</si>
  <si>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</si>
  <si>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</si>
  <si>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</si>
  <si>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</si>
  <si>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</si>
  <si>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</si>
  <si>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</si>
  <si>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</si>
  <si>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</si>
  <si>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</si>
  <si>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</si>
  <si>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</si>
  <si>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</si>
  <si>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</si>
  <si>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</si>
  <si>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</si>
  <si>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</si>
  <si>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</si>
  <si>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</si>
  <si>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</si>
  <si>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</si>
  <si>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</si>
  <si>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</si>
  <si>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</si>
  <si>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</si>
  <si>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</si>
  <si>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</si>
  <si>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</si>
  <si>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</si>
  <si>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</si>
  <si>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</si>
  <si>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</si>
  <si>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</si>
  <si>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</si>
  <si>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</si>
  <si>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</si>
  <si>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over-registration</t>
  </si>
  <si>
    <t>Water Exported:</t>
  </si>
  <si>
    <t>select…..</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</si>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</sst>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54.954117003207173</c:v>
                </c:pt>
                <c:pt idx="1">
                  <c:v>2.0024160337996988</c:v>
                </c:pt>
                <c:pt idx="2">
                  <c:v>193.34547118795547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5.3182374142544715</c:v>
                </c:pt>
                <c:pt idx="1">
                  <c:v>0.26113598867139654</c:v>
                </c:pt>
                <c:pt idx="2">
                  <c:v>27.062625180998701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38.357031657572932</c:v>
                </c:pt>
                <c:pt idx="1">
                  <c:v>0.92482240795754933</c:v>
                </c:pt>
                <c:pt idx="2">
                  <c:v>76.320946929163185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11.611428029384824</c:v>
                </c:pt>
                <c:pt idx="1">
                  <c:v>0.56875750335916142</c:v>
                </c:pt>
                <c:pt idx="2">
                  <c:v>58.914502387151195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90</c:v>
                </c:pt>
                <c:pt idx="1">
                  <c:v>1.2666666666666666</c:v>
                </c:pt>
                <c:pt idx="2" formatCode="General">
                  <c:v>108.73333333333333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528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16.004999999999999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26.512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4.5982100000000008</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37.863040816326603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4.5982100000000008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439.21275953936788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$957,139/Yr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10257.764549999998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16991.805919999999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63777.17270000001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520839.32335816423</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63777.17270000001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281495.84971637628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26.765808526427506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2.4764899179293747</c:v>
                </c:pt>
                <c:pt idx="1">
                  <c:v>9.0856271993300333E-2</c:v>
                </c:pt>
                <c:pt idx="2">
                  <c:v>8.7896878092398669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49.635879588952704</c:v>
                </c:pt>
                <c:pt idx="1">
                  <c:v>1.8469276802355887</c:v>
                </c:pt>
                <c:pt idx="2">
                  <c:v>179.38315276026029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3615.7530915714551</c:v>
                </c:pt>
                <c:pt idx="1">
                  <c:v>97.186039594358903</c:v>
                </c:pt>
                <c:pt idx="2" formatCode="_(* #,##0_);_(* \(#,##0\);_(* &quot;-&quot;??_);_(@_)">
                  <c:v>8435.3158181290473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image" Target="../media/image8.emf"/><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AOP"/><Relationship Id="rId29" Type="http://schemas.openxmlformats.org/officeDocument/2006/relationships/image" Target="../media/image11.emf"/><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CRUC"/><Relationship Id="rId32" Type="http://schemas.openxmlformats.org/officeDocument/2006/relationships/image" Target="../media/image14.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image" Target="../media/image7.emf"/><Relationship Id="rId19" Type="http://schemas.openxmlformats.org/officeDocument/2006/relationships/image" Target="../media/image9.emf"/><Relationship Id="rId31" Type="http://schemas.openxmlformats.org/officeDocument/2006/relationships/image" Target="../media/image13.emf"/><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hyperlink" Target="#'Interactive Data Grading'!UUAC"/><Relationship Id="rId30" Type="http://schemas.openxmlformats.org/officeDocument/2006/relationships/image" Target="../media/image12.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57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58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58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58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583"/>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584"/>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585"/>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586"/>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587"/>
                  </a:ext>
                </a:extLst>
              </xdr:cNvPicPr>
            </xdr:nvPicPr>
            <xdr:blipFill rotWithShape="1">
              <a:blip xmlns:r="http://schemas.openxmlformats.org/officeDocument/2006/relationships" r:embed="rId8"/>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588"/>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589"/>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590"/>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591"/>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592"/>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593"/>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594"/>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595"/>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596"/>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597"/>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mc:AlternateContent xmlns:mc="http://schemas.openxmlformats.org/markup-compatibility/2006">
    <mc:Choice xmlns:a14="http://schemas.microsoft.com/office/drawing/2010/main" Requires="a14">
      <xdr:twoCellAnchor editAs="oneCell">
        <xdr:from>
          <xdr:col>2</xdr:col>
          <xdr:colOff>1417320</xdr:colOff>
          <xdr:row>2</xdr:row>
          <xdr:rowOff>0</xdr:rowOff>
        </xdr:from>
        <xdr:to>
          <xdr:col>2</xdr:col>
          <xdr:colOff>1988820</xdr:colOff>
          <xdr:row>2</xdr:row>
          <xdr:rowOff>220980</xdr:rowOff>
        </xdr:to>
        <xdr:pic>
          <xdr:nvPicPr>
            <xdr:cNvPr id="6770465" name="Picture 36">
              <a:extLst>
                <a:ext uri="{FF2B5EF4-FFF2-40B4-BE49-F238E27FC236}">
                  <a16:creationId xmlns:a16="http://schemas.microsoft.com/office/drawing/2014/main" id="{1A15BBFA-A5F3-5E88-81E6-0A00823CC282}"/>
                </a:ext>
              </a:extLst>
            </xdr:cNvPr>
            <xdr:cNvPicPr preferRelativeResize="0">
              <a:picLocks noChangeArrowheads="1"/>
              <a:extLst>
                <a:ext uri="{84589F7E-364E-4C9E-8A38-B11213B215E9}">
                  <a14:cameraTool cellRange="$D$300" spid="_x0000_s6770598"/>
                </a:ext>
              </a:extLst>
            </xdr:cNvPicPr>
          </xdr:nvPicPr>
          <xdr:blipFill>
            <a:blip xmlns:r="http://schemas.openxmlformats.org/officeDocument/2006/relationships" r:embed="rId29"/>
            <a:srcRect l="77975" t="6015" r="11687" b="25102"/>
            <a:stretch>
              <a:fillRect/>
            </a:stretch>
          </xdr:blipFill>
          <xdr:spPr bwMode="auto">
            <a:xfrm>
              <a:off x="1950720" y="579120"/>
              <a:ext cx="57150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708660</xdr:colOff>
          <xdr:row>2</xdr:row>
          <xdr:rowOff>15240</xdr:rowOff>
        </xdr:from>
        <xdr:to>
          <xdr:col>2</xdr:col>
          <xdr:colOff>1272540</xdr:colOff>
          <xdr:row>2</xdr:row>
          <xdr:rowOff>220980</xdr:rowOff>
        </xdr:to>
        <xdr:pic>
          <xdr:nvPicPr>
            <xdr:cNvPr id="6770466" name="Picture 128">
              <a:extLst>
                <a:ext uri="{FF2B5EF4-FFF2-40B4-BE49-F238E27FC236}">
                  <a16:creationId xmlns:a16="http://schemas.microsoft.com/office/drawing/2014/main" id="{9B22F0A3-7AB4-9EA5-AF93-EEF15D8B6F44}"/>
                </a:ext>
              </a:extLst>
            </xdr:cNvPr>
            <xdr:cNvPicPr>
              <a:picLocks noChangeAspect="1" noChangeArrowheads="1"/>
              <a:extLst>
                <a:ext uri="{84589F7E-364E-4C9E-8A38-B11213B215E9}">
                  <a14:cameraTool cellRange="$D$271" spid="_x0000_s6770599"/>
                </a:ext>
              </a:extLst>
            </xdr:cNvPicPr>
          </xdr:nvPicPr>
          <xdr:blipFill>
            <a:blip xmlns:r="http://schemas.openxmlformats.org/officeDocument/2006/relationships" r:embed="rId30"/>
            <a:srcRect l="3596" t="15530" r="84027" b="15697"/>
            <a:stretch>
              <a:fillRect/>
            </a:stretch>
          </xdr:blipFill>
          <xdr:spPr bwMode="auto">
            <a:xfrm>
              <a:off x="1242060" y="594360"/>
              <a:ext cx="56388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2141220</xdr:colOff>
          <xdr:row>2</xdr:row>
          <xdr:rowOff>0</xdr:rowOff>
        </xdr:from>
        <xdr:to>
          <xdr:col>2</xdr:col>
          <xdr:colOff>2697480</xdr:colOff>
          <xdr:row>2</xdr:row>
          <xdr:rowOff>213360</xdr:rowOff>
        </xdr:to>
        <xdr:pic>
          <xdr:nvPicPr>
            <xdr:cNvPr id="6770467" name="Picture 129">
              <a:extLst>
                <a:ext uri="{FF2B5EF4-FFF2-40B4-BE49-F238E27FC236}">
                  <a16:creationId xmlns:a16="http://schemas.microsoft.com/office/drawing/2014/main" id="{5A74BC17-D741-C484-065D-2FBA5B78308B}"/>
                </a:ext>
              </a:extLst>
            </xdr:cNvPr>
            <xdr:cNvPicPr>
              <a:picLocks noChangeAspect="1" noChangeArrowheads="1"/>
              <a:extLst>
                <a:ext uri="{84589F7E-364E-4C9E-8A38-B11213B215E9}">
                  <a14:cameraTool cellRange="$D$322" spid="_x0000_s6770600"/>
                </a:ext>
              </a:extLst>
            </xdr:cNvPicPr>
          </xdr:nvPicPr>
          <xdr:blipFill>
            <a:blip xmlns:r="http://schemas.openxmlformats.org/officeDocument/2006/relationships" r:embed="rId30"/>
            <a:srcRect l="79047" t="10417" r="3995" b="27083"/>
            <a:stretch>
              <a:fillRect/>
            </a:stretch>
          </xdr:blipFill>
          <xdr:spPr bwMode="auto">
            <a:xfrm>
              <a:off x="2674620" y="579120"/>
              <a:ext cx="55626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1539240</xdr:colOff>
          <xdr:row>1</xdr:row>
          <xdr:rowOff>53340</xdr:rowOff>
        </xdr:from>
        <xdr:to>
          <xdr:col>3</xdr:col>
          <xdr:colOff>2110740</xdr:colOff>
          <xdr:row>1</xdr:row>
          <xdr:rowOff>251460</xdr:rowOff>
        </xdr:to>
        <xdr:pic>
          <xdr:nvPicPr>
            <xdr:cNvPr id="6770468" name="Picture 29">
              <a:extLst>
                <a:ext uri="{FF2B5EF4-FFF2-40B4-BE49-F238E27FC236}">
                  <a16:creationId xmlns:a16="http://schemas.microsoft.com/office/drawing/2014/main" id="{901A34DE-A02B-AE3C-2DF7-67EF11C9C631}"/>
                </a:ext>
              </a:extLst>
            </xdr:cNvPr>
            <xdr:cNvPicPr preferRelativeResize="0">
              <a:picLocks noChangeArrowheads="1"/>
              <a:extLst>
                <a:ext uri="{84589F7E-364E-4C9E-8A38-B11213B215E9}">
                  <a14:cameraTool cellRange="$D$177" spid="_x0000_s6770601"/>
                </a:ext>
              </a:extLst>
            </xdr:cNvPicPr>
          </xdr:nvPicPr>
          <xdr:blipFill>
            <a:blip xmlns:r="http://schemas.openxmlformats.org/officeDocument/2006/relationships" r:embed="rId31"/>
            <a:srcRect l="72157" t="5197" r="15526" b="9793"/>
            <a:stretch>
              <a:fillRect/>
            </a:stretch>
          </xdr:blipFill>
          <xdr:spPr bwMode="auto">
            <a:xfrm>
              <a:off x="5814060" y="243840"/>
              <a:ext cx="57150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2849880</xdr:colOff>
          <xdr:row>1</xdr:row>
          <xdr:rowOff>45720</xdr:rowOff>
        </xdr:from>
        <xdr:to>
          <xdr:col>3</xdr:col>
          <xdr:colOff>3398520</xdr:colOff>
          <xdr:row>1</xdr:row>
          <xdr:rowOff>236220</xdr:rowOff>
        </xdr:to>
        <xdr:pic>
          <xdr:nvPicPr>
            <xdr:cNvPr id="6770469" name="Picture 31">
              <a:extLst>
                <a:ext uri="{FF2B5EF4-FFF2-40B4-BE49-F238E27FC236}">
                  <a16:creationId xmlns:a16="http://schemas.microsoft.com/office/drawing/2014/main" id="{35214987-B121-61F4-BB93-73D610811153}"/>
                </a:ext>
              </a:extLst>
            </xdr:cNvPr>
            <xdr:cNvPicPr preferRelativeResize="0">
              <a:picLocks noChangeArrowheads="1"/>
              <a:extLst>
                <a:ext uri="{84589F7E-364E-4C9E-8A38-B11213B215E9}">
                  <a14:cameraTool cellRange="$D$224" spid="_x0000_s6770602"/>
                </a:ext>
              </a:extLst>
            </xdr:cNvPicPr>
          </xdr:nvPicPr>
          <xdr:blipFill>
            <a:blip xmlns:r="http://schemas.openxmlformats.org/officeDocument/2006/relationships" r:embed="rId8"/>
            <a:srcRect l="9740" t="7465" r="78534" b="24812"/>
            <a:stretch>
              <a:fillRect/>
            </a:stretch>
          </xdr:blipFill>
          <xdr:spPr bwMode="auto">
            <a:xfrm>
              <a:off x="7124700" y="236220"/>
              <a:ext cx="5486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2186940</xdr:colOff>
          <xdr:row>1</xdr:row>
          <xdr:rowOff>53340</xdr:rowOff>
        </xdr:from>
        <xdr:to>
          <xdr:col>3</xdr:col>
          <xdr:colOff>2773680</xdr:colOff>
          <xdr:row>1</xdr:row>
          <xdr:rowOff>251460</xdr:rowOff>
        </xdr:to>
        <xdr:pic>
          <xdr:nvPicPr>
            <xdr:cNvPr id="6770470" name="Picture 30">
              <a:extLst>
                <a:ext uri="{FF2B5EF4-FFF2-40B4-BE49-F238E27FC236}">
                  <a16:creationId xmlns:a16="http://schemas.microsoft.com/office/drawing/2014/main" id="{53F5F1A0-5145-D25A-153D-F28C9C07456E}"/>
                </a:ext>
              </a:extLst>
            </xdr:cNvPr>
            <xdr:cNvPicPr preferRelativeResize="0">
              <a:picLocks noChangeArrowheads="1"/>
              <a:extLst>
                <a:ext uri="{84589F7E-364E-4C9E-8A38-B11213B215E9}">
                  <a14:cameraTool cellRange="$D$200" spid="_x0000_s6770603"/>
                </a:ext>
              </a:extLst>
            </xdr:cNvPicPr>
          </xdr:nvPicPr>
          <xdr:blipFill>
            <a:blip xmlns:r="http://schemas.openxmlformats.org/officeDocument/2006/relationships" r:embed="rId10"/>
            <a:srcRect l="75589" t="7520" r="12634" b="20421"/>
            <a:stretch>
              <a:fillRect/>
            </a:stretch>
          </xdr:blipFill>
          <xdr:spPr bwMode="auto">
            <a:xfrm>
              <a:off x="6461760" y="243840"/>
              <a:ext cx="5867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868680</xdr:colOff>
          <xdr:row>1</xdr:row>
          <xdr:rowOff>45720</xdr:rowOff>
        </xdr:from>
        <xdr:to>
          <xdr:col>3</xdr:col>
          <xdr:colOff>1463040</xdr:colOff>
          <xdr:row>1</xdr:row>
          <xdr:rowOff>259080</xdr:rowOff>
        </xdr:to>
        <xdr:pic>
          <xdr:nvPicPr>
            <xdr:cNvPr id="6770471" name="Picture 28">
              <a:extLst>
                <a:ext uri="{FF2B5EF4-FFF2-40B4-BE49-F238E27FC236}">
                  <a16:creationId xmlns:a16="http://schemas.microsoft.com/office/drawing/2014/main" id="{5C6392F0-EC18-5758-981C-A228546A2268}"/>
                </a:ext>
              </a:extLst>
            </xdr:cNvPr>
            <xdr:cNvPicPr preferRelativeResize="0">
              <a:picLocks noChangeArrowheads="1"/>
              <a:extLst>
                <a:ext uri="{84589F7E-364E-4C9E-8A38-B11213B215E9}">
                  <a14:cameraTool cellRange="$D$150" spid="_x0000_s6770604"/>
                </a:ext>
              </a:extLst>
            </xdr:cNvPicPr>
          </xdr:nvPicPr>
          <xdr:blipFill>
            <a:blip xmlns:r="http://schemas.openxmlformats.org/officeDocument/2006/relationships" r:embed="rId10"/>
            <a:srcRect l="81039" t="4796" r="6010" b="18925"/>
            <a:stretch>
              <a:fillRect/>
            </a:stretch>
          </xdr:blipFill>
          <xdr:spPr bwMode="auto">
            <a:xfrm>
              <a:off x="5143500" y="236220"/>
              <a:ext cx="59436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259080</xdr:colOff>
          <xdr:row>1</xdr:row>
          <xdr:rowOff>45720</xdr:rowOff>
        </xdr:from>
        <xdr:to>
          <xdr:col>3</xdr:col>
          <xdr:colOff>807720</xdr:colOff>
          <xdr:row>1</xdr:row>
          <xdr:rowOff>259080</xdr:rowOff>
        </xdr:to>
        <xdr:pic>
          <xdr:nvPicPr>
            <xdr:cNvPr id="6770472" name="Picture 27">
              <a:extLst>
                <a:ext uri="{FF2B5EF4-FFF2-40B4-BE49-F238E27FC236}">
                  <a16:creationId xmlns:a16="http://schemas.microsoft.com/office/drawing/2014/main" id="{8BC82262-8860-B0E3-2BB1-DF2159FCB1A1}"/>
                </a:ext>
              </a:extLst>
            </xdr:cNvPr>
            <xdr:cNvPicPr preferRelativeResize="0">
              <a:picLocks noChangeArrowheads="1"/>
              <a:extLst>
                <a:ext uri="{84589F7E-364E-4C9E-8A38-B11213B215E9}">
                  <a14:cameraTool cellRange="$D$127" spid="_x0000_s6770605"/>
                </a:ext>
              </a:extLst>
            </xdr:cNvPicPr>
          </xdr:nvPicPr>
          <xdr:blipFill>
            <a:blip xmlns:r="http://schemas.openxmlformats.org/officeDocument/2006/relationships" r:embed="rId10"/>
            <a:srcRect l="80910" t="7497" r="7684" b="18716"/>
            <a:stretch>
              <a:fillRect/>
            </a:stretch>
          </xdr:blipFill>
          <xdr:spPr bwMode="auto">
            <a:xfrm>
              <a:off x="4533900" y="236220"/>
              <a:ext cx="548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2621280</xdr:colOff>
          <xdr:row>1</xdr:row>
          <xdr:rowOff>45720</xdr:rowOff>
        </xdr:from>
        <xdr:to>
          <xdr:col>3</xdr:col>
          <xdr:colOff>198120</xdr:colOff>
          <xdr:row>1</xdr:row>
          <xdr:rowOff>251460</xdr:rowOff>
        </xdr:to>
        <xdr:pic>
          <xdr:nvPicPr>
            <xdr:cNvPr id="6770473" name="Picture 26">
              <a:extLst>
                <a:ext uri="{FF2B5EF4-FFF2-40B4-BE49-F238E27FC236}">
                  <a16:creationId xmlns:a16="http://schemas.microsoft.com/office/drawing/2014/main" id="{F1F71157-9E5F-A8B2-D7B5-05BBF2DFABC6}"/>
                </a:ext>
              </a:extLst>
            </xdr:cNvPr>
            <xdr:cNvPicPr preferRelativeResize="0">
              <a:picLocks noChangeArrowheads="1"/>
              <a:extLst>
                <a:ext uri="{84589F7E-364E-4C9E-8A38-B11213B215E9}">
                  <a14:cameraTool cellRange="$D$96" spid="_x0000_s6770606"/>
                </a:ext>
              </a:extLst>
            </xdr:cNvPicPr>
          </xdr:nvPicPr>
          <xdr:blipFill>
            <a:blip xmlns:r="http://schemas.openxmlformats.org/officeDocument/2006/relationships" r:embed="rId8"/>
            <a:srcRect l="9196" t="1511" r="77956" b="17662"/>
            <a:stretch>
              <a:fillRect/>
            </a:stretch>
          </xdr:blipFill>
          <xdr:spPr bwMode="auto">
            <a:xfrm>
              <a:off x="3154680" y="236220"/>
              <a:ext cx="131826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1</xdr:row>
          <xdr:rowOff>45720</xdr:rowOff>
        </xdr:from>
        <xdr:to>
          <xdr:col>2</xdr:col>
          <xdr:colOff>1264920</xdr:colOff>
          <xdr:row>1</xdr:row>
          <xdr:rowOff>259080</xdr:rowOff>
        </xdr:to>
        <xdr:pic>
          <xdr:nvPicPr>
            <xdr:cNvPr id="6770474" name="Picture 24">
              <a:extLst>
                <a:ext uri="{FF2B5EF4-FFF2-40B4-BE49-F238E27FC236}">
                  <a16:creationId xmlns:a16="http://schemas.microsoft.com/office/drawing/2014/main" id="{E1589614-40CF-0AD2-E553-4718B4D72368}"/>
                </a:ext>
              </a:extLst>
            </xdr:cNvPr>
            <xdr:cNvPicPr preferRelativeResize="0">
              <a:picLocks noChangeArrowheads="1"/>
              <a:extLst>
                <a:ext uri="{84589F7E-364E-4C9E-8A38-B11213B215E9}">
                  <a14:cameraTool cellRange="$D$20" spid="_x0000_s6770607"/>
                </a:ext>
              </a:extLst>
            </xdr:cNvPicPr>
          </xdr:nvPicPr>
          <xdr:blipFill>
            <a:blip xmlns:r="http://schemas.openxmlformats.org/officeDocument/2006/relationships" r:embed="rId8"/>
            <a:srcRect l="1268" t="5405" r="88158" b="17548"/>
            <a:stretch>
              <a:fillRect/>
            </a:stretch>
          </xdr:blipFill>
          <xdr:spPr bwMode="auto">
            <a:xfrm>
              <a:off x="1219200" y="236220"/>
              <a:ext cx="57912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1356360</xdr:colOff>
          <xdr:row>1</xdr:row>
          <xdr:rowOff>45720</xdr:rowOff>
        </xdr:from>
        <xdr:to>
          <xdr:col>2</xdr:col>
          <xdr:colOff>1927860</xdr:colOff>
          <xdr:row>1</xdr:row>
          <xdr:rowOff>251460</xdr:rowOff>
        </xdr:to>
        <xdr:pic>
          <xdr:nvPicPr>
            <xdr:cNvPr id="6770475" name="Picture 23">
              <a:extLst>
                <a:ext uri="{FF2B5EF4-FFF2-40B4-BE49-F238E27FC236}">
                  <a16:creationId xmlns:a16="http://schemas.microsoft.com/office/drawing/2014/main" id="{0649BA8D-E793-C9FD-7A43-F12828BD2215}"/>
                </a:ext>
              </a:extLst>
            </xdr:cNvPr>
            <xdr:cNvPicPr preferRelativeResize="0">
              <a:picLocks noChangeArrowheads="1"/>
              <a:extLst>
                <a:ext uri="{84589F7E-364E-4C9E-8A38-B11213B215E9}">
                  <a14:cameraTool cellRange="$D$43" spid="_x0000_s6770608"/>
                </a:ext>
              </a:extLst>
            </xdr:cNvPicPr>
          </xdr:nvPicPr>
          <xdr:blipFill>
            <a:blip xmlns:r="http://schemas.openxmlformats.org/officeDocument/2006/relationships" r:embed="rId8"/>
            <a:srcRect l="26218" t="10715" r="62430" b="12151"/>
            <a:stretch>
              <a:fillRect/>
            </a:stretch>
          </xdr:blipFill>
          <xdr:spPr bwMode="auto">
            <a:xfrm>
              <a:off x="1889760" y="236220"/>
              <a:ext cx="57150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2034540</xdr:colOff>
          <xdr:row>1</xdr:row>
          <xdr:rowOff>45720</xdr:rowOff>
        </xdr:from>
        <xdr:to>
          <xdr:col>2</xdr:col>
          <xdr:colOff>2552700</xdr:colOff>
          <xdr:row>1</xdr:row>
          <xdr:rowOff>251460</xdr:rowOff>
        </xdr:to>
        <xdr:pic>
          <xdr:nvPicPr>
            <xdr:cNvPr id="6770476" name="Picture 25">
              <a:extLst>
                <a:ext uri="{FF2B5EF4-FFF2-40B4-BE49-F238E27FC236}">
                  <a16:creationId xmlns:a16="http://schemas.microsoft.com/office/drawing/2014/main" id="{0B5C4F14-0FAB-C76A-13EB-3BB9F25585F9}"/>
                </a:ext>
              </a:extLst>
            </xdr:cNvPr>
            <xdr:cNvPicPr preferRelativeResize="0">
              <a:picLocks noChangeArrowheads="1"/>
              <a:extLst>
                <a:ext uri="{84589F7E-364E-4C9E-8A38-B11213B215E9}">
                  <a14:cameraTool cellRange="$D$74" spid="_x0000_s6770609"/>
                </a:ext>
              </a:extLst>
            </xdr:cNvPicPr>
          </xdr:nvPicPr>
          <xdr:blipFill>
            <a:blip xmlns:r="http://schemas.openxmlformats.org/officeDocument/2006/relationships" r:embed="rId17"/>
            <a:srcRect l="1485" t="7822" r="87874" b="24252"/>
            <a:stretch>
              <a:fillRect/>
            </a:stretch>
          </xdr:blipFill>
          <xdr:spPr bwMode="auto">
            <a:xfrm>
              <a:off x="2567940" y="236220"/>
              <a:ext cx="51816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1973580</xdr:colOff>
          <xdr:row>2</xdr:row>
          <xdr:rowOff>7620</xdr:rowOff>
        </xdr:from>
        <xdr:to>
          <xdr:col>3</xdr:col>
          <xdr:colOff>2552700</xdr:colOff>
          <xdr:row>2</xdr:row>
          <xdr:rowOff>213360</xdr:rowOff>
        </xdr:to>
        <xdr:pic>
          <xdr:nvPicPr>
            <xdr:cNvPr id="6770477" name="Picture 41">
              <a:extLst>
                <a:ext uri="{FF2B5EF4-FFF2-40B4-BE49-F238E27FC236}">
                  <a16:creationId xmlns:a16="http://schemas.microsoft.com/office/drawing/2014/main" id="{75FF10DE-1A23-0853-9A0B-010157AC40B5}"/>
                </a:ext>
              </a:extLst>
            </xdr:cNvPr>
            <xdr:cNvPicPr preferRelativeResize="0">
              <a:picLocks noChangeArrowheads="1"/>
              <a:extLst>
                <a:ext uri="{84589F7E-364E-4C9E-8A38-B11213B215E9}">
                  <a14:cameraTool cellRange="$D$422" spid="_x0000_s6770610"/>
                </a:ext>
              </a:extLst>
            </xdr:cNvPicPr>
          </xdr:nvPicPr>
          <xdr:blipFill>
            <a:blip xmlns:r="http://schemas.openxmlformats.org/officeDocument/2006/relationships" r:embed="rId32"/>
            <a:srcRect l="78091" t="7774" r="8884" b="15053"/>
            <a:stretch>
              <a:fillRect/>
            </a:stretch>
          </xdr:blipFill>
          <xdr:spPr bwMode="auto">
            <a:xfrm>
              <a:off x="6248400" y="586740"/>
              <a:ext cx="57912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2842260</xdr:colOff>
          <xdr:row>2</xdr:row>
          <xdr:rowOff>7620</xdr:rowOff>
        </xdr:from>
        <xdr:to>
          <xdr:col>3</xdr:col>
          <xdr:colOff>411480</xdr:colOff>
          <xdr:row>2</xdr:row>
          <xdr:rowOff>213360</xdr:rowOff>
        </xdr:to>
        <xdr:pic>
          <xdr:nvPicPr>
            <xdr:cNvPr id="6770478" name="Picture 38">
              <a:extLst>
                <a:ext uri="{FF2B5EF4-FFF2-40B4-BE49-F238E27FC236}">
                  <a16:creationId xmlns:a16="http://schemas.microsoft.com/office/drawing/2014/main" id="{D62FB702-A67D-3E16-5C6B-12EA5B3F9771}"/>
                </a:ext>
              </a:extLst>
            </xdr:cNvPr>
            <xdr:cNvPicPr preferRelativeResize="0">
              <a:picLocks noChangeArrowheads="1"/>
              <a:extLst>
                <a:ext uri="{84589F7E-364E-4C9E-8A38-B11213B215E9}">
                  <a14:cameraTool cellRange="$D$350" spid="_x0000_s6770611"/>
                </a:ext>
              </a:extLst>
            </xdr:cNvPicPr>
          </xdr:nvPicPr>
          <xdr:blipFill>
            <a:blip xmlns:r="http://schemas.openxmlformats.org/officeDocument/2006/relationships" r:embed="rId8"/>
            <a:srcRect l="73042" t="13168" r="14993" b="15485"/>
            <a:stretch>
              <a:fillRect/>
            </a:stretch>
          </xdr:blipFill>
          <xdr:spPr bwMode="auto">
            <a:xfrm>
              <a:off x="3375660" y="586740"/>
              <a:ext cx="13106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548640</xdr:colOff>
          <xdr:row>2</xdr:row>
          <xdr:rowOff>7620</xdr:rowOff>
        </xdr:from>
        <xdr:to>
          <xdr:col>3</xdr:col>
          <xdr:colOff>1127760</xdr:colOff>
          <xdr:row>2</xdr:row>
          <xdr:rowOff>220980</xdr:rowOff>
        </xdr:to>
        <xdr:pic>
          <xdr:nvPicPr>
            <xdr:cNvPr id="6770479" name="Picture 39">
              <a:extLst>
                <a:ext uri="{FF2B5EF4-FFF2-40B4-BE49-F238E27FC236}">
                  <a16:creationId xmlns:a16="http://schemas.microsoft.com/office/drawing/2014/main" id="{EAE03FCD-9544-4B1B-2D01-50A2B946D96F}"/>
                </a:ext>
              </a:extLst>
            </xdr:cNvPr>
            <xdr:cNvPicPr preferRelativeResize="0">
              <a:picLocks noChangeArrowheads="1"/>
              <a:extLst>
                <a:ext uri="{84589F7E-364E-4C9E-8A38-B11213B215E9}">
                  <a14:cameraTool cellRange="$D$374" spid="_x0000_s6770612"/>
                </a:ext>
              </a:extLst>
            </xdr:cNvPicPr>
          </xdr:nvPicPr>
          <xdr:blipFill>
            <a:blip xmlns:r="http://schemas.openxmlformats.org/officeDocument/2006/relationships" r:embed="rId8"/>
            <a:srcRect l="72447" t="10529" r="14790" b="14284"/>
            <a:stretch>
              <a:fillRect/>
            </a:stretch>
          </xdr:blipFill>
          <xdr:spPr bwMode="auto">
            <a:xfrm>
              <a:off x="4823460" y="586740"/>
              <a:ext cx="57912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1264920</xdr:colOff>
          <xdr:row>2</xdr:row>
          <xdr:rowOff>0</xdr:rowOff>
        </xdr:from>
        <xdr:to>
          <xdr:col>3</xdr:col>
          <xdr:colOff>1836420</xdr:colOff>
          <xdr:row>2</xdr:row>
          <xdr:rowOff>220980</xdr:rowOff>
        </xdr:to>
        <xdr:pic>
          <xdr:nvPicPr>
            <xdr:cNvPr id="6770480" name="Picture 40">
              <a:extLst>
                <a:ext uri="{FF2B5EF4-FFF2-40B4-BE49-F238E27FC236}">
                  <a16:creationId xmlns:a16="http://schemas.microsoft.com/office/drawing/2014/main" id="{FAF2EA9E-F12B-3654-E307-F80C355EBD85}"/>
                </a:ext>
              </a:extLst>
            </xdr:cNvPr>
            <xdr:cNvPicPr preferRelativeResize="0">
              <a:picLocks noChangeArrowheads="1"/>
              <a:extLst>
                <a:ext uri="{84589F7E-364E-4C9E-8A38-B11213B215E9}">
                  <a14:cameraTool cellRange="$D$398" spid="_x0000_s6770613"/>
                </a:ext>
              </a:extLst>
            </xdr:cNvPicPr>
          </xdr:nvPicPr>
          <xdr:blipFill>
            <a:blip xmlns:r="http://schemas.openxmlformats.org/officeDocument/2006/relationships" r:embed="rId8"/>
            <a:srcRect l="73273" t="9023" r="14589" b="15648"/>
            <a:stretch>
              <a:fillRect/>
            </a:stretch>
          </xdr:blipFill>
          <xdr:spPr bwMode="auto">
            <a:xfrm>
              <a:off x="5539740" y="579120"/>
              <a:ext cx="57150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2682240</xdr:colOff>
          <xdr:row>2</xdr:row>
          <xdr:rowOff>7620</xdr:rowOff>
        </xdr:from>
        <xdr:to>
          <xdr:col>3</xdr:col>
          <xdr:colOff>3268980</xdr:colOff>
          <xdr:row>2</xdr:row>
          <xdr:rowOff>220980</xdr:rowOff>
        </xdr:to>
        <xdr:pic>
          <xdr:nvPicPr>
            <xdr:cNvPr id="6770481" name="Picture 44">
              <a:extLst>
                <a:ext uri="{FF2B5EF4-FFF2-40B4-BE49-F238E27FC236}">
                  <a16:creationId xmlns:a16="http://schemas.microsoft.com/office/drawing/2014/main" id="{52387976-8665-6397-13E3-18F4A41C9D8A}"/>
                </a:ext>
              </a:extLst>
            </xdr:cNvPr>
            <xdr:cNvPicPr preferRelativeResize="0">
              <a:picLocks noChangeArrowheads="1"/>
              <a:extLst>
                <a:ext uri="{84589F7E-364E-4C9E-8A38-B11213B215E9}">
                  <a14:cameraTool cellRange="$D$446" spid="_x0000_s6770614"/>
                </a:ext>
              </a:extLst>
            </xdr:cNvPicPr>
          </xdr:nvPicPr>
          <xdr:blipFill>
            <a:blip xmlns:r="http://schemas.openxmlformats.org/officeDocument/2006/relationships" r:embed="rId8"/>
            <a:srcRect l="77583" t="4512" r="9206" b="15834"/>
            <a:stretch>
              <a:fillRect/>
            </a:stretch>
          </xdr:blipFill>
          <xdr:spPr bwMode="auto">
            <a:xfrm>
              <a:off x="6957060" y="586740"/>
              <a:ext cx="5867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3398520</xdr:colOff>
          <xdr:row>2</xdr:row>
          <xdr:rowOff>0</xdr:rowOff>
        </xdr:from>
        <xdr:to>
          <xdr:col>3</xdr:col>
          <xdr:colOff>3985260</xdr:colOff>
          <xdr:row>2</xdr:row>
          <xdr:rowOff>220980</xdr:rowOff>
        </xdr:to>
        <xdr:pic>
          <xdr:nvPicPr>
            <xdr:cNvPr id="6770482" name="Picture 45">
              <a:extLst>
                <a:ext uri="{FF2B5EF4-FFF2-40B4-BE49-F238E27FC236}">
                  <a16:creationId xmlns:a16="http://schemas.microsoft.com/office/drawing/2014/main" id="{07DE3909-DF05-6520-4A8C-21AA012441D8}"/>
                </a:ext>
              </a:extLst>
            </xdr:cNvPr>
            <xdr:cNvPicPr preferRelativeResize="0">
              <a:picLocks noChangeArrowheads="1"/>
              <a:extLst>
                <a:ext uri="{84589F7E-364E-4C9E-8A38-B11213B215E9}">
                  <a14:cameraTool cellRange="$D$469" spid="_x0000_s6770615"/>
                </a:ext>
              </a:extLst>
            </xdr:cNvPicPr>
          </xdr:nvPicPr>
          <xdr:blipFill>
            <a:blip xmlns:r="http://schemas.openxmlformats.org/officeDocument/2006/relationships" r:embed="rId25"/>
            <a:srcRect l="89027" t="10448" r="5453" b="21927"/>
            <a:stretch>
              <a:fillRect/>
            </a:stretch>
          </xdr:blipFill>
          <xdr:spPr bwMode="auto">
            <a:xfrm>
              <a:off x="7673340" y="579120"/>
              <a:ext cx="5867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3459480</xdr:colOff>
          <xdr:row>1</xdr:row>
          <xdr:rowOff>45720</xdr:rowOff>
        </xdr:from>
        <xdr:to>
          <xdr:col>3</xdr:col>
          <xdr:colOff>3962400</xdr:colOff>
          <xdr:row>1</xdr:row>
          <xdr:rowOff>243840</xdr:rowOff>
        </xdr:to>
        <xdr:pic>
          <xdr:nvPicPr>
            <xdr:cNvPr id="6770483" name="Picture 121">
              <a:extLst>
                <a:ext uri="{FF2B5EF4-FFF2-40B4-BE49-F238E27FC236}">
                  <a16:creationId xmlns:a16="http://schemas.microsoft.com/office/drawing/2014/main" id="{89BE202D-7E5C-C596-DBD0-401E8DC1DB07}"/>
                </a:ext>
              </a:extLst>
            </xdr:cNvPr>
            <xdr:cNvPicPr>
              <a:picLocks noChangeAspect="1" noChangeArrowheads="1"/>
              <a:extLst>
                <a:ext uri="{84589F7E-364E-4C9E-8A38-B11213B215E9}">
                  <a14:cameraTool cellRange="$D$247" spid="_x0000_s6770616"/>
                </a:ext>
              </a:extLst>
            </xdr:cNvPicPr>
          </xdr:nvPicPr>
          <xdr:blipFill>
            <a:blip xmlns:r="http://schemas.openxmlformats.org/officeDocument/2006/relationships" r:embed="rId8"/>
            <a:srcRect l="51973" t="18784" r="41420" b="17647"/>
            <a:stretch>
              <a:fillRect/>
            </a:stretch>
          </xdr:blipFill>
          <xdr:spPr bwMode="auto">
            <a:xfrm>
              <a:off x="7734300" y="236220"/>
              <a:ext cx="502920" cy="19812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4"/>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G23" sqref="AG23:AL23"/>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45352</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75040</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J13" sqref="J13"/>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- 620 Hershey</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10</v>
      </c>
      <c r="G15" s="79"/>
      <c r="H15" s="424">
        <v>2336.752</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1.2699999999999999E-2</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29.6767504</v>
      </c>
      <c r="Y15" s="84">
        <f>$Y$19/$Y$18*H15</f>
        <v>34.542576012095054</v>
      </c>
      <c r="Z15" s="114">
        <f>$Y$19/$Y$18*ABS(X15)</f>
        <v>0.43869071535360721</v>
      </c>
      <c r="AA15" s="754">
        <f>IF(W15=1,input_VOS-input_VOS/(1+O15*AB15),Q15*AB15)</f>
        <v>-30.058493264458775</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2366.8104932644587</v>
      </c>
    </row>
    <row r="16" spans="1:33">
      <c r="A16" s="827"/>
      <c r="B16" s="448" t="s">
        <v>524</v>
      </c>
      <c r="C16" s="803" t="s">
        <v>726</v>
      </c>
      <c r="D16" s="700" t="s">
        <v>723</v>
      </c>
      <c r="E16" s="463" t="s">
        <v>724</v>
      </c>
      <c r="F16" s="390">
        <f>'Interactive Data Grading'!D74</f>
        <v>9</v>
      </c>
      <c r="G16" s="79"/>
      <c r="H16" s="423">
        <v>1.2649999999999999</v>
      </c>
      <c r="I16" s="468"/>
      <c r="J16" s="805" t="str">
        <f>IF('Start Page'!$AB$22="million gallons (US)","MG/Yr",IF('Start Page'!$AB$22="Megalitres (thousand cubic metres)","ML/Yr",IF('Start Page'!$AB$22="acre-feet","Acre-ft/Yr","")))</f>
        <v>MG/Yr</v>
      </c>
      <c r="K16" s="703" t="s">
        <v>723</v>
      </c>
      <c r="L16" s="491" t="s">
        <v>724</v>
      </c>
      <c r="M16" s="390">
        <f>'Interactive Data Grading'!D96</f>
        <v>10</v>
      </c>
      <c r="N16" s="805"/>
      <c r="O16" s="386">
        <v>1.8E-3</v>
      </c>
      <c r="P16" s="466" t="s">
        <v>602</v>
      </c>
      <c r="Q16" s="992"/>
      <c r="R16" s="1022"/>
      <c r="S16" s="389" t="str">
        <f>IF('Start Page'!$AB$22="million gallons (US)","MG/Yr",IF('Start Page'!$AB$22="Megalitres (thousand cubic metres)","ML/Yr",IF('Start Page'!$AB$22="acre-feet","acre-ft/yr","")))</f>
        <v>MG/Yr</v>
      </c>
      <c r="T16" s="807" t="s">
        <v>727</v>
      </c>
      <c r="U16" s="445" t="s">
        <v>529</v>
      </c>
      <c r="V16" s="827"/>
      <c r="W16" s="383">
        <f t="shared" ref="W16:W17" si="0">IF(P16="percent",1,2)</f>
        <v>1</v>
      </c>
      <c r="X16" s="836">
        <f>IF(H16&gt;0,IF(W16=1,O16*H16,Q16),0)</f>
        <v>2.2769999999999999E-3</v>
      </c>
      <c r="Y16" s="84">
        <f>$Y$19/$Y$18*H16</f>
        <v>1.8699613247490639E-2</v>
      </c>
      <c r="Z16" s="114">
        <f>$Y$19/$Y$18*ABS(X16)</f>
        <v>3.3659303845483148E-5</v>
      </c>
      <c r="AA16" s="754">
        <f>IF(W16=1,input_WI-input_WI/(1+O16*AB16),Q16*AB16)</f>
        <v>2.2729087642243684E-3</v>
      </c>
      <c r="AB16" s="837">
        <f t="shared" ref="AB16:AB17" si="1">IF(OR(T16="",T16="Select….."),0,IF(T16="Under-registration",-1,1))</f>
        <v>1</v>
      </c>
      <c r="AC16" s="206" t="str">
        <f t="shared" ref="AC16:AC17" si="2">IF(OR(H16&lt;=0,AND(H16&gt;0,OR(AND(W16=1,O16=0),AND(W16=2,Q16=0)))),"no","yes")</f>
        <v>yes</v>
      </c>
      <c r="AD16" s="206" t="str">
        <f>IF(OR(T16="select…..",T16=""),"no","yes")</f>
        <v>yes</v>
      </c>
      <c r="AE16" s="206" t="str">
        <f t="shared" ref="AE16:AE17" si="3">IF(AND(AC16="yes",AD16="no"),"yes","no")</f>
        <v>no</v>
      </c>
      <c r="AF16" s="205">
        <f t="shared" ref="AF16:AF17" si="4">IF(AE16="yes",1,0)</f>
        <v>0</v>
      </c>
      <c r="AG16" s="754">
        <f>input_WI-AA16</f>
        <v>1.2627270912357755</v>
      </c>
    </row>
    <row r="17" spans="1:33" ht="13.35" customHeight="1">
      <c r="A17" s="827"/>
      <c r="B17" s="448" t="s">
        <v>533</v>
      </c>
      <c r="C17" s="803" t="s">
        <v>728</v>
      </c>
      <c r="D17" s="700"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3" t="s">
        <v>723</v>
      </c>
      <c r="L17" s="491"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807" t="s">
        <v>729</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730</v>
      </c>
      <c r="U18" s="444"/>
      <c r="V18" s="827"/>
      <c r="W18" s="383"/>
      <c r="X18" s="385"/>
      <c r="Y18" s="84">
        <f>H15+H16+H17+IF(H15&gt;0,ABS(X15),0)+IF(H16&gt;0,ABS(X16),0)+IF(H17&gt;0,(ABS(X17)),)</f>
        <v>2367.6960273999998</v>
      </c>
      <c r="Z18" s="115"/>
      <c r="AA18" s="118"/>
      <c r="AB18" s="206"/>
      <c r="AC18" s="206"/>
      <c r="AD18" s="206"/>
      <c r="AE18" s="206"/>
      <c r="AF18" s="205">
        <f>SUM(AF15:AF17)</f>
        <v>0</v>
      </c>
      <c r="AG18" s="118" t="s">
        <v>731</v>
      </c>
    </row>
    <row r="19" spans="1:33" ht="13.5" thickBot="1">
      <c r="A19" s="827"/>
      <c r="B19" s="447"/>
      <c r="C19" s="995" t="s">
        <v>732</v>
      </c>
      <c r="D19" s="995"/>
      <c r="E19" s="995"/>
      <c r="F19" s="995"/>
      <c r="G19" s="205"/>
      <c r="H19" s="727">
        <f>IF(AF18&gt;0,"Select under/over",IF(H15&gt;0,IF(W15=1,H15/(1+O15*AB15),H15-Q15*AB15),0)+IF(H16&gt;0,IF(W16=1,H16/(1+O16*AB16),H16-Q16*AB16),0)-IF(H17&gt;0,IF(W17=1,H17/(1+O17*AB17),H17-Q17*AB17),0))</f>
        <v>2368.0732203556945</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736</v>
      </c>
      <c r="D23" s="700" t="s">
        <v>723</v>
      </c>
      <c r="E23" s="463" t="s">
        <v>724</v>
      </c>
      <c r="F23" s="390">
        <f>'Interactive Data Grading'!D177</f>
        <v>9</v>
      </c>
      <c r="G23" s="79"/>
      <c r="H23" s="254">
        <v>1839.2840000000001</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13.879226363116473</v>
      </c>
      <c r="Z23" s="845"/>
      <c r="AA23" s="118" t="s">
        <v>737</v>
      </c>
      <c r="AB23" s="206"/>
      <c r="AC23" s="206"/>
      <c r="AD23" s="206"/>
      <c r="AE23" s="206"/>
      <c r="AF23" s="118"/>
      <c r="AG23" s="118"/>
    </row>
    <row r="24" spans="1:33">
      <c r="A24" s="827"/>
      <c r="B24" s="448" t="s">
        <v>544</v>
      </c>
      <c r="C24" s="803" t="s">
        <v>738</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0.12077363688352594</v>
      </c>
      <c r="Z24" s="835"/>
      <c r="AA24" s="118"/>
      <c r="AB24" s="206"/>
      <c r="AC24" s="206"/>
      <c r="AD24" s="206"/>
      <c r="AE24" s="206"/>
      <c r="AF24" s="118"/>
      <c r="AG24" s="118"/>
    </row>
    <row r="25" spans="1:33" ht="13.35" customHeight="1">
      <c r="A25" s="827"/>
      <c r="B25" s="448" t="s">
        <v>546</v>
      </c>
      <c r="C25" s="803" t="s">
        <v>739</v>
      </c>
      <c r="D25" s="700" t="s">
        <v>723</v>
      </c>
      <c r="E25" s="463" t="s">
        <v>724</v>
      </c>
      <c r="F25" s="390">
        <f>'Interactive Data Grading'!D224</f>
        <v>10</v>
      </c>
      <c r="G25" s="79"/>
      <c r="H25" s="395">
        <v>16.004999999999999</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1855.2890000000002</v>
      </c>
      <c r="Z25" s="835"/>
      <c r="AA25" s="118"/>
      <c r="AB25" s="206"/>
      <c r="AC25" s="206"/>
      <c r="AD25" s="206"/>
      <c r="AE25" s="206"/>
      <c r="AF25" s="439" t="s">
        <v>740</v>
      </c>
      <c r="AG25" s="118"/>
    </row>
    <row r="26" spans="1:33" ht="15" customHeight="1" thickBot="1">
      <c r="A26" s="827"/>
      <c r="B26" s="448" t="s">
        <v>550</v>
      </c>
      <c r="C26" s="803" t="s">
        <v>741</v>
      </c>
      <c r="D26" s="700" t="s">
        <v>723</v>
      </c>
      <c r="E26" s="463" t="s">
        <v>724</v>
      </c>
      <c r="F26" s="390">
        <f>'Interactive Data Grading'!D247</f>
        <v>10</v>
      </c>
      <c r="G26" s="79"/>
      <c r="H26" s="727">
        <f>IF(OR(W26=1,AND(W26=2,Q26=0)),O26*SUM(H23:H24),Q26)</f>
        <v>26.512</v>
      </c>
      <c r="I26" s="468"/>
      <c r="J26" s="805" t="str">
        <f>IF('Start Page'!$AB$22="million gallons (US)","MG/Yr",IF('Start Page'!$AB$22="Megalitres (thousand cubic metres)","ML/Yr",IF('Start Page'!$AB$22="acre-feet","Acre-ft/Yr","")))</f>
        <v>MG/Yr</v>
      </c>
      <c r="K26" s="805"/>
      <c r="L26" s="805"/>
      <c r="M26" s="805"/>
      <c r="N26" s="805"/>
      <c r="O26" s="391">
        <v>2.5000000000000001E-3</v>
      </c>
      <c r="P26" s="524" t="s">
        <v>614</v>
      </c>
      <c r="Q26" s="992">
        <v>26.512</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743</v>
      </c>
      <c r="D30" s="989"/>
      <c r="E30" s="989"/>
      <c r="F30" s="989"/>
      <c r="G30" s="205"/>
      <c r="H30" s="727">
        <f>SUM(H23:H26)</f>
        <v>1881.8010000000002</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486.27222035569434</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746</v>
      </c>
      <c r="D39" s="700" t="s">
        <v>723</v>
      </c>
      <c r="E39" s="463" t="s">
        <v>724</v>
      </c>
      <c r="F39" s="390">
        <f>'Interactive Data Grading'!D271</f>
        <v>3</v>
      </c>
      <c r="G39" s="152"/>
      <c r="H39" s="847">
        <f>IF(OR(W39=1,AND(W39=2,Q39=0)),O39*SUM(H23:H24),Q39)</f>
        <v>4.5982100000000008</v>
      </c>
      <c r="I39" s="728"/>
      <c r="J39" s="805" t="str">
        <f>IF('Start Page'!$AB$22="million gallons (US)","MG/Yr",IF('Start Page'!$AB$22="Megalitres (thousand cubic metres)","ML/Yr",IF('Start Page'!$AB$22="acre-feet","Acre-ft/Yr","")))</f>
        <v>MG/Yr</v>
      </c>
      <c r="K39" s="805"/>
      <c r="L39" s="805"/>
      <c r="M39" s="805"/>
      <c r="N39" s="805"/>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747</v>
      </c>
      <c r="D41" s="700" t="s">
        <v>723</v>
      </c>
      <c r="E41" s="463" t="s">
        <v>724</v>
      </c>
      <c r="F41" s="390">
        <f>'Interactive Data Grading'!D300</f>
        <v>7</v>
      </c>
      <c r="G41" s="152"/>
      <c r="H41" s="848">
        <f>IF(OR(T41="Select…..",T41=""),"Select under/over",IF(W41=1,((H23+H25)/(1-(O41*X41)))-(H23+H25),Q41*X41))</f>
        <v>37.863040816326475</v>
      </c>
      <c r="I41" s="728"/>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723</v>
      </c>
      <c r="E43" s="463" t="s">
        <v>724</v>
      </c>
      <c r="F43" s="390">
        <f>'Interactive Data Grading'!D322</f>
        <v>3</v>
      </c>
      <c r="G43" s="152"/>
      <c r="H43" s="727">
        <f>IF(OR(W43=1,AND(W43=2,Q43=0)),O43*SUM(H23:H24),Q43)</f>
        <v>4.5982100000000008</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47.059460816326478</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37.536408163265378</v>
      </c>
      <c r="Y50" s="854">
        <f>IFERROR(IF(W41=1,((H25)/(1-(O41*X41)))-(H25),Q41*H25/(H23+H25)),0)</f>
        <v>0.32663265306122469</v>
      </c>
      <c r="Z50" s="855">
        <f>SUM(X50:Y50)</f>
        <v>37.863040816326603</v>
      </c>
      <c r="AA50" s="990"/>
      <c r="AB50" s="990"/>
      <c r="AC50" s="990"/>
    </row>
    <row r="51" spans="1:29">
      <c r="A51" s="827"/>
      <c r="B51" s="448"/>
      <c r="C51" s="996" t="s">
        <v>754</v>
      </c>
      <c r="D51" s="996"/>
      <c r="E51" s="996"/>
      <c r="F51" s="996"/>
      <c r="G51" s="728"/>
      <c r="H51" s="727">
        <f>IFERROR(H35-H46,"")</f>
        <v>439.21275953936788</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520629.98122449074</v>
      </c>
      <c r="Y51" s="856">
        <f>Y50*input_VPC</f>
        <v>209.3421336734695</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486.27222035569434</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528.7892203556944</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723</v>
      </c>
      <c r="E61" s="463" t="s">
        <v>724</v>
      </c>
      <c r="F61" s="390">
        <f>'Interactive Data Grading'!D350</f>
        <v>10</v>
      </c>
      <c r="G61" s="47"/>
      <c r="H61" s="256">
        <v>332.8</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3" t="s">
        <v>761</v>
      </c>
      <c r="D62" s="700" t="s">
        <v>723</v>
      </c>
      <c r="E62" s="463" t="s">
        <v>724</v>
      </c>
      <c r="F62" s="390">
        <f>'Interactive Data Grading'!D374</f>
        <v>10</v>
      </c>
      <c r="G62" s="47"/>
      <c r="H62" s="396">
        <v>24243</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72.845552884615387</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3" t="s">
        <v>766</v>
      </c>
      <c r="D66" s="700" t="s">
        <v>723</v>
      </c>
      <c r="E66" s="463" t="s">
        <v>724</v>
      </c>
      <c r="F66" s="390">
        <f>'Interactive Data Grading'!D398</f>
        <v>10</v>
      </c>
      <c r="G66" s="47"/>
      <c r="H66" s="256">
        <v>20.5</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20.5</v>
      </c>
      <c r="X67" s="171" t="s">
        <v>769</v>
      </c>
      <c r="Y67" s="171"/>
      <c r="Z67" s="171"/>
    </row>
    <row r="68" spans="1:26">
      <c r="A68" s="827"/>
      <c r="B68" s="448" t="s">
        <v>577</v>
      </c>
      <c r="C68" s="803" t="s">
        <v>770</v>
      </c>
      <c r="D68" s="700" t="s">
        <v>723</v>
      </c>
      <c r="E68" s="463" t="s">
        <v>724</v>
      </c>
      <c r="F68" s="390">
        <f>'Interactive Data Grading'!D422</f>
        <v>8</v>
      </c>
      <c r="G68" s="47"/>
      <c r="H68" s="256">
        <v>79.099999999999994</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774</v>
      </c>
      <c r="D76" s="700" t="s">
        <v>723</v>
      </c>
      <c r="E76" s="425" t="s">
        <v>724</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583</v>
      </c>
      <c r="C77" s="803" t="s">
        <v>777</v>
      </c>
      <c r="D77" s="700" t="s">
        <v>723</v>
      </c>
      <c r="E77" s="463" t="s">
        <v>724</v>
      </c>
      <c r="F77" s="390">
        <f>'Interactive Data Grading'!D469</f>
        <v>10</v>
      </c>
      <c r="G77" s="118"/>
      <c r="H77" s="864">
        <v>640.91</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7357082</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14" activePane="bottomLeft" state="frozen"/>
      <selection activeCell="B15" sqref="B15:F17"/>
      <selection pane="bottomLeft" activeCell="D420" sqref="D420"/>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- 620 Hershey</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62</v>
      </c>
      <c r="E62" s="628"/>
      <c r="F62" s="258"/>
      <c r="I62" s="676"/>
      <c r="J62" s="669" t="s">
        <v>804</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t="s">
        <v>52</v>
      </c>
      <c r="E65" s="628" t="str">
        <f>IFERROR(IF(OR($D$74=10,NOT(ISNUMBER($D$74))),"",IF(I65=$I$74,"Limiting","")),"")</f>
        <v>Limiting</v>
      </c>
      <c r="F65" s="258"/>
      <c r="G65" s="669">
        <f>IFERROR(IF(H63&lt;7,1,IF(LEN(D65)&gt;0,1,0)),"")</f>
        <v>1</v>
      </c>
      <c r="H65" s="677">
        <f>VLOOKUP('Interactive Data Grading'!D65,WI!$D$6:$M$16,10,FALSE)</f>
        <v>7</v>
      </c>
      <c r="I65" s="678">
        <f>IF(AND(H65&gt;=7,H68&gt;=7),MAX(H65,9),IF(AND(H65&gt;3,H65&lt;7,H68&gt;3,H68&lt;7),MAX(H65,H68),IF(H68&gt;=7,MAX(7,H65),H65)))</f>
        <v>9</v>
      </c>
    </row>
    <row r="66" spans="1:18" ht="26.45" customHeight="1">
      <c r="A66" s="163"/>
      <c r="B66" s="441" t="s">
        <v>99</v>
      </c>
      <c r="C66" s="743" t="str">
        <f>WI!B37</f>
        <v>What level of data transfer errors are checked as part of the electronic calibration process?</v>
      </c>
      <c r="D66" s="264" t="s">
        <v>66</v>
      </c>
      <c r="E66" s="628" t="str">
        <f t="shared" ref="E66:E73" si="5">IFERROR(IF(OR($D$74=10,NOT(ISNUMBER($D$74))),"",IF(I66=$I$74,"Limiting","")),"")</f>
        <v/>
      </c>
      <c r="F66" s="258"/>
      <c r="G66" s="679">
        <f>IFERROR(IF(H63&lt;7,1,IF(OR(D65=WI!D23,D65=WI!D27),1,IF(LEN(D66)&gt;0,1,0))),"")</f>
        <v>1</v>
      </c>
      <c r="H66" s="677">
        <f>VLOOKUP('Interactive Data Grading'!D66,WI!$E$6:$M$16,9,FALSE)</f>
        <v>10</v>
      </c>
      <c r="I66" s="677">
        <f>H66</f>
        <v>10</v>
      </c>
      <c r="J66" s="669" t="s">
        <v>98</v>
      </c>
    </row>
    <row r="67" spans="1:18" ht="18" customHeight="1">
      <c r="A67" s="163"/>
      <c r="B67" s="441" t="s">
        <v>100</v>
      </c>
      <c r="C67" s="743" t="str">
        <f>WI!B38</f>
        <v>Is the most recent electronic calibration documentation available?</v>
      </c>
      <c r="D67" s="264" t="s">
        <v>62</v>
      </c>
      <c r="E67" s="628" t="str">
        <f t="shared" si="5"/>
        <v/>
      </c>
      <c r="F67" s="258"/>
      <c r="G67" s="669">
        <f>IFERROR(IF(H63&lt;7,1,IF(OR(D65=WI!D23,D65=WI!D27),1,IF(LEN(D67)&gt;0,1,0))),"")</f>
        <v>1</v>
      </c>
      <c r="H67" s="677">
        <f>VLOOKUP('Interactive Data Grading'!D67,WI!$F$6:$M$16,8,FALSE)</f>
        <v>10</v>
      </c>
      <c r="I67" s="678">
        <f>IF(D65=WI!D23,X,IF(AND(H67=5,H69=10),7,H67))</f>
        <v>10</v>
      </c>
      <c r="J67" s="669" t="s">
        <v>98</v>
      </c>
    </row>
    <row r="68" spans="1:18" ht="16.5" customHeight="1">
      <c r="A68" s="163"/>
      <c r="B68" s="441" t="s">
        <v>101</v>
      </c>
      <c r="C68" s="743" t="str">
        <f>WI!B39</f>
        <v>What is the frequency of in-situ flow accuracy testing?</v>
      </c>
      <c r="D68" s="264" t="s">
        <v>52</v>
      </c>
      <c r="E68" s="628" t="str">
        <f t="shared" si="5"/>
        <v>Limiting</v>
      </c>
      <c r="F68" s="258"/>
      <c r="G68" s="669">
        <f>IFERROR(IF(H63&lt;7,1,IF(LEN(D68)&gt;0,1,0)),"")</f>
        <v>1</v>
      </c>
      <c r="H68" s="677">
        <f>VLOOKUP('Interactive Data Grading'!D68,WI!$G$6:$M$16,7,FALSE)</f>
        <v>7</v>
      </c>
      <c r="I68" s="678">
        <f>IF(AND(H65&gt;=7,H68&gt;=7),MAX(H68,9),IF(AND(H65&gt;3,H65&lt;7,H68&gt;3,H68&lt;7),MAX(H65,H68),IF(H65&gt;=7,MAX(7,H68),H68)))</f>
        <v>9</v>
      </c>
    </row>
    <row r="69" spans="1:18" ht="20.45" customHeight="1">
      <c r="A69" s="163"/>
      <c r="B69" s="441" t="s">
        <v>102</v>
      </c>
      <c r="C69" s="743" t="str">
        <f>WI!B40</f>
        <v>Is the most recent in-situ flow accuracy testing documentation available?</v>
      </c>
      <c r="D69" s="264" t="s">
        <v>62</v>
      </c>
      <c r="E69" s="628" t="str">
        <f t="shared" si="5"/>
        <v/>
      </c>
      <c r="F69" s="258"/>
      <c r="G69" s="669">
        <f>IFERROR(IF(H63&lt;7,1,IF(D68=WI!G23,1,IF(LEN(D69)&gt;0,1,0))),"")</f>
        <v>1</v>
      </c>
      <c r="H69" s="677">
        <f>VLOOKUP('Interactive Data Grading'!D69,WI!$H$6:$M$16,6,FALSE)</f>
        <v>10</v>
      </c>
      <c r="I69" s="678">
        <f>IF(D68=WI!G23,X,IF(AND(H69=5,H67=10),7,H69))</f>
        <v>10</v>
      </c>
      <c r="J69" s="669" t="s">
        <v>100</v>
      </c>
    </row>
    <row r="70" spans="1:18" ht="27" customHeight="1">
      <c r="A70" s="163"/>
      <c r="B70" s="441" t="s">
        <v>103</v>
      </c>
      <c r="C70" s="743" t="str">
        <f>WI!B41</f>
        <v>What are the total volume-weighted average results of in-situ flow accuracy testing (during or closest to audit year)?</v>
      </c>
      <c r="D70" s="264" t="s">
        <v>63</v>
      </c>
      <c r="E70" s="628" t="str">
        <f t="shared" si="5"/>
        <v/>
      </c>
      <c r="F70" s="258"/>
      <c r="G70" s="669">
        <f>IFERROR(IF(H63&lt;7,1,IF(OR(D68=WI!G23,D69=WI!H23),1,IF(LEN(D70)&gt;0,1,0))),"")</f>
        <v>1</v>
      </c>
      <c r="H70" s="677">
        <f>VLOOKUP('Interactive Data Grading'!D70,WI!$I$6:$M$16,5,FALSE)</f>
        <v>10</v>
      </c>
      <c r="I70" s="678">
        <f>IF(OR(D68=WI!G23,D69=WI!H23),X,H70)</f>
        <v>10</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t="s">
        <v>62</v>
      </c>
      <c r="E71" s="628" t="str">
        <f t="shared" si="5"/>
        <v/>
      </c>
      <c r="F71" s="258"/>
      <c r="G71" s="669">
        <f>IFERROR(IF(H63&lt;7,1,IF(AND(OR(D65=WI!D23,D65=WI!D27),D68=WI!G23),1,IF(LEN(D71)&gt;0,1,0))),"")</f>
        <v>1</v>
      </c>
      <c r="H71" s="677">
        <f>VLOOKUP('Interactive Data Grading'!D71,WI!$J$6:$M$16,4,FALSE)</f>
        <v>10</v>
      </c>
      <c r="I71" s="678">
        <f>IF(OR(D68=WI!G23,D69=WI!H23),X,H71)</f>
        <v>10</v>
      </c>
      <c r="J71" s="679" t="s">
        <v>818</v>
      </c>
    </row>
    <row r="72" spans="1:18" ht="25.5" customHeight="1">
      <c r="A72" s="163"/>
      <c r="B72" s="441" t="s">
        <v>105</v>
      </c>
      <c r="C72" s="743" t="str">
        <f>WI!B43</f>
        <v>Which best describes the frequency of meter readings (data collection frequency as opposed to billing frequency)?</v>
      </c>
      <c r="D72" s="264" t="s">
        <v>64</v>
      </c>
      <c r="E72" s="628" t="str">
        <f t="shared" si="5"/>
        <v/>
      </c>
      <c r="F72" s="258"/>
      <c r="G72" s="669">
        <f>IFERROR(IF(H63&lt;7,1,IF(LEN(D72)&gt;0,1,0)),"")</f>
        <v>1</v>
      </c>
      <c r="H72" s="677">
        <f>VLOOKUP('Interactive Data Grading'!D72,WI!$K$6:$M$16,3,FALSE)</f>
        <v>10</v>
      </c>
      <c r="I72" s="677">
        <f>H72</f>
        <v>10</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808</v>
      </c>
      <c r="D74" s="631">
        <f>IF(D62="","",IF(D62="No","n/a",IF(G74=0,"",IF(R8=0,H63,I74))))</f>
        <v>9</v>
      </c>
      <c r="E74" s="628"/>
      <c r="F74" s="258"/>
      <c r="G74" s="669">
        <f>MIN(G63:G73)</f>
        <v>1</v>
      </c>
      <c r="H74" s="680">
        <f>MIN(H63:H73)</f>
        <v>7</v>
      </c>
      <c r="I74" s="680">
        <f t="array" ref="I74">MIN(IF(ISNUMBER(I63:I73),I63:I73))</f>
        <v>9</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139</v>
      </c>
      <c r="E93" s="628" t="str">
        <f t="shared" ref="E93:E95" si="7">IFERROR(IF(OR($D$96="",$H93=10,NOT(ISNUMBER($H93))),"",IF(H93=$H$96,"Limiting","")),"")</f>
        <v/>
      </c>
      <c r="F93" s="258"/>
      <c r="G93" s="683">
        <f>IF(OR(LEN(D93)&gt;0,D92=WIEA!$C$23),1,0)</f>
        <v>1</v>
      </c>
      <c r="H93" s="677">
        <f>VLOOKUP('Interactive Data Grading'!D93,WIEA!$D$6:$G$16,4,FALSE)</f>
        <v>10</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88</v>
      </c>
      <c r="E94" s="628" t="str">
        <f t="shared" si="7"/>
        <v/>
      </c>
      <c r="F94" s="258"/>
      <c r="G94" s="683">
        <f t="shared" ref="G94:G95" si="8">IF(LEN(D94)&gt;0,1,0)</f>
        <v>1</v>
      </c>
      <c r="H94" s="677">
        <f>VLOOKUP('Interactive Data Grading'!D94,WIEA!$E$6:$G$16,3,FALSE)</f>
        <v>10</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808</v>
      </c>
      <c r="D96" s="753">
        <f>IF(D62="No","n/a",IF(G96=0,"",H96))</f>
        <v>10</v>
      </c>
      <c r="E96" s="628"/>
      <c r="F96" s="258"/>
      <c r="G96" s="683">
        <f>MIN(G92:G95)</f>
        <v>1</v>
      </c>
      <c r="H96" s="680">
        <f t="array" ref="H96">MIN(IF(ISNUMBER(H92:H95),H92:H95))</f>
        <v>10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338</v>
      </c>
      <c r="E294" s="628" t="str">
        <f t="shared" si="17"/>
        <v/>
      </c>
      <c r="F294" s="258"/>
      <c r="G294" s="669">
        <f t="shared" si="16"/>
        <v>1</v>
      </c>
      <c r="H294" s="677">
        <f>VLOOKUP('Interactive Data Grading'!D294,CMI!$F$6:$J$16,5,FALSE)</f>
        <v>8</v>
      </c>
      <c r="I294" s="677">
        <f>H294</f>
        <v>8</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Limiting</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480</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- 620 Hershey</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90</v>
      </c>
      <c r="BS6" s="585"/>
      <c r="BT6" s="584"/>
      <c r="BU6" s="586"/>
      <c r="BV6" s="586"/>
      <c r="BW6" s="586"/>
      <c r="BX6" s="50"/>
      <c r="BY6" s="50"/>
    </row>
    <row r="7" spans="1:77" s="190" customFormat="1" ht="12.95" customHeight="1">
      <c r="A7" s="189"/>
      <c r="B7" s="265"/>
      <c r="C7" s="50"/>
      <c r="D7" s="193"/>
      <c r="E7" s="711"/>
      <c r="F7" s="193"/>
      <c r="G7" s="193"/>
      <c r="H7" s="553"/>
      <c r="I7" s="654" t="s">
        <v>887</v>
      </c>
      <c r="J7" s="1068">
        <f>BR6</f>
        <v>90</v>
      </c>
      <c r="K7" s="1068"/>
      <c r="L7" s="655"/>
      <c r="M7" s="655"/>
      <c r="N7" s="655"/>
      <c r="O7" s="655"/>
      <c r="P7" s="655"/>
      <c r="Q7" s="654" t="s">
        <v>888</v>
      </c>
      <c r="R7" s="1067" t="str">
        <f>IF(BO2&gt;0,"",BR4)</f>
        <v>Tier IV (71-90)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585</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90</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108.73333333333333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result is above 90th %ile</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38.357031657572932</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38.357031657572932</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38.357031657572932</v>
      </c>
      <c r="AB18" s="1061"/>
      <c r="AC18" s="1061"/>
      <c r="AD18" s="730" t="str">
        <f>BD13</f>
        <v>$/conn/year</v>
      </c>
      <c r="AE18" s="731"/>
      <c r="AF18" s="732"/>
      <c r="AG18" s="732"/>
      <c r="AH18" s="733"/>
      <c r="AI18" s="733"/>
      <c r="AJ18" s="731"/>
      <c r="AK18" s="1061">
        <f>BS22</f>
        <v>26.745603628188107</v>
      </c>
      <c r="AL18" s="1061"/>
      <c r="AM18" s="1061"/>
      <c r="AN18" s="730" t="str">
        <f>BD13</f>
        <v>$/conn/year</v>
      </c>
      <c r="AO18" s="731"/>
      <c r="AP18" s="731"/>
      <c r="AQ18" s="731"/>
      <c r="AR18" s="731"/>
      <c r="AS18" s="731"/>
      <c r="AT18" s="731"/>
      <c r="AU18" s="1061">
        <f>BS29</f>
        <v>11.611428029384824</v>
      </c>
      <c r="AV18" s="1061"/>
      <c r="AW18" s="1061"/>
      <c r="AX18" s="730" t="str">
        <f>BD13</f>
        <v>$/conn/year</v>
      </c>
      <c r="AY18" s="576"/>
      <c r="AZ18" s="193"/>
      <c r="BA18" s="193"/>
      <c r="BB18" s="272"/>
      <c r="BC18" s="89"/>
      <c r="BD18" s="50" t="s">
        <v>911</v>
      </c>
      <c r="BE18" s="182">
        <f>(((5.41*Worksheet!H61)+(0.15*Worksheet!H62)+(7.5*(Worksheet!H62*Worksheet!W67/5280)))*Worksheet!H68)/1000000*365</f>
        <v>177.35293665423009</v>
      </c>
      <c r="BN18" s="535"/>
      <c r="BO18" s="591" t="s">
        <v>928</v>
      </c>
      <c r="BP18" s="593">
        <f>BQ18-BQ17</f>
        <v>8.9525318444022357</v>
      </c>
      <c r="BQ18" s="758">
        <f t="shared" si="0"/>
        <v>18.283980813778896</v>
      </c>
      <c r="BR18" s="591" t="s">
        <v>900</v>
      </c>
      <c r="BS18" s="595">
        <f>SUM(BP16:BP20)-SUM(BS16,BS17)</f>
        <v>76.320946929163185</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544.2754636839918</v>
      </c>
      <c r="BF19" s="181">
        <f>BE19*325851.427242/Worksheet!H62/365</f>
        <v>20.042835316872157</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1091.61228763125</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26.745603628188107</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24.233075430263664</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23.845346223379444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54.954117003207173</v>
      </c>
      <c r="AB29" s="1062"/>
      <c r="AC29" s="1062"/>
      <c r="AD29" s="729" t="str">
        <f>BD10</f>
        <v>gal/conn/day</v>
      </c>
      <c r="AE29" s="729"/>
      <c r="AF29" s="734"/>
      <c r="AG29" s="734"/>
      <c r="AH29" s="575"/>
      <c r="AI29" s="575"/>
      <c r="AJ29" s="575"/>
      <c r="AK29" s="1062">
        <f>BS43</f>
        <v>5.3182374142544715</v>
      </c>
      <c r="AL29" s="1062"/>
      <c r="AM29" s="1062"/>
      <c r="AN29" s="730" t="str">
        <f>BD10</f>
        <v>gal/conn/day</v>
      </c>
      <c r="AO29" s="575"/>
      <c r="AP29" s="575"/>
      <c r="AQ29" s="575"/>
      <c r="AR29" s="575"/>
      <c r="AS29" s="575"/>
      <c r="AT29" s="575"/>
      <c r="AU29" s="1057">
        <f>BS55</f>
        <v>49.635879588952704</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11.611428029384824</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11.611428029384824</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79.099999999999994</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58.914502387151195</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54.954117003207173</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54.954117003207173</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193.34547118795547</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2.4764899179293747</v>
      </c>
      <c r="AI41" s="1056"/>
      <c r="AJ41" s="1056"/>
      <c r="AK41" s="729" t="s">
        <v>949</v>
      </c>
      <c r="AL41" s="661"/>
      <c r="AM41" s="662"/>
      <c r="AN41" s="658"/>
      <c r="AO41" s="658"/>
      <c r="AP41" s="658"/>
      <c r="AQ41" s="658"/>
      <c r="AR41" s="658"/>
      <c r="AS41" s="1055">
        <f>BS69</f>
        <v>3615.7530915714551</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177.35293665423009</v>
      </c>
      <c r="AL43" s="1054"/>
      <c r="AM43" s="1054"/>
      <c r="AN43" s="1054"/>
      <c r="AO43" s="773" t="str">
        <f>BD7</f>
        <v>MG/Yr</v>
      </c>
      <c r="AP43" s="575"/>
      <c r="AQ43" s="575"/>
      <c r="AR43" s="575"/>
      <c r="AS43" s="1054">
        <f>IF(BG19=1,BF19,IFERROR(AK43*1000000/Worksheet!H62/365,""))</f>
        <v>20.042835316872161</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5.3182374142544715</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5.3182374142544715</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27.062625180998701</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49">
        <f>IF(ISBLANK('Start Page'!$AB$22),"",Worksheet!H46)</f>
        <v>47.059460816326478</v>
      </c>
      <c r="J49" s="1049"/>
      <c r="K49" s="1049"/>
      <c r="L49" s="1049"/>
      <c r="M49" s="558"/>
      <c r="N49" s="1050">
        <f>IF(OR(ISBLANK('Start Page'!$AB$22),ISBLANK(Worksheet!J76)),"",(SUM(Worksheet!H43+Worksheet!H39+Worksheet!X50)*Worksheet!H76)*INDEX(Sheet1!B2:D4,MATCH('Start Page'!AB22,Sheet1!A2:A4,0),MATCH(Worksheet!J76,Sheet1!B1:D1,0))+Worksheet!Y50*Worksheet!H77)</f>
        <v>648393.66875816428</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439.21275953936788</v>
      </c>
      <c r="J50" s="1049"/>
      <c r="K50" s="1049"/>
      <c r="L50" s="1049"/>
      <c r="M50" s="558"/>
      <c r="N50" s="1050">
        <f>IFERROR(IF(Worksheet!H41="Select under/over","",IF(ISBLANK('Start Page'!AB22),"",Worksheet!H51*(IF(BD29=FALSE,Worksheet!H77,IF(BD29=TRUE,Worksheet!H76*INDEX(Sheet1!B2:D4,MATCH('Start Page'!AB22,Sheet1!A2:A4,0),MATCH(Worksheet!J76,Sheet1!B1:D1,0)),""))))),"")</f>
        <v>281495.84971637628</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42.516999999999996</v>
      </c>
      <c r="J51" s="1049"/>
      <c r="K51" s="1049"/>
      <c r="L51" s="1049"/>
      <c r="M51" s="558"/>
      <c r="N51" s="1050">
        <f>IFERROR(IF(SUM(Sheet1!D90:D91)=0,"",SUM(Sheet1!D90:D91)),"")</f>
        <v>27249.570469999999</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528.7892203556944</v>
      </c>
      <c r="J52" s="1049"/>
      <c r="K52" s="1049"/>
      <c r="L52" s="1049"/>
      <c r="M52" s="558"/>
      <c r="N52" s="1050">
        <f>IF(SUM(N49:N51)=0,"",SUM(N49:N51))</f>
        <v>957139.08894454059</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49.635879588952704</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49.635879588952704</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179.38315276026029</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2.4764899179293747</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2.4764899179293747</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8.7896878092398669</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3615.7530915714551</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3615.7530915714551</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8435.3158181290473</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26.765808526427506</v>
      </c>
      <c r="BQ83" s="608">
        <f>BP83+BQ78</f>
        <v>79.099999999999994</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- 620 Hershey</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528 MG/Yr</v>
      </c>
    </row>
    <row r="79" spans="1:6" ht="16.5">
      <c r="B79" s="46"/>
      <c r="C79" s="46"/>
      <c r="D79" s="46"/>
      <c r="E79" s="8" t="str">
        <f>IFERROR("Total Cost of NRW = $"&amp;TEXT(SUM(D90,D91,D94,D95,D96,D97,D99),"#,###")&amp;"/Yr","")</f>
        <v>Total Cost of NRW = $957,139/Yr</v>
      </c>
      <c r="F79" s="46"/>
    </row>
    <row r="80" spans="1:6">
      <c r="A80"/>
      <c r="B80"/>
      <c r="C80" s="47" t="str">
        <f>"Volume ("&amp;Worksheet!J15&amp;")"</f>
        <v>Volume (MG/Yr)</v>
      </c>
      <c r="D80" s="47" t="s">
        <v>1041</v>
      </c>
      <c r="E80" s="79" t="s">
        <v>1042</v>
      </c>
      <c r="F80"/>
    </row>
    <row r="81" spans="1:6">
      <c r="A81" s="118" t="s">
        <v>1043</v>
      </c>
      <c r="B81" s="118"/>
      <c r="C81" s="100">
        <f>IF(Dashboard!BO$2&gt;0,"",Worksheet!H15)</f>
        <v>2336.752</v>
      </c>
      <c r="D81" s="872">
        <f>IF(Dashboard!BO$2&gt;0,"",C81*(Worksheet!$H$77))</f>
        <v>1497647.7243199998</v>
      </c>
      <c r="E81" s="489">
        <f>D81</f>
        <v>1497647.7243199998</v>
      </c>
      <c r="F81" s="75" t="s">
        <v>1044</v>
      </c>
    </row>
    <row r="82" spans="1:6">
      <c r="A82" s="118" t="str">
        <f>A81&amp;" MA"</f>
        <v>Vol. from own sources: MA</v>
      </c>
      <c r="B82" s="118"/>
      <c r="C82" s="100">
        <f>IF(Dashboard!BO$2&gt;0,"",Worksheet!X15)</f>
        <v>29.6767504</v>
      </c>
      <c r="D82" s="872">
        <f>IF(Dashboard!BO$2&gt;0,"",C82*(Worksheet!$H$77))</f>
        <v>19020.126098863999</v>
      </c>
      <c r="E82" s="489">
        <f t="shared" ref="E82:E100" si="0">D82</f>
        <v>19020.126098863999</v>
      </c>
      <c r="F82"/>
    </row>
    <row r="83" spans="1:6">
      <c r="A83" t="s">
        <v>1045</v>
      </c>
      <c r="B83"/>
      <c r="C83" s="100">
        <f>IF(Dashboard!BO$2&gt;0,"",Worksheet!H16)</f>
        <v>1.2649999999999999</v>
      </c>
      <c r="D83" s="872">
        <f>IF(Dashboard!BO$2&gt;0,"",C83*(Worksheet!$H$77))</f>
        <v>810.75114999999994</v>
      </c>
      <c r="E83" s="489">
        <f t="shared" si="0"/>
        <v>810.75114999999994</v>
      </c>
      <c r="F83"/>
    </row>
    <row r="84" spans="1:6">
      <c r="A84" t="str">
        <f>A83&amp;" MA"</f>
        <v>Water imported: MA</v>
      </c>
      <c r="B84"/>
      <c r="C84" s="100">
        <f>IF(Dashboard!BO$2&gt;0,"",Worksheet!X16)</f>
        <v>2.2769999999999999E-3</v>
      </c>
      <c r="D84" s="872">
        <f>IF(Dashboard!BO$2&gt;0,"",C84*(Worksheet!$H$77))</f>
        <v>1.45935207</v>
      </c>
      <c r="E84" s="489">
        <f t="shared" si="0"/>
        <v>1.45935207</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2368.0732203556945</v>
      </c>
      <c r="D87" s="872">
        <f>IF(Dashboard!BO$2&gt;0,"",C87*(Worksheet!$H$77))</f>
        <v>1517721.807658168</v>
      </c>
      <c r="E87" s="489">
        <f t="shared" si="0"/>
        <v>1517721.807658168</v>
      </c>
      <c r="F87"/>
    </row>
    <row r="88" spans="1:6">
      <c r="A88" s="118" t="s">
        <v>1047</v>
      </c>
      <c r="B88"/>
      <c r="C88" s="100">
        <f>IF(Dashboard!BO$2&gt;0,"",Worksheet!H23)</f>
        <v>1839.2840000000001</v>
      </c>
      <c r="D88" s="872">
        <f>IF(Dashboard!BO$2&gt;0,"",C88*(Worksheet!$H$76*1000))</f>
        <v>25510869.080000002</v>
      </c>
      <c r="E88" s="489">
        <f t="shared" si="0"/>
        <v>25510869.080000002</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16.004999999999999</v>
      </c>
      <c r="D90" s="873">
        <f>IF(Dashboard!BO$2&gt;0,"",IF(ISBLANK('Start Page'!AB22),"",IF(AND(ISBLANK(Worksheet!H77),Worksheet!Z77&lt;&gt;1),"",Worksheet!H25*(IF(Dashboard!BD29=FALSE,Worksheet!H77,IF(Dashboard!BD29=TRUE,Worksheet!H76*INDEX(Sheet1!B2:D4,MATCH('Start Page'!AB22,Sheet1!A2:A4,0),MATCH(Worksheet!J76,Sheet1!B1:D1,0)),""))))))</f>
        <v>10257.764549999998</v>
      </c>
      <c r="E90" s="796">
        <f t="shared" si="0"/>
        <v>10257.764549999998</v>
      </c>
      <c r="F90"/>
    </row>
    <row r="91" spans="1:6">
      <c r="A91" s="797" t="str">
        <f>"Unbilled Unmetered (UUAC) valued at "&amp;A76&amp;""</f>
        <v xml:space="preserve">Unbilled Unmetered (UUAC) valued at </v>
      </c>
      <c r="B91" s="794"/>
      <c r="C91" s="795">
        <f>IF(Dashboard!BO$2&gt;0,"",Worksheet!H26)</f>
        <v>26.512</v>
      </c>
      <c r="D91" s="873">
        <f>IF(Dashboard!BO$2&gt;0,"",IF(ISBLANK('Start Page'!AB22),"",IF(AND(ISBLANK(Worksheet!H77),Worksheet!Z77&lt;&gt;1),"",Worksheet!H26*(IF(Dashboard!BD29=FALSE,Worksheet!H77,IF(Dashboard!BD29=TRUE,Worksheet!H76*INDEX(Sheet1!B2:D4,MATCH('Start Page'!AB22,Sheet1!A2:A4,0),MATCH(Worksheet!J76,Sheet1!B1:D1,0)),""))))))</f>
        <v>16991.805919999999</v>
      </c>
      <c r="E91" s="796">
        <f t="shared" si="0"/>
        <v>16991.805919999999</v>
      </c>
      <c r="F91"/>
    </row>
    <row r="92" spans="1:6">
      <c r="A92" s="118" t="s">
        <v>1049</v>
      </c>
      <c r="B92" s="874" t="s">
        <v>1050</v>
      </c>
      <c r="C92" s="100">
        <f>IF(Dashboard!BO$2&gt;0,"",Worksheet!H30)</f>
        <v>1881.8010000000002</v>
      </c>
      <c r="D92" s="872">
        <f>IF(Dashboard!BO$2&gt;0,"",C92*(Worksheet!$H$76*1000))</f>
        <v>26100579.870000001</v>
      </c>
      <c r="E92" s="489">
        <f t="shared" si="0"/>
        <v>26100579.870000001</v>
      </c>
      <c r="F92"/>
    </row>
    <row r="93" spans="1:6">
      <c r="A93" t="s">
        <v>1051</v>
      </c>
      <c r="B93"/>
      <c r="C93" s="100">
        <f>IF(Dashboard!BO$2&gt;0,"",Worksheet!H35)</f>
        <v>486.27222035569434</v>
      </c>
      <c r="D93" s="872"/>
      <c r="E93" s="489">
        <f t="shared" si="0"/>
        <v>0</v>
      </c>
      <c r="F93"/>
    </row>
    <row r="94" spans="1:6">
      <c r="A94" s="171" t="s">
        <v>1052</v>
      </c>
      <c r="B94" s="118"/>
      <c r="C94" s="102">
        <f>IF(Dashboard!BO$2&gt;0,"",Worksheet!H43)</f>
        <v>4.5982100000000008</v>
      </c>
      <c r="D94" s="875">
        <f>IF(Dashboard!BO$2&gt;0,"",IF(ISBLANK('Start Page'!AB22),"",IF(AND(ISBLANK(Worksheet!H77),Worksheet!Z77&lt;&gt;1),"",C94*Worksheet!H76*INDEX(Sheet1!B2:D4,MATCH('Start Page'!AB22,Sheet1!A2:A4,0),MATCH(Worksheet!J76,Sheet1!B1:D1,0)))))</f>
        <v>63777.17270000001</v>
      </c>
      <c r="E94" s="490">
        <f t="shared" si="0"/>
        <v>63777.17270000001</v>
      </c>
      <c r="F94" s="103"/>
    </row>
    <row r="95" spans="1:6">
      <c r="A95" s="785" t="s">
        <v>1053</v>
      </c>
      <c r="B95" s="785"/>
      <c r="C95" s="786">
        <f>Worksheet!X50</f>
        <v>37.536408163265378</v>
      </c>
      <c r="D95" s="876">
        <f>IF(Dashboard!BO$2&gt;0,"",IF(ISBLANK('Start Page'!AB22),"",IF(AND(ISBLANK(Worksheet!H77),Worksheet!Z77&lt;&gt;1),"",C95*Worksheet!H76*INDEX(Sheet1!B2:D4,MATCH('Start Page'!AB22,Sheet1!A2:A4,0),MATCH(Worksheet!J76,Sheet1!B1:D1,0)))))</f>
        <v>520629.98122449074</v>
      </c>
      <c r="E95" s="787">
        <f t="shared" si="0"/>
        <v>520629.98122449074</v>
      </c>
      <c r="F95" s="103"/>
    </row>
    <row r="96" spans="1:6">
      <c r="A96" s="785" t="s">
        <v>1054</v>
      </c>
      <c r="B96" s="785"/>
      <c r="C96" s="786">
        <f>Worksheet!Y50</f>
        <v>0.32663265306122469</v>
      </c>
      <c r="D96" s="876">
        <f>C96*input_VPC</f>
        <v>209.3421336734695</v>
      </c>
      <c r="E96" s="787">
        <f t="shared" si="0"/>
        <v>209.3421336734695</v>
      </c>
      <c r="F96" s="788" t="s">
        <v>1055</v>
      </c>
    </row>
    <row r="97" spans="1:7">
      <c r="A97" s="171" t="s">
        <v>1056</v>
      </c>
      <c r="B97" s="118"/>
      <c r="C97" s="102">
        <f>IF(Dashboard!BO$2&gt;0,"",Worksheet!H39)</f>
        <v>4.5982100000000008</v>
      </c>
      <c r="D97" s="875">
        <f>IF(Dashboard!BO$2&gt;0,"",IF(ISBLANK('Start Page'!AB22),"",IF(AND(ISBLANK(Worksheet!H77),Worksheet!Z77&lt;&gt;1),"",C97*Worksheet!H76*INDEX(Sheet1!B2:D4,MATCH('Start Page'!AB22,Sheet1!A2:A4,0),MATCH(Worksheet!J76,Sheet1!B1:D1,0)))))</f>
        <v>63777.17270000001</v>
      </c>
      <c r="E97" s="490">
        <f t="shared" si="0"/>
        <v>63777.17270000001</v>
      </c>
      <c r="F97" s="103"/>
    </row>
    <row r="98" spans="1:7">
      <c r="A98" s="792" t="s">
        <v>749</v>
      </c>
      <c r="B98" s="792"/>
      <c r="C98" s="793">
        <f>IF(Dashboard!BO$2&gt;0,"",Worksheet!H46)</f>
        <v>47.059460816326478</v>
      </c>
      <c r="D98" s="877">
        <f>IF(Dashboard!BO$2&gt;0,"",SUM(D94:D97))</f>
        <v>648393.66875816428</v>
      </c>
      <c r="E98" s="489">
        <f t="shared" si="0"/>
        <v>648393.66875816428</v>
      </c>
      <c r="F98"/>
    </row>
    <row r="99" spans="1:7">
      <c r="A99" s="171" t="str">
        <f>"Real Losses valued at "&amp;A76&amp;""</f>
        <v xml:space="preserve">Real Losses valued at </v>
      </c>
      <c r="B99" s="118"/>
      <c r="C99" s="102">
        <f>IF(Dashboard!BO$2&gt;0,"",Worksheet!H51)</f>
        <v>439.21275953936788</v>
      </c>
      <c r="D99" s="878">
        <f>IF(Dashboard!BO$2&gt;0,"",Dashboard!N50)</f>
        <v>281495.84971637628</v>
      </c>
      <c r="E99" s="490">
        <f t="shared" si="0"/>
        <v>281495.84971637628</v>
      </c>
      <c r="F99" s="489"/>
    </row>
    <row r="100" spans="1:7">
      <c r="A100" t="s">
        <v>757</v>
      </c>
      <c r="B100"/>
      <c r="C100" s="100">
        <f>IF(Dashboard!BO$2&gt;0,"",Worksheet!H57)</f>
        <v>528.7892203556944</v>
      </c>
      <c r="D100" s="101">
        <f>IF(Dashboard!BO$2&gt;0,"",D98+D99+D90+D91)</f>
        <v>957139.08894454048</v>
      </c>
      <c r="E100" s="489">
        <f t="shared" si="0"/>
        <v>957139.08894454048</v>
      </c>
      <c r="F100"/>
      <c r="G100" s="104"/>
    </row>
    <row r="101" spans="1:7">
      <c r="A101" s="789"/>
    </row>
    <row r="102" spans="1:7">
      <c r="A102" s="789" t="s">
        <v>1057</v>
      </c>
      <c r="C102" s="790">
        <f>C95+C96</f>
        <v>37.863040816326603</v>
      </c>
      <c r="D102" s="104">
        <f>D95+D96</f>
        <v>520839.32335816423</v>
      </c>
      <c r="E102" s="104">
        <f>E95+E96</f>
        <v>520839.32335816423</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- 620 Hershey</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1839.2840000000001</v>
      </c>
      <c r="H12" s="881"/>
      <c r="I12" s="4"/>
      <c r="K12" s="756"/>
    </row>
    <row r="13" spans="2:16" ht="22.5" customHeight="1">
      <c r="B13" s="1089"/>
      <c r="C13" s="288"/>
      <c r="D13" s="286"/>
      <c r="E13" s="1098"/>
      <c r="F13" s="290">
        <f>Worksheet!H23+Worksheet!H24</f>
        <v>1839.2840000000001</v>
      </c>
      <c r="G13" s="485" t="s">
        <v>1069</v>
      </c>
      <c r="H13" s="291">
        <f>SUM(G12+G14)</f>
        <v>1839.2840000000001</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1881.8010000000002</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16.004999999999999</v>
      </c>
      <c r="H16" s="1097"/>
      <c r="I16" s="4"/>
      <c r="K16" s="118"/>
    </row>
    <row r="17" spans="2:16" ht="22.5" customHeight="1">
      <c r="B17" s="299">
        <f>Worksheet!AG15</f>
        <v>2366.8104932644587</v>
      </c>
      <c r="C17" s="300"/>
      <c r="D17" s="301"/>
      <c r="E17" s="194"/>
      <c r="F17" s="302">
        <f>Worksheet!H25+Worksheet!H26</f>
        <v>42.516999999999996</v>
      </c>
      <c r="G17" s="289" t="s">
        <v>1074</v>
      </c>
      <c r="H17" s="881"/>
      <c r="I17" s="4"/>
      <c r="K17" s="118"/>
      <c r="L17" s="99"/>
      <c r="M17" s="99"/>
      <c r="N17" s="99"/>
      <c r="O17" s="99"/>
      <c r="P17" s="99"/>
    </row>
    <row r="18" spans="2:16" ht="15.75" customHeight="1">
      <c r="B18" s="297"/>
      <c r="C18" s="1110" t="s">
        <v>1075</v>
      </c>
      <c r="D18" s="286"/>
      <c r="E18" s="303"/>
      <c r="F18" s="294"/>
      <c r="G18" s="304">
        <f>Worksheet!H26</f>
        <v>26.512</v>
      </c>
      <c r="H18" s="881"/>
      <c r="I18" s="4"/>
      <c r="K18" s="118"/>
    </row>
    <row r="19" spans="2:16" ht="22.5" customHeight="1">
      <c r="B19" s="297"/>
      <c r="C19" s="1110"/>
      <c r="D19" s="815" t="s">
        <v>1076</v>
      </c>
      <c r="E19" s="282"/>
      <c r="F19" s="884"/>
      <c r="G19" s="485" t="s">
        <v>1077</v>
      </c>
      <c r="H19" s="305">
        <f>Worksheet!H25+Worksheet!H26+Worksheet!H46+Worksheet!H51</f>
        <v>528.7892203556944</v>
      </c>
      <c r="I19" s="4"/>
      <c r="K19" s="118"/>
      <c r="L19" s="99"/>
      <c r="M19" s="99"/>
      <c r="N19" s="99"/>
      <c r="O19" s="99"/>
      <c r="P19" s="99"/>
    </row>
    <row r="20" spans="2:16" ht="15.75" customHeight="1">
      <c r="B20" s="297"/>
      <c r="C20" s="306">
        <f>B17+B27</f>
        <v>2368.0732203556945</v>
      </c>
      <c r="D20" s="286"/>
      <c r="E20" s="194"/>
      <c r="F20" s="307" t="s">
        <v>745</v>
      </c>
      <c r="G20" s="298">
        <f>Worksheet!H39</f>
        <v>4.5982100000000008</v>
      </c>
      <c r="H20" s="881"/>
      <c r="I20" s="4"/>
      <c r="K20" s="118"/>
    </row>
    <row r="21" spans="2:16" ht="14.25" customHeight="1">
      <c r="B21" s="308"/>
      <c r="C21" s="309"/>
      <c r="D21" s="306">
        <f>Worksheet!H19</f>
        <v>2368.0732203556945</v>
      </c>
      <c r="E21" s="310"/>
      <c r="F21" s="302">
        <f>Worksheet!H46</f>
        <v>47.059460816326478</v>
      </c>
      <c r="G21" s="289" t="s">
        <v>1078</v>
      </c>
      <c r="H21" s="881"/>
      <c r="I21" s="4"/>
      <c r="K21" s="118"/>
      <c r="L21" s="99"/>
      <c r="M21" s="99"/>
      <c r="N21" s="99"/>
      <c r="O21" s="99"/>
      <c r="P21" s="99"/>
    </row>
    <row r="22" spans="2:16" ht="15.75" customHeight="1">
      <c r="B22" s="297"/>
      <c r="C22" s="285"/>
      <c r="D22" s="286"/>
      <c r="E22" s="194"/>
      <c r="F22" s="310"/>
      <c r="G22" s="311">
        <f>Worksheet!H41</f>
        <v>37.863040816326475</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4.5982100000000008</v>
      </c>
      <c r="H24" s="881"/>
      <c r="I24" s="4"/>
      <c r="K24" s="118"/>
    </row>
    <row r="25" spans="2:16" ht="26.25" customHeight="1">
      <c r="B25" s="1088" t="s">
        <v>1080</v>
      </c>
      <c r="C25" s="288"/>
      <c r="D25" s="286"/>
      <c r="E25" s="313">
        <f>Worksheet!H53</f>
        <v>486.27222035569434</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1.2627270912357755</v>
      </c>
      <c r="C27" s="300"/>
      <c r="D27" s="286"/>
      <c r="E27" s="194"/>
      <c r="F27" s="302">
        <f>Worksheet!H51</f>
        <v>439.21275953936788</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- 620 Hershey</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34.542576012095054</v>
      </c>
      <c r="AF98" s="35">
        <f t="shared" ref="AF98:AF103" si="0">AE98</f>
        <v>34.542576012095054</v>
      </c>
      <c r="AG98" s="35">
        <f>IF(AE98&lt;&gt;0,AF98/10,0)</f>
        <v>3.4542576012095054</v>
      </c>
      <c r="AH98" s="35">
        <f>IFERROR(AD98*AG98,0)</f>
        <v>34.542576012095054</v>
      </c>
      <c r="AI98" s="35">
        <f t="shared" ref="AI98:AI117" si="1">IF(AG98=0,0,AF98-AH98)</f>
        <v>0</v>
      </c>
      <c r="AJ98">
        <f t="array" aca="1" ref="AJ98" ca="1">SUM(1*(AI98&lt;$AI$98:$AI$117))+1+IF(ROW(AI98)-ROW($AI$98)=0,0,SUM(1*(AI98=OFFSET($AI$98,0,0,INDEX(ROW(AI98)-ROW($AI$98)+1,1)-1,1))))</f>
        <v>7</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0.43869071535360721</v>
      </c>
      <c r="AF99" s="35">
        <f t="shared" si="0"/>
        <v>0.43869071535360721</v>
      </c>
      <c r="AG99" s="35">
        <f t="shared" ref="AG99:AG117" si="3">IF(AE99&lt;&gt;0,AF99/10,0)</f>
        <v>4.3869071535360724E-2</v>
      </c>
      <c r="AH99" s="35">
        <f t="shared" ref="AH99:AH106" si="4">IFERROR(AD99*AG99,0)</f>
        <v>0.43869071535360726</v>
      </c>
      <c r="AI99" s="35">
        <f t="shared" si="1"/>
        <v>-5.5511151231257827E-17</v>
      </c>
      <c r="AJ99">
        <f t="array" aca="1" ref="AJ99" ca="1">SUM(1*(AI99&lt;$AI$98:$AI$117))+1+IF(ROW(AI99)-ROW($AI$98)=0,0,SUM(1*(AI99=OFFSET($AI$98,0,0,INDEX(ROW(AI99)-ROW($AI$98)+1,1)-1,1))))</f>
        <v>20</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9</v>
      </c>
      <c r="AE100" s="56">
        <f>Worksheet!Y16</f>
        <v>1.8699613247490639E-2</v>
      </c>
      <c r="AF100" s="35">
        <f t="shared" si="0"/>
        <v>1.8699613247490639E-2</v>
      </c>
      <c r="AG100" s="35">
        <f t="shared" si="3"/>
        <v>1.8699613247490639E-3</v>
      </c>
      <c r="AH100" s="35">
        <f t="shared" si="4"/>
        <v>1.6829651922741575E-2</v>
      </c>
      <c r="AI100" s="35">
        <f t="shared" si="1"/>
        <v>1.8699613247490643E-3</v>
      </c>
      <c r="AJ100">
        <f t="array" aca="1" ref="AJ100" ca="1">SUM(1*(AI100&lt;$AI$98:$AI$117))+1+IF(ROW(AI100)-ROW($AI$98)=0,0,SUM(1*(AI100=OFFSET($AI$98,0,0,INDEX(ROW(AI100)-ROW($AI$98)+1,1)-1,1))))</f>
        <v>6</v>
      </c>
      <c r="AK100" s="118" t="str">
        <f t="shared" si="5"/>
        <v>Water Imported (WI)</v>
      </c>
      <c r="AL100">
        <f t="shared" si="6"/>
        <v>1</v>
      </c>
      <c r="AM100">
        <f t="shared" si="7"/>
        <v>1</v>
      </c>
      <c r="AN100">
        <f t="shared" si="2"/>
        <v>0</v>
      </c>
    </row>
    <row r="101" spans="28:40">
      <c r="AC101" s="168" t="s">
        <v>1157</v>
      </c>
      <c r="AD101" s="36">
        <f>IF(Worksheet!M16="n/a",0,Worksheet!M16)</f>
        <v>10</v>
      </c>
      <c r="AE101" s="56">
        <f>Worksheet!Z16</f>
        <v>3.3659303845483148E-5</v>
      </c>
      <c r="AF101" s="35">
        <f t="shared" si="0"/>
        <v>3.3659303845483148E-5</v>
      </c>
      <c r="AG101" s="35">
        <f t="shared" si="3"/>
        <v>3.3659303845483148E-6</v>
      </c>
      <c r="AH101" s="35">
        <f t="shared" si="4"/>
        <v>3.3659303845483148E-5</v>
      </c>
      <c r="AI101" s="35">
        <f t="shared" si="1"/>
        <v>0</v>
      </c>
      <c r="AJ101">
        <f t="array" aca="1" ref="AJ101" ca="1">SUM(1*(AI101&lt;$AI$98:$AI$117))+1+IF(ROW(AI101)-ROW($AI$98)=0,0,SUM(1*(AI101=OFFSET($AI$98,0,0,INDEX(ROW(AI101)-ROW($AI$98)+1,1)-1,1))))</f>
        <v>8</v>
      </c>
      <c r="AK101" s="118" t="str">
        <f t="shared" si="5"/>
        <v>WI Error Adjustment (WIEA)</v>
      </c>
      <c r="AL101">
        <f t="shared" si="6"/>
        <v>1</v>
      </c>
      <c r="AM101">
        <f t="shared" si="7"/>
        <v>1</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9</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10</v>
      </c>
      <c r="AK103" s="861"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13.879226363116473</v>
      </c>
      <c r="AF104" s="67">
        <f t="shared" ref="AF104:AF117" si="8">AE104/$AE$120</f>
        <v>17.021692709482465</v>
      </c>
      <c r="AG104" s="67">
        <f t="shared" si="3"/>
        <v>1.7021692709482465</v>
      </c>
      <c r="AH104" s="67">
        <f t="shared" ref="AH104:AH117" si="9">AD104*AG104</f>
        <v>15.319523438534219</v>
      </c>
      <c r="AI104" s="67">
        <f t="shared" si="1"/>
        <v>1.7021692709482465</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0.12077363688352594</v>
      </c>
      <c r="AF106" s="71">
        <f t="shared" si="8"/>
        <v>0.14811861127224879</v>
      </c>
      <c r="AG106" s="71">
        <f t="shared" si="3"/>
        <v>1.4811861127224879E-2</v>
      </c>
      <c r="AH106" s="35">
        <f t="shared" si="4"/>
        <v>0.14811861127224879</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18</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19</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89.588413597915675</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EA6FAC40-8B57-45AE-9312-5EE82D698E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2024-05-22T15:33:31Z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