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https://pagov-my.sharepoint.com/personal/alleonard_pa_gov/Documents/Desktop/"/>
    </mc:Choice>
  </mc:AlternateContent>
  <xr:revisionPtr revIDLastSave="0" documentId="8_{BFF12298-31DD-4D63-8FBA-13C97852C3C8}" xr6:coauthVersionLast="47" xr6:coauthVersionMax="47" xr10:uidLastSave="{00000000-0000-0000-0000-000000000000}"/>
  <workbookProtection workbookPassword="FDB7" lockStructure="1"/>
  <bookViews>
    <workbookView xWindow="-28920" yWindow="-120" windowWidth="29040" windowHeight="15840" tabRatio="943" firstSheet="20"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8" concurrentManualCount="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<sst xmlns="http://schemas.openxmlformats.org/spreadsheetml/2006/main" count="2555" uniqueCount="1284">
  <si>
    <t>Volume from Own Sources</t>
  </si>
  <si>
    <t>&lt;&gt; means not an answer available to auditor, but code will need to look at combination of answers</t>
  </si>
  <si>
    <t>blue = different answers associated with same grade level</t>
  </si>
  <si>
    <t>n/a</t>
  </si>
  <si>
    <t>Did the water utility supply any water from its own sources during the audit year?</t>
  </si>
  <si>
    <t>criteria id</t>
  </si>
  <si>
    <t>vos.1</t>
  </si>
  <si>
    <t>vos.2</t>
  </si>
  <si>
    <t>vos.3</t>
  </si>
  <si>
    <t>vos.4</t>
  </si>
  <si>
    <t>vos.5</t>
  </si>
  <si>
    <t>vos.6</t>
  </si>
  <si>
    <t>vos.7</t>
  </si>
  <si>
    <t>vos.8</t>
  </si>
  <si>
    <t>vos.9</t>
  </si>
  <si>
    <t>vos.10</t>
  </si>
  <si>
    <t>Criteria Theme &gt;&gt;</t>
  </si>
  <si>
    <t>Percent of own supply metered</t>
  </si>
  <si>
    <t>Meter electronic calibration frequency</t>
  </si>
  <si>
    <t>Scope of electronic calibration</t>
  </si>
  <si>
    <t>Electronic calibration documentation</t>
  </si>
  <si>
    <t>Meter flow accuracy test frequency</t>
  </si>
  <si>
    <t>Meter flow accuracy test documentation</t>
  </si>
  <si>
    <t>Meter flow accuracy test results</t>
  </si>
  <si>
    <t>Rigor of testing &amp; calibration procedures</t>
  </si>
  <si>
    <t>Frequency of data collection</t>
  </si>
  <si>
    <t>Frequency of data review</t>
  </si>
  <si>
    <t>Criteria Question &gt;&gt;</t>
  </si>
  <si>
    <t>What percent of own supply volume is metered?</t>
  </si>
  <si>
    <t>What is the frequency of electronic calibration?</t>
  </si>
  <si>
    <t>What level of data transfer errors are checked as part of the electronic calibration process?</t>
  </si>
  <si>
    <t>Is the most recent electronic calibration documentation available for review?</t>
  </si>
  <si>
    <t>What is the frequency of in-situ flow accuracy testing?</t>
  </si>
  <si>
    <t>Is the most recent in-situ flow accuracy testing documentation available for review?</t>
  </si>
  <si>
    <t>What are the total volume-weighted average results of in-situ flow accuracy testing (during or closest to audit year)?</t>
  </si>
  <si>
    <t>Have testing and calibration procedures been closely scrutinized for compliance with procedures described in the AWWA M36 and/or M33 Manual(s)?</t>
  </si>
  <si>
    <t>Which best describes the frequency of finished water meter readings?</t>
  </si>
  <si>
    <t>Which best describes the frequency of data review for anomalies/errors? These can include numbers that are outside of typical patterns, and zero or 'null' values that may reflect a gap in data recording.</t>
  </si>
  <si>
    <t>&lt;25%</t>
  </si>
  <si>
    <t>Not sure</t>
  </si>
  <si>
    <t>Regular review not conducted / Not sure</t>
  </si>
  <si>
    <t>25-50%</t>
  </si>
  <si>
    <t xml:space="preserve">
</t>
  </si>
  <si>
    <t>&gt;50-75%</t>
  </si>
  <si>
    <t>None, or Not within last 5 years</t>
  </si>
  <si>
    <t>&gt;75% - 90%</t>
  </si>
  <si>
    <t>Data transfer errors are not checked, or not sure</t>
  </si>
  <si>
    <t>Less frequently than monthly</t>
  </si>
  <si>
    <t>Less than annual but within last 5 years</t>
  </si>
  <si>
    <t>No</t>
  </si>
  <si>
    <t>&gt;90% - 95%</t>
  </si>
  <si>
    <t>Once per month</t>
  </si>
  <si>
    <t>Annually</t>
  </si>
  <si>
    <t>Data transfer errors are checked at secondary device(s), but not to tertiary device(s)</t>
  </si>
  <si>
    <t>At ±6% or greater</t>
  </si>
  <si>
    <t>&gt;95 - 99%</t>
  </si>
  <si>
    <t>More frequently than monthly, but not every day</t>
  </si>
  <si>
    <t>Between ±3% to ±6%</t>
  </si>
  <si>
    <t>Daily</t>
  </si>
  <si>
    <t>&gt;99%</t>
  </si>
  <si>
    <t>At least semi-annually</t>
  </si>
  <si>
    <t>Data transfer errors are checked at secondary device(s) AND tertiary device(s)</t>
  </si>
  <si>
    <t>Yes</t>
  </si>
  <si>
    <t>At or within ±3%</t>
  </si>
  <si>
    <t>Continuous</t>
  </si>
  <si>
    <t>Not applicable due to no electronic signal output (i.e. to SCADA)</t>
  </si>
  <si>
    <t>Data transfer errors are checked at secondary device(s), but no tertiary device(s) exist</t>
  </si>
  <si>
    <t>&lt;cross reference this answer to calibration frequency, account for and/or condition when determining limiting criteria-grade&gt;</t>
  </si>
  <si>
    <t>&lt;cross reference for No, but Yes on flow accuracy test documentation&gt;</t>
  </si>
  <si>
    <t>&lt;cross reference for No, but Yes on calibration documentation&gt;</t>
  </si>
  <si>
    <t>Dropdowns</t>
  </si>
  <si>
    <t>criteria questions - - COPY FROM ROW 5</t>
  </si>
  <si>
    <t>Combination</t>
  </si>
  <si>
    <t>Volume from Own Sources - Error Adjustment</t>
  </si>
  <si>
    <t>If no water produced from own sources.</t>
  </si>
  <si>
    <t>vosea.1</t>
  </si>
  <si>
    <t>vosea.2</t>
  </si>
  <si>
    <t>vosea.3</t>
  </si>
  <si>
    <t>vosea.4</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</si>
  <si>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</si>
  <si>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</si>
  <si>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</si>
  <si>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</si>
  <si>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</si>
  <si>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</si>
  <si>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Is the annual net distribution storage change included in either the VOS input or the VOSEA input?</t>
  </si>
  <si>
    <t>Are the flow accuracy test and/or electronic calibration results included in the VOSEA input in the water audit?</t>
  </si>
  <si>
    <t>Results are available but not analyzed</t>
  </si>
  <si>
    <t>Yes, results are analyzed and incorporated</t>
  </si>
  <si>
    <t>n/a given no distribution storage</t>
  </si>
  <si>
    <t>Yes, results are analyzed and a 'no-adjustment' was determined</t>
  </si>
  <si>
    <t>No error adjustment made due to absence of testing or calibration results</t>
  </si>
  <si>
    <t>dropdowns</t>
  </si>
  <si>
    <t>criteria questions - COPY FROM ROW 5</t>
  </si>
  <si>
    <t>Are tank levels monitored automatically &amp; recorded daily?</t>
  </si>
  <si>
    <t>Water Imported</t>
  </si>
  <si>
    <t>Did the water utility import any water during the audit year?</t>
  </si>
  <si>
    <t>wi.1</t>
  </si>
  <si>
    <t>wi.2</t>
  </si>
  <si>
    <t>wi.3</t>
  </si>
  <si>
    <t>wi.4</t>
  </si>
  <si>
    <t>wi.5</t>
  </si>
  <si>
    <t>wi.6</t>
  </si>
  <si>
    <t>wi.7</t>
  </si>
  <si>
    <t>wi.8</t>
  </si>
  <si>
    <t>wi.9</t>
  </si>
  <si>
    <t>wi.10</t>
  </si>
  <si>
    <t>Percent of import metered</t>
  </si>
  <si>
    <t>Meter calibration frequency</t>
  </si>
  <si>
    <t>Calibration documentation</t>
  </si>
  <si>
    <t>Flow accuracy test documentation</t>
  </si>
  <si>
    <t>Flow accuracy test results</t>
  </si>
  <si>
    <t>What percent of water imported is metered?</t>
  </si>
  <si>
    <t>Is the most recent electronic calibration documentation available?</t>
  </si>
  <si>
    <t>Is the most recent in-situ flow accuracy testing documentation available?</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</si>
  <si>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</si>
  <si>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</si>
  <si>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SimpleMin</t>
  </si>
  <si>
    <t>If all non-MinScore &gt; MinScore Then +1</t>
  </si>
  <si>
    <t>Average</t>
  </si>
  <si>
    <t>Water Imported - Error Adjustment</t>
  </si>
  <si>
    <t>If no water imported.</t>
  </si>
  <si>
    <t>wiea.1</t>
  </si>
  <si>
    <t>wiea.2</t>
  </si>
  <si>
    <t>wiea.3</t>
  </si>
  <si>
    <t>wiea.4</t>
  </si>
  <si>
    <t>Agreement in place</t>
  </si>
  <si>
    <t>Meter accuracy testing or electronic calibration requirements</t>
  </si>
  <si>
    <t>Data trail accessibility</t>
  </si>
  <si>
    <t>Is an agreement in place between Exporting and Importing Utility for the purchase of water?</t>
  </si>
  <si>
    <t>Are meter accuracy testing or electronic calibration requirements stipulated in the water purchase agreement?</t>
  </si>
  <si>
    <t>Are flow accuracy test and/or electronic calibration results used to inform the error adjustment input in the water audit?</t>
  </si>
  <si>
    <t>Who has access to the import meter readings including current and archived data?</t>
  </si>
  <si>
    <t>No, but meter accuracy testing and/or electronic calibration is conducted upon request of the importing utility</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</si>
  <si>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</si>
  <si>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</si>
  <si>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</si>
  <si>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</si>
  <si>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</si>
  <si>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</si>
  <si>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</si>
  <si>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Exported</t>
  </si>
  <si>
    <t>Did the water utility export any water during the audit year?</t>
  </si>
  <si>
    <t>we.1</t>
  </si>
  <si>
    <t>we.2</t>
  </si>
  <si>
    <t>we.3</t>
  </si>
  <si>
    <t>we.4</t>
  </si>
  <si>
    <t>we.5</t>
  </si>
  <si>
    <t>we.6</t>
  </si>
  <si>
    <t>we.7</t>
  </si>
  <si>
    <t>we.8</t>
  </si>
  <si>
    <t>we.9</t>
  </si>
  <si>
    <t>we.10</t>
  </si>
  <si>
    <t>Percent of export metered</t>
  </si>
  <si>
    <t>What percent of water exported is metered?</t>
  </si>
  <si>
    <t>What is the frequency of data review &amp; correction by Exporting or Importing Utility for data gaps and/or anomalies?</t>
  </si>
  <si>
    <t>Water Exported - Error Adjustment</t>
  </si>
  <si>
    <t>If no water exported.</t>
  </si>
  <si>
    <t>weea.1</t>
  </si>
  <si>
    <t>weea.2</t>
  </si>
  <si>
    <t>weea.3</t>
  </si>
  <si>
    <t>weea.4</t>
  </si>
  <si>
    <t>Is an agreement in place between Exporting and Importing Utility?</t>
  </si>
  <si>
    <t>Who has access to the export meter readings including current and archived data?</t>
  </si>
  <si>
    <t>Billed Metered Authorized Consumption</t>
  </si>
  <si>
    <t xml:space="preserve">Were any customers metered in the audit year? </t>
  </si>
  <si>
    <t>bmac.1</t>
  </si>
  <si>
    <t>bmac.2</t>
  </si>
  <si>
    <t>bmac.3</t>
  </si>
  <si>
    <t>bmac.4</t>
  </si>
  <si>
    <t>bmac.5</t>
  </si>
  <si>
    <t>bmac.6</t>
  </si>
  <si>
    <t>bmac.7</t>
  </si>
  <si>
    <t>Read Success Rate</t>
  </si>
  <si>
    <t>Read Frequency</t>
  </si>
  <si>
    <t>Pro-Rating</t>
  </si>
  <si>
    <t>Internal Review</t>
  </si>
  <si>
    <t>Third-Party Review</t>
  </si>
  <si>
    <t>For billed metered accounts, what % of bills are estimated in a typical billing cycle?</t>
  </si>
  <si>
    <t>How often does the utility read its customer meters?
For systems with multiple read frequencies, select the reading frequency that describes the majority of your customers.</t>
  </si>
  <si>
    <t>Is the BMAC volume pro-rated to represent consumption occuring exactly during the audit period?</t>
  </si>
  <si>
    <t>How frequently does internal review by utility staff of the BMAC volumes occur?</t>
  </si>
  <si>
    <t>What level of detail is examined in the internal review of BMAC volumes?</t>
  </si>
  <si>
    <t>When was the most recent billing data review by someone who is independent of the utility billing process?</t>
  </si>
  <si>
    <t>What level of detail was examined in the review by someone who is independent of the utility billing process?</t>
  </si>
  <si>
    <t>&gt;50%</t>
  </si>
  <si>
    <t>No review</t>
  </si>
  <si>
    <t>&gt;20% up to 50%</t>
  </si>
  <si>
    <t>&gt;10% up to 20%</t>
  </si>
  <si>
    <t>Less frequently than annually</t>
  </si>
  <si>
    <t>Less frequenty than quarterly</t>
  </si>
  <si>
    <t>&gt;5% up to 10%</t>
  </si>
  <si>
    <t>Quarterly</t>
  </si>
  <si>
    <t>Sum total only</t>
  </si>
  <si>
    <t>Bi-Monthly</t>
  </si>
  <si>
    <t>More than 5 years ago, or not sure</t>
  </si>
  <si>
    <t>Monthly</t>
  </si>
  <si>
    <t>More frequently than annually but less than every billing cycle</t>
  </si>
  <si>
    <t>Totals grouped by use type or customer class</t>
  </si>
  <si>
    <t>Between 3 and 5 years ago</t>
  </si>
  <si>
    <t>Third party review includes a check on a sample of accounts</t>
  </si>
  <si>
    <t>5% or less</t>
  </si>
  <si>
    <t>More frequently than monthly</t>
  </si>
  <si>
    <t>Every billing cycle</t>
  </si>
  <si>
    <t>Totals grouped by use type or customer class and specific accounts flagged for anomalous consumption</t>
  </si>
  <si>
    <t>Within last 3 years</t>
  </si>
  <si>
    <t>Full billing database query and analysis of raw data to verify the summary consumption volumes</t>
  </si>
  <si>
    <t>Billed Unmetered Authorized Consumption</t>
  </si>
  <si>
    <t>Was there any billed consumption on unmetered accounts in the audit year?</t>
  </si>
  <si>
    <t>buac.1</t>
  </si>
  <si>
    <t>buac.2</t>
  </si>
  <si>
    <t>buac.3</t>
  </si>
  <si>
    <t>% Billings Unmetered</t>
  </si>
  <si>
    <t>Derivation</t>
  </si>
  <si>
    <t>Billing Frequency</t>
  </si>
  <si>
    <t>What portion of billed accounts are unmetered (% by number of accounts)?</t>
  </si>
  <si>
    <t>Methodology to quantify consumption for unmetered accounts?</t>
  </si>
  <si>
    <t>How frequently is unmetered customer consumption estimated?</t>
  </si>
  <si>
    <t>Guesstimated</t>
  </si>
  <si>
    <t>Estimated based on assumptions of consumption by customer characteristics (i.e. customer type or meter size)</t>
  </si>
  <si>
    <t>Semi-Annually</t>
  </si>
  <si>
    <t>Extrapolated from similar customer groups in the utility's metered population, but limited is sample sizes</t>
  </si>
  <si>
    <t>Bi-monthly</t>
  </si>
  <si>
    <t>Estimated for each unmetered customer OR derived from representative statistical samples of the system</t>
  </si>
  <si>
    <t>Unbilled Metered Authorized Consumption</t>
  </si>
  <si>
    <t>Did the water utility have any unbilled-metered consumption in the audit year?</t>
  </si>
  <si>
    <t>umac.1</t>
  </si>
  <si>
    <t>umac.2</t>
  </si>
  <si>
    <t>umac.3</t>
  </si>
  <si>
    <t>umac.4</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</si>
  <si>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</si>
  <si>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</si>
  <si>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</si>
  <si>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</si>
  <si>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</si>
  <si>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</si>
  <si>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is each unbilled customer meter read? 
For systems with multiple read frequencies, select the reading frequency that describes the majority of your customers.</t>
  </si>
  <si>
    <t>How often are unbilled metered volumes reviewed for error?</t>
  </si>
  <si>
    <t>Unknown</t>
  </si>
  <si>
    <t>No review conducted</t>
  </si>
  <si>
    <t>Policy broadly addresses and there exists a collective understanding</t>
  </si>
  <si>
    <t>Less than annually</t>
  </si>
  <si>
    <t>Estimated total available</t>
  </si>
  <si>
    <t>More than annually, but less than every billing cycle</t>
  </si>
  <si>
    <t>Policy includes specific exemptions</t>
  </si>
  <si>
    <t>Monitored, count available</t>
  </si>
  <si>
    <t>Monthly or more frequently</t>
  </si>
  <si>
    <t>Each billing cycle</t>
  </si>
  <si>
    <t>Unbilled Unmetered Authorized Consumption</t>
  </si>
  <si>
    <t>A system specific volume has been entered</t>
  </si>
  <si>
    <t>DEFAULT</t>
  </si>
  <si>
    <t>Was the default value used for this input?</t>
  </si>
  <si>
    <t>Default is used because Custom Value is selected but no value has been entered</t>
  </si>
  <si>
    <t>uuac.1</t>
  </si>
  <si>
    <t>uuac.2</t>
  </si>
  <si>
    <t>uuac.3</t>
  </si>
  <si>
    <t>Inventory</t>
  </si>
  <si>
    <t>Documentation</t>
  </si>
  <si>
    <t>How well-understood is the extent of unbilled unmetered use?</t>
  </si>
  <si>
    <t>Which best describes the records that are kept for events of unbilled unmetered use?</t>
  </si>
  <si>
    <t>How is the majority of unbilled unmetered use estimated?</t>
  </si>
  <si>
    <t>No documentation</t>
  </si>
  <si>
    <t>Guesstimation</t>
  </si>
  <si>
    <t>Examples known, but no complete inventory</t>
  </si>
  <si>
    <t>By a mix of some guesstimation and some event-specific estimates</t>
  </si>
  <si>
    <t>Documentation exists, but not specific to each event</t>
  </si>
  <si>
    <t>Majority identified and tracked</t>
  </si>
  <si>
    <t>By number of events multiplied by typical use estimates</t>
  </si>
  <si>
    <t>Complete inventory exists</t>
  </si>
  <si>
    <t>Each event is documented</t>
  </si>
  <si>
    <t>Entirely from event-specific estimates</t>
  </si>
  <si>
    <t>at 3</t>
  </si>
  <si>
    <t>Default Input Utilized. {so no questions presented to the auditor}</t>
  </si>
  <si>
    <t xml:space="preserve">On the Worksheet, the status of the default option is: </t>
  </si>
  <si>
    <t>Unauthorized Consumption</t>
  </si>
  <si>
    <t>uc.1</t>
  </si>
  <si>
    <t>uc.2</t>
  </si>
  <si>
    <t>Input Derivation</t>
  </si>
  <si>
    <t>Tracking &amp; Oversight</t>
  </si>
  <si>
    <t>Which best describes how the input was derived?</t>
  </si>
  <si>
    <t>Which best describes the extent of unauthorized consumption tracking and oversight?</t>
  </si>
  <si>
    <t>Not tracked</t>
  </si>
  <si>
    <t>Some discovered events recorded, others are not</t>
  </si>
  <si>
    <t>Estimation for custom volume extrapolated from observed instances of unauthorized consumption (that were not back-billed)</t>
  </si>
  <si>
    <t>All discovered events are recorded</t>
  </si>
  <si>
    <t>Estimation for custom volume extrapolated from study, sampling a portion of the system</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</si>
  <si>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</si>
  <si>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</si>
  <si>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</si>
  <si>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for 3</t>
  </si>
  <si>
    <t>Customer Metering Inaccuracies</t>
  </si>
  <si>
    <t>Was there any metered customer usage during the audit period?</t>
  </si>
  <si>
    <t>select n/a only if the entire customer population is unmetered. In such a case the volume entered must be zero.</t>
  </si>
  <si>
    <t xml:space="preserve">To include, but remove grade impacts (these are practice inventorying questions only).	</t>
  </si>
  <si>
    <t>cmi.1</t>
  </si>
  <si>
    <t>cmi.2</t>
  </si>
  <si>
    <t>cmi.3
&lt;sub-question to cmi.2&gt;</t>
  </si>
  <si>
    <t>cmi.4</t>
  </si>
  <si>
    <t>cmi.5
&lt;sub-question to cmi.4&gt;</t>
  </si>
  <si>
    <t>cmi.6</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</si>
  <si>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</si>
  <si>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</si>
  <si>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</si>
  <si>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</si>
  <si>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</si>
  <si>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</si>
  <si>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</si>
  <si>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</si>
  <si>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</si>
  <si>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</si>
  <si>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Meter Replacement Practice</t>
  </si>
  <si>
    <t xml:space="preserve">Meter Stock Inventory </t>
  </si>
  <si>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</si>
  <si>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</si>
  <si>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</si>
  <si>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</si>
  <si>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</si>
  <si>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Has the input derivation been reviewed by someone with expert knowledge in the M36 methodology?</t>
  </si>
  <si>
    <t>To what extent does meter replacement occur and for which meters?</t>
  </si>
  <si>
    <t>Which best describes the reliability of meter installation records?</t>
  </si>
  <si>
    <t>No reactive testing conducted</t>
  </si>
  <si>
    <t>None</t>
  </si>
  <si>
    <t>Records not maintained for installed meters</t>
  </si>
  <si>
    <t>Guesstimated without any customer meter testing data as a reference</t>
  </si>
  <si>
    <t>Replacement upon complete failure or special circumstance (as needed)</t>
  </si>
  <si>
    <t>Records are kept for meter installations, but data is missing for installation date, type, size, or manufacturer</t>
  </si>
  <si>
    <t>No proactive small meter testing activity to date</t>
  </si>
  <si>
    <t>No proactive large meter testing activity to date</t>
  </si>
  <si>
    <t>Annual proactive replacement of subset of meters (i.e. by age or throughput)</t>
  </si>
  <si>
    <t>Records are kept for meter installations, and they include data on installation date, type, size, and manufacturer</t>
  </si>
  <si>
    <t>Not recurring, last effort conducted more than 5 years prior to audit period</t>
  </si>
  <si>
    <t>Not recurring, last testing effort occurred more than 5 years prior to audit period</t>
  </si>
  <si>
    <t>Proactive replacement informed by meter accuracy testing and study of meter performance trends</t>
  </si>
  <si>
    <t>Not recurring, but conducted within 5 years prior to audit period</t>
  </si>
  <si>
    <t>Meter accuracy test results or manufacturer specs are referenced but not analyzed and used directly in calculation</t>
  </si>
  <si>
    <t>Testing targeted to subsets of meters ie oldest meters</t>
  </si>
  <si>
    <t>Testing targeted to subsets of meters (ie most revenue generating or customer types)</t>
  </si>
  <si>
    <t>Recurring, within 5 years prior to audit period</t>
  </si>
  <si>
    <t>Recurring, within 5 years prior to audit period, but less frequently than annually</t>
  </si>
  <si>
    <t>Calculated based on most recent meter accuracy tests, but not comprehensive of all meter performance</t>
  </si>
  <si>
    <t>No testing conducted, but at least 10% of meter stock has been replaced within two years of the audit period</t>
  </si>
  <si>
    <t>No test results were used, but at least 50% of meter stock has been replaced within two years of the audit period</t>
  </si>
  <si>
    <t>Recurring, within two years of the audit period</t>
  </si>
  <si>
    <t>Reactive testing conducted</t>
  </si>
  <si>
    <t>Ongoing, conducted annually</t>
  </si>
  <si>
    <t>Proactive - representative sample (for small meters)</t>
  </si>
  <si>
    <t>Proactive - all large meters are on a testing schedule</t>
  </si>
  <si>
    <t>Calculated based on most recent meter accuracy tests, comprehensive of all meter performance</t>
  </si>
  <si>
    <t>cmi.0</t>
  </si>
  <si>
    <t>cmi.3</t>
  </si>
  <si>
    <t>cmi.5</t>
  </si>
  <si>
    <t>Systematic Data Handling Errors</t>
  </si>
  <si>
    <t>sdhe.1</t>
  </si>
  <si>
    <t>sdhe.2</t>
  </si>
  <si>
    <t>sdhe.3</t>
  </si>
  <si>
    <t>sdhe.4</t>
  </si>
  <si>
    <t>Validation of Unit Conversions</t>
  </si>
  <si>
    <t>New Account Integration</t>
  </si>
  <si>
    <t>Billing Process Auditing</t>
  </si>
  <si>
    <t>Which best describes validation performed in the billing software for multipliers (conversions between unit of meter reading and unit of billing)?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</si>
  <si>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</si>
  <si>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</si>
  <si>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</si>
  <si>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</si>
  <si>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</si>
  <si>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Extrapolated from discovered instances of erroneous unbilled consumption (that were not back-billed)</t>
  </si>
  <si>
    <t>Billing data evaluated annually for general errors, but a specific analysis for systematic data handling errors has not been conducted</t>
  </si>
  <si>
    <t>A sample of meter multipliers have been analyzed to confirm multiplier conversion in the billing system is correct</t>
  </si>
  <si>
    <t>Detailed analysis conducted within 5 years of the audit period on stuck meters, extended estimations, &amp; miscoded multipliers</t>
  </si>
  <si>
    <t>Estimation derived from a specific analysis at the account level to identify erroneous unbilled consumption</t>
  </si>
  <si>
    <t>All meter multipliers have been analyzed to confirm multiplier conversion in the billing system is correct</t>
  </si>
  <si>
    <t>Policy is clear, and adherance in practice is consistent</t>
  </si>
  <si>
    <t>Detailed analysis conducted within 3 years of the audit period on stuck meters, extended estimations, &amp; miscoded multipliers</t>
  </si>
  <si>
    <t>Length of Mains</t>
  </si>
  <si>
    <t>Lm.1</t>
  </si>
  <si>
    <t>Lm.2</t>
  </si>
  <si>
    <t>Lm.3</t>
  </si>
  <si>
    <t>Lm.4</t>
  </si>
  <si>
    <t>Hydrant Laterals</t>
  </si>
  <si>
    <t>Inventory Updates</t>
  </si>
  <si>
    <t>Inventory Validation</t>
  </si>
  <si>
    <t>How was the input derived?</t>
  </si>
  <si>
    <t>Are hydrant laterals included in the input derivation?</t>
  </si>
  <si>
    <t>Which best describes how the Mains inventory (GIS, ledger, etc) is kept up to date?</t>
  </si>
  <si>
    <t>Which best describes how the Mains inventory (GIS, ledger, etc) is field validated to confirm field conditions match the inventory?</t>
  </si>
  <si>
    <t>Mains inventory (GIS, ledger, etc) is not maintained or updated</t>
  </si>
  <si>
    <t>Additions or subtractions are updated in the mains inventory (GIS, ledger, etc), but less than annually</t>
  </si>
  <si>
    <t>No field validation is conducted</t>
  </si>
  <si>
    <t>Derived directly from Mains inventory (GIS, ledger, etc)</t>
  </si>
  <si>
    <t>Additions or subtractions are updated in the mains inventory (GIS, ledger, etc), at least annually</t>
  </si>
  <si>
    <t>Field validation is accomplished (i.e. in daily operations or specific validation projects)</t>
  </si>
  <si>
    <t>Number of Service Connections</t>
  </si>
  <si>
    <t>Nc.1</t>
  </si>
  <si>
    <t>Nc.2</t>
  </si>
  <si>
    <t>Nc.3</t>
  </si>
  <si>
    <t>Nc.4</t>
  </si>
  <si>
    <t>Nc.5</t>
  </si>
  <si>
    <t>Input Basis</t>
  </si>
  <si>
    <t>What is the count of services based on?</t>
  </si>
  <si>
    <t xml:space="preserve">Are inactive (but still pressurized) service lines included in the input? These may be metered or unmetered.  </t>
  </si>
  <si>
    <t>Which best describes how the inventory of service connections (GIS, billing system, etc) is kept up to date?</t>
  </si>
  <si>
    <t>Which best describes how the inventory of service connections (GIS, billing system, etc) is field validated to confirm field conditions match the inventory?</t>
  </si>
  <si>
    <t>Service line inventory (GIS, billing system, etc) is not maintained or updated</t>
  </si>
  <si>
    <t>Unsure</t>
  </si>
  <si>
    <t>Additions or subtractions are updated in the service line inventory (GIS, billing system, etc), but less than annually</t>
  </si>
  <si>
    <t>Non-premise based, i.e. meter count, customer count</t>
  </si>
  <si>
    <t>Field validation is accomplished for a portion of the system (i.e. in daily operations or specific validation projects)</t>
  </si>
  <si>
    <t>Extracted from Services inventory (GIS, billing system, etc)</t>
  </si>
  <si>
    <t>Premise based, i.e. service connection count, location ID count</t>
  </si>
  <si>
    <t>Additions or subtractions are updated in the service line inventory (GIS, billing system, etc), at least annually</t>
  </si>
  <si>
    <t>Field validation is accomplished for the entire system (i.e. in daily operations or specific validation projects)</t>
  </si>
  <si>
    <t>Average Length of (Private) Customer Service Line</t>
  </si>
  <si>
    <t xml:space="preserve">Are customer meters typically located at the curbstop or property line? </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</si>
  <si>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</si>
  <si>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</si>
  <si>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</si>
  <si>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</si>
  <si>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</si>
  <si>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</si>
  <si>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</si>
  <si>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</si>
  <si>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</si>
  <si>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Customer Service Line and Meter Locations inventory is not maintained or updated</t>
  </si>
  <si>
    <t>Additions or subtractions are updated in the service line and meter locations inventory, but less than annually</t>
  </si>
  <si>
    <t>Policy is clear, but adherence in practice is uncertain</t>
  </si>
  <si>
    <t>Input extrapolated from study sampling a portion of the system</t>
  </si>
  <si>
    <t>Derived from full mapping and customer inventory</t>
  </si>
  <si>
    <t>Additions or subtractions are updated in the service line and meter locations inventory, at least annually</t>
  </si>
  <si>
    <t>Field validation is accomplished (i.e. through normal work order processes or specific validation projects)</t>
  </si>
  <si>
    <t>Average Operating Pressure</t>
  </si>
  <si>
    <t>aop.1</t>
  </si>
  <si>
    <t>aop.2</t>
  </si>
  <si>
    <t>aop.3</t>
  </si>
  <si>
    <t>aop.4 &lt;sub to aop.3&gt;</t>
  </si>
  <si>
    <t>aop.5</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</si>
  <si>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</si>
  <si>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</si>
  <si>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</si>
  <si>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</si>
  <si>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</si>
  <si>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</si>
  <si>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Which best describes where continuous pressure data (via temporary data loggers or permanent telemetry) is collected?</t>
  </si>
  <si>
    <t xml:space="preserve">
Which best describes how continuous pressure data is collected?</t>
  </si>
  <si>
    <t xml:space="preserve">Loose estimate inferred from field measurements, but no analysis nor calculations performed </t>
  </si>
  <si>
    <t>Normally-closed boundary valves between zones have never been confirmed to be fully closed</t>
  </si>
  <si>
    <t>Continuous pressure data is not collected</t>
  </si>
  <si>
    <t>Temporary data logger(s) deployed, but limited and not capturing seasonal variation during the year</t>
  </si>
  <si>
    <t>Calculated from field data as a simple average</t>
  </si>
  <si>
    <t>Normally-closed boundary valves between zones have been confirmed to be fully closed more than 3 years ago</t>
  </si>
  <si>
    <t>Collected only if there are low pressure complaints, or new development requests</t>
  </si>
  <si>
    <t>At zone boundary conditions only (i.e. supply entry points, PRVs, booster stations)</t>
  </si>
  <si>
    <t>At zone boundary conditions, plus some locations inside the zone(s) but not representing the full pressure profile</t>
  </si>
  <si>
    <t>Temporary data logger(s) deployed, adequately capturing seasonal variation during the year</t>
  </si>
  <si>
    <t>Calculated from field data as a weighted average, compliant with methods described in the M36 Manual</t>
  </si>
  <si>
    <t>Derived from hydraulic model, where model has not been field calibrated in the last 5 years</t>
  </si>
  <si>
    <t>Normally-closed boundary valves between zones have been confirmed within the past 3 years to be fully closed</t>
  </si>
  <si>
    <t>Collected annually during routine system flushing and/or hydrant testing</t>
  </si>
  <si>
    <t>At zone boundary conditions, plus locations inside the zone(s) representing the full pressure profile</t>
  </si>
  <si>
    <t>Year-round data collection via permanent monitoring</t>
  </si>
  <si>
    <t>Derived from hydraulic model, where model has been field calibrated in the last 5 years</t>
  </si>
  <si>
    <t>Not applicable, the system operates as a single pressure zone</t>
  </si>
  <si>
    <t>&lt;cross reference this answer if aop.3 = 10, then aop.2 = 10&gt;</t>
  </si>
  <si>
    <t>Customer Retail Unit Charge</t>
  </si>
  <si>
    <t>Was any metered consumption billed on a volumetric basis in the audit period?</t>
  </si>
  <si>
    <t>cruc.1</t>
  </si>
  <si>
    <t>cruc.2</t>
  </si>
  <si>
    <t>cruc.3</t>
  </si>
  <si>
    <t>cruc.4</t>
  </si>
  <si>
    <t>Rate Structure in Force</t>
  </si>
  <si>
    <t>Dependent revenue inclusion</t>
  </si>
  <si>
    <t>Which best describes the use and reliability of the current rate structure?</t>
  </si>
  <si>
    <t>Choose the option that best describes how the input was derived</t>
  </si>
  <si>
    <t>Is there any additional volumetric revenue the utility receives that depends on water meter readings, such as sewer?</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</si>
  <si>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</si>
  <si>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</si>
  <si>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</si>
  <si>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</si>
  <si>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</si>
  <si>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</si>
  <si>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</si>
  <si>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</si>
  <si>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Variable Production Cost</t>
  </si>
  <si>
    <t>vpc.1</t>
  </si>
  <si>
    <t>vpc.2</t>
  </si>
  <si>
    <t>vpc.3</t>
  </si>
  <si>
    <t>vpc.4</t>
  </si>
  <si>
    <t>Short-Run Marginal Cost Inclusion</t>
  </si>
  <si>
    <t>Long-Run Marginal Cost Inclusion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</si>
  <si>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</si>
  <si>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</si>
  <si>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Some but not all applicable short-run marginal costs are included</t>
  </si>
  <si>
    <t>A non-weighted average of multiple sources was calculated</t>
  </si>
  <si>
    <t>Long-run marginal costs have not been evaluated for applicability, and are not included</t>
  </si>
  <si>
    <t>Long-run marginal costs have been evaluated for applicability, and some but not all applicable costs are included</t>
  </si>
  <si>
    <t xml:space="preserve">Only one source of water exists, which was the basis for the input derivation
</t>
  </si>
  <si>
    <t>All applicable short-run marginal costs are included</t>
  </si>
  <si>
    <t xml:space="preserve">Long-run marginal costs have been evaluated for applicability, and all applicable costs are included
</t>
  </si>
  <si>
    <t>Multiple sources of water exist, and a volume-weighted average was calculated for all sources</t>
  </si>
  <si>
    <t>Unit costs for the most expensive source utilized based on utility's discretion</t>
  </si>
  <si>
    <t>The VPC was entered using the CRUC value, based on the utility's discretion</t>
  </si>
  <si>
    <t>if vpc.1 answer is CRUC utilized as VPC, match grade to CRUC grade</t>
  </si>
  <si>
    <t xml:space="preserve">*Unit cost for the most expensive source utilized as VPC based on the utility's discretion (per criteria vpc.i) </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</si>
  <si>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</si>
  <si>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</si>
  <si>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</si>
  <si>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</si>
  <si>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6.0_2021_02_11</t>
  </si>
  <si>
    <t>AWWA Free Water Audit Software v6.0</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</si>
  <si>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</si>
  <si>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Table of Contents (TOC)</t>
  </si>
  <si>
    <t>Enter Basic Information</t>
  </si>
  <si>
    <t>Key of Input Acronyms</t>
  </si>
  <si>
    <t>In order of appearance in the Worksheet</t>
  </si>
  <si>
    <t>Start Page</t>
  </si>
  <si>
    <t xml:space="preserve">The current sheet. Enter contact information and basic audit details. </t>
  </si>
  <si>
    <t xml:space="preserve">Name of Utility: </t>
  </si>
  <si>
    <t>PAW - 520 Yardley</t>
  </si>
  <si>
    <t>VOS</t>
  </si>
  <si>
    <t xml:space="preserve">Name of Contact Person: </t>
  </si>
  <si>
    <t>James Baer</t>
  </si>
  <si>
    <t>VOSEA</t>
  </si>
  <si>
    <t>VOS Error Adjustment</t>
  </si>
  <si>
    <t xml:space="preserve">Email: </t>
  </si>
  <si>
    <t>james.baer@amwater.com</t>
  </si>
  <si>
    <t>WI</t>
  </si>
  <si>
    <t>Worksheet</t>
  </si>
  <si>
    <t>Enter the required data on this worksheet to calculate the water balance and data grading.</t>
  </si>
  <si>
    <t xml:space="preserve">Telephone | Ext.: </t>
  </si>
  <si>
    <t>610-842-3118</t>
  </si>
  <si>
    <t>WIEA</t>
  </si>
  <si>
    <t>WI Error Adjustment</t>
  </si>
  <si>
    <t xml:space="preserve">City/Town/Municipality: </t>
  </si>
  <si>
    <t>Yardley</t>
  </si>
  <si>
    <t>WE</t>
  </si>
  <si>
    <t xml:space="preserve">State / Province: </t>
  </si>
  <si>
    <t>Pennsylvania (PA)</t>
  </si>
  <si>
    <t>WEEA</t>
  </si>
  <si>
    <t>WE Error Adjustment</t>
  </si>
  <si>
    <t>Interactive Data Grading</t>
  </si>
  <si>
    <t>Answer questions about operational practices for each audit input, and the data validity grades will automatically populate.</t>
  </si>
  <si>
    <t xml:space="preserve">Other State/Province: </t>
  </si>
  <si>
    <t>BMAC</t>
  </si>
  <si>
    <t xml:space="preserve">Country: </t>
  </si>
  <si>
    <t>USA</t>
  </si>
  <si>
    <t>BUAC</t>
  </si>
  <si>
    <t xml:space="preserve">Audit Preparation Date: </t>
  </si>
  <si>
    <t>UMAC</t>
  </si>
  <si>
    <t>Dashboard</t>
  </si>
  <si>
    <t xml:space="preserve">Review NRW components, performance indicators and graphical outputs to evaluate the results of the audit. </t>
  </si>
  <si>
    <t xml:space="preserve"> Audit Year: </t>
  </si>
  <si>
    <t>UUAC</t>
  </si>
  <si>
    <t xml:space="preserve"> Audit Year Label: </t>
  </si>
  <si>
    <t>Calendar</t>
  </si>
  <si>
    <t>(Fiscal, Calendar, etc)</t>
  </si>
  <si>
    <t>SDHE</t>
  </si>
  <si>
    <t xml:space="preserve">Audit Period Start Date: </t>
  </si>
  <si>
    <t>CMI</t>
  </si>
  <si>
    <t>Notes</t>
  </si>
  <si>
    <t>Enter notes to explain how values were calculated, document data sources, and related information about data management practices.</t>
  </si>
  <si>
    <t xml:space="preserve">Audit Period End Date: </t>
  </si>
  <si>
    <t>UC</t>
  </si>
  <si>
    <t xml:space="preserve">Volume Reporting Units: </t>
  </si>
  <si>
    <t>Million gallons (US)</t>
  </si>
  <si>
    <t>Lm</t>
  </si>
  <si>
    <t>Length of mains</t>
  </si>
  <si>
    <t>Water System Structure:</t>
  </si>
  <si>
    <t>Retail</t>
  </si>
  <si>
    <t>Nc</t>
  </si>
  <si>
    <t>Number of service connections</t>
  </si>
  <si>
    <t>Blank Sheet</t>
  </si>
  <si>
    <t>By popular demand! A blank sheet.  
The world is your canvas.</t>
  </si>
  <si>
    <t>Water Type:</t>
  </si>
  <si>
    <t>Potable Water</t>
  </si>
  <si>
    <t>Lp</t>
  </si>
  <si>
    <t>Average length of (private) customer service line</t>
  </si>
  <si>
    <t>System ID Number:</t>
  </si>
  <si>
    <t>1090074</t>
  </si>
  <si>
    <t>AOP</t>
  </si>
  <si>
    <t xml:space="preserve">Validator Name/ID: </t>
  </si>
  <si>
    <t>CRUC</t>
  </si>
  <si>
    <t>Water Balance</t>
  </si>
  <si>
    <t>The values entered in the Worksheet automatically populate the Water Balance.</t>
  </si>
  <si>
    <t>Validator Email:</t>
  </si>
  <si>
    <t>VPC</t>
  </si>
  <si>
    <t>Estimated Total Population Served by Water Utility:</t>
  </si>
  <si>
    <t>Loss Control Planning</t>
  </si>
  <si>
    <t>Use this sheet to interpret the results of the audit validity score and performance indicators.</t>
  </si>
  <si>
    <t>Color Key</t>
  </si>
  <si>
    <t xml:space="preserve">User input  </t>
  </si>
  <si>
    <t xml:space="preserve">Calculated  </t>
  </si>
  <si>
    <t xml:space="preserve">Optional default  </t>
  </si>
  <si>
    <t>Definitions</t>
  </si>
  <si>
    <t>Use this sheet to understand the terms used in the audit process.</t>
  </si>
  <si>
    <t>Guidance for the</t>
  </si>
  <si>
    <t>Service Connection Diagram</t>
  </si>
  <si>
    <t>Diagrams depicting possible customer service connection line configurations.</t>
  </si>
  <si>
    <r>
      <t xml:space="preserve">Choosing to enter unit of </t>
    </r>
    <r>
      <rPr>
        <b/>
        <sz val="10"/>
        <rFont val="Arial"/>
        <family val="2"/>
      </rPr>
      <t>percent</t>
    </r>
    <r>
      <rPr>
        <sz val="10"/>
        <rFont val="Arial"/>
        <family val="2"/>
      </rPr>
      <t xml:space="preserve"> or </t>
    </r>
    <r>
      <rPr>
        <b/>
        <sz val="10"/>
        <rFont val="Arial"/>
        <family val="2"/>
      </rPr>
      <t>volume</t>
    </r>
  </si>
  <si>
    <t xml:space="preserve">Use acronym buttons in IDG header to navigate among inputs. Acronym Key above.
White = needs answers, orange = complete, clear = not required.  Example below.  </t>
  </si>
  <si>
    <t>(applies to VOSEA, WIEA, WEEA, CMI)</t>
  </si>
  <si>
    <t>choose entry option:</t>
  </si>
  <si>
    <t>Acknowledge-ments</t>
  </si>
  <si>
    <t>Acknowledgements for development of the AWWA Free Water Audit Software v6.0.</t>
  </si>
  <si>
    <t>percent</t>
  </si>
  <si>
    <t>or</t>
  </si>
  <si>
    <t>volume</t>
  </si>
  <si>
    <t>25.000</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</si>
  <si>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</si>
  <si>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t>After clicking an acronym button, answer all visible questions in the order they're presented, choosing best-fit answer</t>
  </si>
  <si>
    <t>(applies to UUAC, SDHE, UC)</t>
  </si>
  <si>
    <t>AWWA Web Resources for Water Loss Control</t>
  </si>
  <si>
    <t>https://www.awwa.org/Resources-Tools/Resource-Topics/Water-Loss-Control</t>
  </si>
  <si>
    <t>default</t>
  </si>
  <si>
    <t>Grade will populate when all visible questions 
are complete for an input</t>
  </si>
  <si>
    <t>Items referenced in the Free Water Audit Software v6.0 on the web:</t>
  </si>
  <si>
    <t>custom</t>
  </si>
  <si>
    <t>75.000</t>
  </si>
  <si>
    <t>Data Grading Matrix v6.0</t>
  </si>
  <si>
    <t>Example Water Audit v6.0</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</si>
  <si>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</si>
  <si>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Limiting</t>
  </si>
  <si>
    <t>Water Audit Compiler v6.0</t>
  </si>
  <si>
    <t>AWWA Reports on Performance Indicators</t>
  </si>
  <si>
    <t>M36 Manual</t>
  </si>
  <si>
    <t>If you have questions or comments regarding this software please contact us at:</t>
  </si>
  <si>
    <t>wlc@awwa.org</t>
  </si>
  <si>
    <t>Select</t>
  </si>
  <si>
    <t>Select a state / province from the list</t>
  </si>
  <si>
    <t>Alabama (AL)</t>
  </si>
  <si>
    <t>Wholesale</t>
  </si>
  <si>
    <t>Raw Water</t>
  </si>
  <si>
    <t>Alaska (AK)</t>
  </si>
  <si>
    <t>Hybrid Wholesale + Retail</t>
  </si>
  <si>
    <t>Recycled Water</t>
  </si>
  <si>
    <t>Alberta (AB)</t>
  </si>
  <si>
    <t>Other  ---------------&gt;</t>
  </si>
  <si>
    <t>American Samoa</t>
  </si>
  <si>
    <t>Arizona (AZ)</t>
  </si>
  <si>
    <t>Arkansas (AR)</t>
  </si>
  <si>
    <t>British Columbia (BC)</t>
  </si>
  <si>
    <t>California (CA)</t>
  </si>
  <si>
    <t>Colorado (CO)</t>
  </si>
  <si>
    <t>Commonwealth of the Northern Mariana Islands (CNMI)</t>
  </si>
  <si>
    <t>Connecticut (CT)</t>
  </si>
  <si>
    <t>Delaware (DE)</t>
  </si>
  <si>
    <t>Dist. Columbia (DC)</t>
  </si>
  <si>
    <t>Florida (FL)</t>
  </si>
  <si>
    <t>Georgia (GA)</t>
  </si>
  <si>
    <t>Guam</t>
  </si>
  <si>
    <t>Hawaii (HI)</t>
  </si>
  <si>
    <t>Idaho (ID)</t>
  </si>
  <si>
    <t>Illinois (IL)</t>
  </si>
  <si>
    <t>Indiana (IN)</t>
  </si>
  <si>
    <t>International (XX)</t>
  </si>
  <si>
    <t>Iowa (IA)</t>
  </si>
  <si>
    <t>Kansas (KS)</t>
  </si>
  <si>
    <t>Kentucky (KY)</t>
  </si>
  <si>
    <t>Labrador (LB)</t>
  </si>
  <si>
    <t>Louisiana (LA)</t>
  </si>
  <si>
    <t>Maine (ME)</t>
  </si>
  <si>
    <t>Manitoba (MB)</t>
  </si>
  <si>
    <t>Maryland (MD)</t>
  </si>
  <si>
    <t>Massachusetts (MA)</t>
  </si>
  <si>
    <t>Michigan (MI)</t>
  </si>
  <si>
    <t>Minnesota (MN)</t>
  </si>
  <si>
    <t>Mississippi (MS)</t>
  </si>
  <si>
    <t>Missouri (MO)</t>
  </si>
  <si>
    <t>Montana (MT)</t>
  </si>
  <si>
    <t>Nebraska (NE)</t>
  </si>
  <si>
    <t>Nevada (NV)</t>
  </si>
  <si>
    <t>New Brunswick (NB)</t>
  </si>
  <si>
    <t>New Hampshire (NH)</t>
  </si>
  <si>
    <t>New Jersey (NJ)</t>
  </si>
  <si>
    <t>New Mexico (NM)</t>
  </si>
  <si>
    <t>New York (NY)</t>
  </si>
  <si>
    <t>Newfoundland (NF)</t>
  </si>
  <si>
    <t>North Carolina (NC)</t>
  </si>
  <si>
    <t>North Dakota (ND)</t>
  </si>
  <si>
    <t>North West Terr. (NW)</t>
  </si>
  <si>
    <t>Nova Scotia (NS)</t>
  </si>
  <si>
    <t>Nunavut (NU)</t>
  </si>
  <si>
    <t>Ohio (OH)</t>
  </si>
  <si>
    <t>Oklahoma (OK)</t>
  </si>
  <si>
    <t>Ontario (ON)</t>
  </si>
  <si>
    <t>Oregon (OR)</t>
  </si>
  <si>
    <t>Prince Edward Is. (PE)</t>
  </si>
  <si>
    <t>Puerto Rico (PR)</t>
  </si>
  <si>
    <t>Quebec (QC)</t>
  </si>
  <si>
    <t>Rhode Island (RI)</t>
  </si>
  <si>
    <t>Saskatchewen (SK)</t>
  </si>
  <si>
    <t>South Carolina (SC)</t>
  </si>
  <si>
    <t>South Dakota (SD)</t>
  </si>
  <si>
    <t>Tennessee (TN)</t>
  </si>
  <si>
    <t>Texas (TX)</t>
  </si>
  <si>
    <t>United States Virgin Islands (USVI)</t>
  </si>
  <si>
    <t>Utah (UT)</t>
  </si>
  <si>
    <t>Vermont (VT)</t>
  </si>
  <si>
    <t>Virginia (VA)</t>
  </si>
  <si>
    <t>Washington (WA)</t>
  </si>
  <si>
    <t>West Virginia (WV)</t>
  </si>
  <si>
    <t>Wisconsin (WI)</t>
  </si>
  <si>
    <t>Wyoming (WY)</t>
  </si>
  <si>
    <t>Yukon (YU)</t>
  </si>
  <si>
    <t>Other (enter custom value below)</t>
  </si>
  <si>
    <r>
      <t xml:space="preserve"> AWWA Free Water Audit Software:
</t>
    </r>
    <r>
      <rPr>
        <b/>
        <sz val="14"/>
        <color rgb="FFFFFFFF"/>
        <rFont val="Arial"/>
        <family val="2"/>
      </rPr>
      <t xml:space="preserve"> Worksheet</t>
    </r>
  </si>
  <si>
    <t>Water Audit Report for:</t>
  </si>
  <si>
    <t>Audit Year:</t>
  </si>
  <si>
    <t>go to start page</t>
  </si>
  <si>
    <t>Water Supplied Error Adjustments</t>
  </si>
  <si>
    <t>Grading weighting points in red</t>
  </si>
  <si>
    <t>over/under</t>
  </si>
  <si>
    <t>Need</t>
  </si>
  <si>
    <t>Have</t>
  </si>
  <si>
    <t>Missing</t>
  </si>
  <si>
    <t>WATER SUPPLIED</t>
  </si>
  <si>
    <t>Pcnt(1) or Val(2)</t>
  </si>
  <si>
    <t>Raw Vol</t>
  </si>
  <si>
    <t>MME</t>
  </si>
  <si>
    <t>WSEA</t>
  </si>
  <si>
    <t>factor</t>
  </si>
  <si>
    <t xml:space="preserve"> over/under?</t>
  </si>
  <si>
    <t>over/under?</t>
  </si>
  <si>
    <t>For Water Balance</t>
  </si>
  <si>
    <t>Volume from Own Sources:</t>
  </si>
  <si>
    <t>n</t>
  </si>
  <si>
    <t>g</t>
  </si>
  <si>
    <t>over-registration</t>
  </si>
  <si>
    <t>Water Imported:</t>
  </si>
  <si>
    <t>select…..</t>
  </si>
  <si>
    <t>Water Exported:</t>
  </si>
  <si>
    <t>under-registration</t>
  </si>
  <si>
    <t>If entering an 
Error Adjustment, 
select under- or over-registration</t>
  </si>
  <si>
    <t>If &gt; 0, then a over/under is missing, and H19 should not calculate</t>
  </si>
  <si>
    <t>WATER SUPPLIED:</t>
  </si>
  <si>
    <t>total weighting pts</t>
  </si>
  <si>
    <t>.</t>
  </si>
  <si>
    <t>AUTHORIZED CONSUMPTION</t>
  </si>
  <si>
    <t>Billed Metered:</t>
  </si>
  <si>
    <t xml:space="preserve">&lt;added logic so if there is zero metered volume, 14 grading points will still be available. End result is to penalize systems with zero metered volume. </t>
  </si>
  <si>
    <t>Billed Unmetered:</t>
  </si>
  <si>
    <t>Unbilled Metered:</t>
  </si>
  <si>
    <t xml:space="preserve">Testing... different object positioning settings to try to prevent radio buttons from moving - seeing this on many completed audits. Evaluate performance during beta testing
</t>
  </si>
  <si>
    <t>Unbilled Unmetered:</t>
  </si>
  <si>
    <t>Format Shape &gt; Properties - Object positioning: Move and Size with cells</t>
  </si>
  <si>
    <t>AUTHORIZED CONSUMPTION:</t>
  </si>
  <si>
    <t>WATER LOSSES</t>
  </si>
  <si>
    <t>Apparent Losses</t>
  </si>
  <si>
    <t>Systematic Data Handling Errors:</t>
  </si>
  <si>
    <t>Customer Metering Inaccuracies:</t>
  </si>
  <si>
    <t>Unauthorized Consumption:</t>
  </si>
  <si>
    <t>Apparent Losses:</t>
  </si>
  <si>
    <t>Volumes</t>
  </si>
  <si>
    <t>CMI: BM</t>
  </si>
  <si>
    <t>CMI: UB</t>
  </si>
  <si>
    <t xml:space="preserve">Real Losses </t>
  </si>
  <si>
    <t>Real Losses:</t>
  </si>
  <si>
    <t>WATER LOSSES:</t>
  </si>
  <si>
    <t>NON-REVENUE WATER</t>
  </si>
  <si>
    <t>NON-REVENUE WATER:</t>
  </si>
  <si>
    <t>SYSTEM DATA</t>
  </si>
  <si>
    <t>Length of mains:</t>
  </si>
  <si>
    <t>(including fire hydrant lead lengths)</t>
  </si>
  <si>
    <t>Number of service connections:</t>
  </si>
  <si>
    <r>
      <t xml:space="preserve">(active </t>
    </r>
    <r>
      <rPr>
        <i/>
        <sz val="9"/>
        <rFont val="Arial"/>
        <family val="2"/>
      </rPr>
      <t>and</t>
    </r>
    <r>
      <rPr>
        <sz val="9"/>
        <rFont val="Arial"/>
        <family val="2"/>
      </rPr>
      <t xml:space="preserve"> inactive)</t>
    </r>
  </si>
  <si>
    <t>Service connection density:</t>
  </si>
  <si>
    <t xml:space="preserve">Are customer meters typically located at the curbstop/property line? </t>
  </si>
  <si>
    <t xml:space="preserve">If Yes, </t>
  </si>
  <si>
    <t>Average length of (private) customer service line:</t>
  </si>
  <si>
    <t>(average distance between property line and meter)</t>
  </si>
  <si>
    <t>If Yes, force grade to 10</t>
  </si>
  <si>
    <t>If Yes, force length to 0</t>
  </si>
  <si>
    <t>Average Operating Pressure:</t>
  </si>
  <si>
    <t>COST DATA</t>
  </si>
  <si>
    <t>Total Annual Operating Cost:</t>
  </si>
  <si>
    <t>$/Year</t>
  </si>
  <si>
    <t>Customer Retail Unit Charge:</t>
  </si>
  <si>
    <t>$/1000 gallons (US)</t>
  </si>
  <si>
    <t>Total Annual Operating Cost</t>
  </si>
  <si>
    <t>Variable Production Cost:</t>
  </si>
  <si>
    <t>$/yr (optional input)</t>
  </si>
  <si>
    <t xml:space="preserve"> WATER AUDIT DATA VALIDITY TIER:</t>
  </si>
  <si>
    <t>go to dashboard</t>
  </si>
  <si>
    <t xml:space="preserve"> PRIORITY AREAS FOR ATTENTION TO IMPROVE DATA VALIDITY:</t>
  </si>
  <si>
    <t>KEY PERFORMANCE INDICATOR TARGETS:</t>
  </si>
  <si>
    <t xml:space="preserve"> Based on the information provided, audit reliability can be most improved by addressing the following components:</t>
  </si>
  <si>
    <t>OPTIONAL:   If targets exist for the operational performance indicators, they can be input below:</t>
  </si>
  <si>
    <t>Unit Total Losses:</t>
  </si>
  <si>
    <t>Unit Apparent Losses: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</si>
  <si>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</si>
  <si>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</si>
  <si>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If entered above by user, targets will display on KPI gauges (see Dashboard)</t>
  </si>
  <si>
    <t>acronym key</t>
  </si>
  <si>
    <t xml:space="preserve">Limiting
criteria
(see Start
Page for 
details) </t>
  </si>
  <si>
    <t>go to input</t>
  </si>
  <si>
    <t>Volume from Own Sources (VOS) - Data Grading Criteria</t>
  </si>
  <si>
    <t>go to notes</t>
  </si>
  <si>
    <t>Look up table for volume - elimintaes other qs if &lt;90%</t>
  </si>
  <si>
    <t xml:space="preserve">Force limiting grade if these are the % selected </t>
  </si>
  <si>
    <t>vos</t>
  </si>
  <si>
    <t>Criteria Question</t>
  </si>
  <si>
    <t>Select Best-Fit Answers to All Visible Questions</t>
  </si>
  <si>
    <t>Simple Min.</t>
  </si>
  <si>
    <t>Fix red issues</t>
  </si>
  <si>
    <t>dependency</t>
  </si>
  <si>
    <t>vos.0</t>
  </si>
  <si>
    <t>all others hidden if 'no'</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</si>
  <si>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</si>
  <si>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vos.4, vos. 5</t>
  </si>
  <si>
    <t>set as dependent question from vos.2 and vos.5, if both = 'not within last 5 years' Gamma: add OR for vos.2 if not applicable</t>
  </si>
  <si>
    <t>FINAL DATA GRADE FOR THIS AUDIT INPUT:</t>
  </si>
  <si>
    <t>&lt;&lt;Needed array formula</t>
  </si>
  <si>
    <t>Volume from Own Sources Error Adjustment (VOSEA) - Data Grading Criteria</t>
  </si>
  <si>
    <t>*need to make all VOS &amp; VOSEA questions disappear if vos.0=No</t>
  </si>
  <si>
    <t>vosea</t>
  </si>
  <si>
    <t>Water Imported (WI) - Data Grading Criteria</t>
  </si>
  <si>
    <t>wi</t>
  </si>
  <si>
    <t>wi.0</t>
  </si>
  <si>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</si>
  <si>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wi.4, wi. 5</t>
  </si>
  <si>
    <t>set as dependent question from wi.2 and wi.4, if both = 'not within last 5 years' Gamma: add OR for wi.2</t>
  </si>
  <si>
    <t>Water Imported Error Adjustment (WIEA) - Data Grading Criteria</t>
  </si>
  <si>
    <t>*need to make all WI &amp; WIEA questions disappear if wi.0=No</t>
  </si>
  <si>
    <t>wiea</t>
  </si>
  <si>
    <t>Water Exported (WE) - Data Grading Criteria</t>
  </si>
  <si>
    <t>we</t>
  </si>
  <si>
    <t>we.0</t>
  </si>
  <si>
    <t>*need to make all WE &amp; WEEA questions disappear if we.0=No</t>
  </si>
  <si>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</si>
  <si>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we2</t>
  </si>
  <si>
    <t>we.4, we. 5</t>
  </si>
  <si>
    <t>set as dependent question from we.2 and we.4, if both = 'not within last 5 years' Gamma: add OR for we.2</t>
  </si>
  <si>
    <t>Water Exported Error Adjustment (WEEA) - Data Grading Criteria</t>
  </si>
  <si>
    <t>weea</t>
  </si>
  <si>
    <t>Billed Metered Authorized Consumption (BMAC) - Data Grading Criteria</t>
  </si>
  <si>
    <t>bmac</t>
  </si>
  <si>
    <t>bmac.0</t>
  </si>
  <si>
    <t>all questions hide if = No</t>
  </si>
  <si>
    <t>Billed Unmetered Authorized Consumption (BUAC) - Data Grading Criteria</t>
  </si>
  <si>
    <t>buac</t>
  </si>
  <si>
    <t>buac.0</t>
  </si>
  <si>
    <t>Unbilled Metered Authorized Consumption (UMAC) - Data Grading Criteria</t>
  </si>
  <si>
    <t>umac</t>
  </si>
  <si>
    <t>umac.0</t>
  </si>
  <si>
    <t>Unbilled Unmetered Authorized Consumption (UUAC) - Data Grading Criteria</t>
  </si>
  <si>
    <t>uuac</t>
  </si>
  <si>
    <t>uuac.0</t>
  </si>
  <si>
    <t>all questions hide if default is employed</t>
  </si>
  <si>
    <t>Systematic Data Handling Error (SDHE) - Data Grading Criteria</t>
  </si>
  <si>
    <t>sdhe</t>
  </si>
  <si>
    <t>sdhe.0</t>
  </si>
  <si>
    <t>*need to make subsequent UUAC questions disappear if uuac.0 = Yes</t>
  </si>
  <si>
    <t>Customer Metering Inaccuracies (CMI) - Data Grading Criteria</t>
  </si>
  <si>
    <t>cmi</t>
  </si>
  <si>
    <t>hide all if = No</t>
  </si>
  <si>
    <t>*innocuous, for practice inventory only</t>
  </si>
  <si>
    <t>Unauthorized Consumption (UC) - Data Grading Criteria</t>
  </si>
  <si>
    <t>uc</t>
  </si>
  <si>
    <t>uc.0</t>
  </si>
  <si>
    <t>Length of Mains (Lm) - Data Grading Criteria</t>
  </si>
  <si>
    <t>Number of Service Connections (Nc) - Data Grading Criteria</t>
  </si>
  <si>
    <t>E Fix</t>
  </si>
  <si>
    <t>Average Length of (Private) Customer Service Line (Lp) - Data Grading Criteria</t>
  </si>
  <si>
    <t>Lp.0</t>
  </si>
  <si>
    <t>hide all if = Yes</t>
  </si>
  <si>
    <t>Average Operating Pressure (AOP) - Data Grading Criteria</t>
  </si>
  <si>
    <t>aop</t>
  </si>
  <si>
    <t>Emergency Fix</t>
  </si>
  <si>
    <t>aop.4</t>
  </si>
  <si>
    <t>If aop.3 = no continuous data, hide aop.4</t>
  </si>
  <si>
    <t>Customer Retail Unit Charge (CRUC) - Data Grading Criteria</t>
  </si>
  <si>
    <t>cruc</t>
  </si>
  <si>
    <t>cruc.0</t>
  </si>
  <si>
    <t>Variable Production Cost (VPC) - Data Grading Criteria</t>
  </si>
  <si>
    <t>vpc</t>
  </si>
  <si>
    <t>*VPC grade set to match CRUC grade if CRUC used as input</t>
  </si>
  <si>
    <t xml:space="preserve"> AWWA Free Water Audit Software:  Dashboard</t>
  </si>
  <si>
    <t>go to worksheet</t>
  </si>
  <si>
    <t>go to grading</t>
  </si>
  <si>
    <t>go to references</t>
  </si>
  <si>
    <t>a check if there's a flag in row 4.  All PIs set to be "" if LEN&gt;0</t>
  </si>
  <si>
    <t>a check if DVS = 100 - triggers gremlin image in DVS speedo - see Sheet 1 (hidden) cells BH110</t>
  </si>
  <si>
    <t>Data Validity</t>
  </si>
  <si>
    <t>Actual KPI result</t>
  </si>
  <si>
    <t>Key Performance Indicators</t>
  </si>
  <si>
    <t>Target (see Worksheet)</t>
  </si>
  <si>
    <t>1 US$ =</t>
  </si>
  <si>
    <t>Local</t>
  </si>
  <si>
    <t>Units</t>
  </si>
  <si>
    <t>Data Validity Score:</t>
  </si>
  <si>
    <t>Data Validity Tier:</t>
  </si>
  <si>
    <t>enter current conversion rate for local currency</t>
  </si>
  <si>
    <r>
      <t>gauge %iles per validated industry ranges</t>
    </r>
    <r>
      <rPr>
        <vertAlign val="superscript"/>
        <sz val="10"/>
        <rFont val="Arial"/>
        <family val="2"/>
      </rPr>
      <t>2</t>
    </r>
  </si>
  <si>
    <t>Tiers</t>
  </si>
  <si>
    <t>Pointer</t>
  </si>
  <si>
    <t>See</t>
  </si>
  <si>
    <t>for Tier Details</t>
  </si>
  <si>
    <t>Value</t>
  </si>
  <si>
    <t>Tier 1</t>
  </si>
  <si>
    <t>Tier II (26-50)</t>
  </si>
  <si>
    <t>Tier III (51-70)</t>
  </si>
  <si>
    <t>Tier 2</t>
  </si>
  <si>
    <t>End</t>
  </si>
  <si>
    <t>Teir 3</t>
  </si>
  <si>
    <t>SHADED CELL VALUES KEYED FROM WARD</t>
  </si>
  <si>
    <t>Tier 4</t>
  </si>
  <si>
    <t>M36 VALIDATED DATASET VALUES</t>
  </si>
  <si>
    <t>Tier IV (71-90)</t>
  </si>
  <si>
    <t>$/conn/year</t>
  </si>
  <si>
    <t>Tier 5</t>
  </si>
  <si>
    <t>2018 PERIOD - CA, GA, QUEBEC</t>
  </si>
  <si>
    <t>Relative</t>
  </si>
  <si>
    <t>True Value</t>
  </si>
  <si>
    <t>MG/Yr</t>
  </si>
  <si>
    <t>Acre-ft/yr</t>
  </si>
  <si>
    <t>ML/Yr</t>
  </si>
  <si>
    <t>Tier I (≤25)</t>
  </si>
  <si>
    <t>Total Loss Cost Rate</t>
  </si>
  <si>
    <t>PI Value</t>
  </si>
  <si>
    <t>Tier V (91-100)</t>
  </si>
  <si>
    <t>Datum</t>
  </si>
  <si>
    <t>10th %ile</t>
  </si>
  <si>
    <t>Pointer location</t>
  </si>
  <si>
    <t>Apparent Loss Cost Rate</t>
  </si>
  <si>
    <t>Real Loss Cost Rate</t>
  </si>
  <si>
    <t>UARL</t>
  </si>
  <si>
    <t>special conversion gal/conn/day</t>
  </si>
  <si>
    <t>25th %ile</t>
  </si>
  <si>
    <t>Pointer width</t>
  </si>
  <si>
    <t>$/CONN/DAY</t>
  </si>
  <si>
    <t>Median</t>
  </si>
  <si>
    <t>NEED CONVERSION FOR US$ to CAN$</t>
  </si>
  <si>
    <t>NRW Components Summary</t>
  </si>
  <si>
    <t>75th %ile</t>
  </si>
  <si>
    <t>90th %ile</t>
  </si>
  <si>
    <t>brown cells set with if/then based on Units</t>
  </si>
  <si>
    <t>&gt;0 if a grading has been missed</t>
  </si>
  <si>
    <t>Unit Total Losses</t>
  </si>
  <si>
    <t>Unit Apparent Losses</t>
  </si>
  <si>
    <r>
      <t>Unit Real Losses</t>
    </r>
    <r>
      <rPr>
        <b/>
        <vertAlign val="superscript"/>
        <sz val="12"/>
        <rFont val="Arial"/>
        <family val="2"/>
      </rPr>
      <t>A</t>
    </r>
  </si>
  <si>
    <t>=0 if no reporting units selected</t>
  </si>
  <si>
    <t>FALSE=VPC;TRUE=CRUC</t>
  </si>
  <si>
    <t>We could add a 3rd option - another box for $ input (at user defined rate)</t>
  </si>
  <si>
    <t>This has been updated (needs testing) and still need to split for dashboard…..</t>
  </si>
  <si>
    <t>Target PI</t>
  </si>
  <si>
    <t>Target Pointer</t>
  </si>
  <si>
    <t>VOL/CONN/DAY</t>
  </si>
  <si>
    <t>NO CONVERSION FOR AF</t>
  </si>
  <si>
    <t>Infrastructure Leakage Index (ILI)</t>
  </si>
  <si>
    <r>
      <t>Unit Real Losses</t>
    </r>
    <r>
      <rPr>
        <b/>
        <vertAlign val="superscript"/>
        <sz val="12"/>
        <rFont val="Arial"/>
        <family val="2"/>
      </rPr>
      <t>B</t>
    </r>
  </si>
  <si>
    <t>NEED CONVERSION FOR ML</t>
  </si>
  <si>
    <t>dimensionless</t>
  </si>
  <si>
    <t>GAL --&gt; LITERS</t>
  </si>
  <si>
    <t>See UARL definition for additional guidance on the ILI</t>
  </si>
  <si>
    <t>x3.78541</t>
  </si>
  <si>
    <t>Real Losses</t>
  </si>
  <si>
    <r>
      <t xml:space="preserve">(UARL) </t>
    </r>
    <r>
      <rPr>
        <sz val="11"/>
        <rFont val="Arial"/>
        <family val="2"/>
      </rPr>
      <t>Unavoidable Annual Real Losses</t>
    </r>
  </si>
  <si>
    <t>Unbilled Unmetered Auth Cons</t>
  </si>
  <si>
    <t>Unbilled Metered Authorized Cons</t>
  </si>
  <si>
    <t>Volume</t>
  </si>
  <si>
    <t>Basis of Valuation</t>
  </si>
  <si>
    <t>$/Yr</t>
  </si>
  <si>
    <t>Unbilled Authorized Cons</t>
  </si>
  <si>
    <t>Non-Revenue Water</t>
  </si>
  <si>
    <t>Unit Real LossesA</t>
  </si>
  <si>
    <t>Infrastrucure Leakage Index</t>
  </si>
  <si>
    <t>RATIO - NO CONVERSION</t>
  </si>
  <si>
    <t>Unit Real LossesB</t>
  </si>
  <si>
    <t>VOL/LM/DAY</t>
  </si>
  <si>
    <t>GAL/MILE --&gt; LITERS/KM</t>
  </si>
  <si>
    <t>x 3.78541 / 1.60934</t>
  </si>
  <si>
    <t>PRESSURE</t>
  </si>
  <si>
    <t>UNIT OF PRESSURE</t>
  </si>
  <si>
    <t>PSI --&gt; METRES</t>
  </si>
  <si>
    <t>x 0.70324961490205</t>
  </si>
  <si>
    <r>
      <t xml:space="preserve"> AWWA Free Water Audit Software:
 </t>
    </r>
    <r>
      <rPr>
        <b/>
        <sz val="14"/>
        <color rgb="FFFFFFFF"/>
        <rFont val="Arial"/>
        <family val="2"/>
      </rPr>
      <t>User Notes</t>
    </r>
  </si>
  <si>
    <t>General Notes:</t>
  </si>
  <si>
    <t>Audit Item</t>
  </si>
  <si>
    <t>Notes on Input Derivation</t>
  </si>
  <si>
    <t>Notes on Data Validity Grading</t>
  </si>
  <si>
    <t>Volume from 
Own Sources
(VOS)</t>
  </si>
  <si>
    <t>Volume from 
Own Sources 
Error Adjustment
(VOSEA)</t>
  </si>
  <si>
    <t>Water Imported
(WI)</t>
  </si>
  <si>
    <t>Water Imported 
Error Adjustment
(WIEA)</t>
  </si>
  <si>
    <t>Water Exported
(WE)</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</si>
  <si>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</si>
  <si>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</si>
  <si>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</si>
  <si>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</si>
  <si>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</si>
  <si>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</si>
  <si>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</si>
  <si>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</si>
  <si>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Length of Mains
(Lm)</t>
  </si>
  <si>
    <t>Number of 
Service 
Connections
(Nc)</t>
  </si>
  <si>
    <t>Average Length of (private) Customer 
Service Line
(Lp)</t>
  </si>
  <si>
    <t>Average 
Operating 
Pressure
(AOP)</t>
  </si>
  <si>
    <t>Customer Retail 
Unit Charge
(CRUC)</t>
  </si>
  <si>
    <t>Variable 
Production Cost
(VPC)</t>
  </si>
  <si>
    <t>$/100 cubic feet (ccf)</t>
  </si>
  <si>
    <t>$/1000 litres</t>
  </si>
  <si>
    <t>Conversion table</t>
  </si>
  <si>
    <t>FROM:                                        TO:</t>
  </si>
  <si>
    <t>Megalitres (thousand cubic metres)</t>
  </si>
  <si>
    <t>Acre-feet</t>
  </si>
  <si>
    <t>gallons / cubic foot</t>
  </si>
  <si>
    <t>converting FROM volume unit TO pricing UNITS</t>
  </si>
  <si>
    <t>sq feet / acre</t>
  </si>
  <si>
    <t>litres / gallon</t>
  </si>
  <si>
    <t>gallons / litre</t>
  </si>
  <si>
    <t>losses</t>
  </si>
  <si>
    <t>million gallons (US)</t>
  </si>
  <si>
    <t>cost</t>
  </si>
  <si>
    <t>cost =</t>
  </si>
  <si>
    <t>Multiply By…</t>
  </si>
  <si>
    <t>million</t>
  </si>
  <si>
    <t>From</t>
  </si>
  <si>
    <t>To</t>
  </si>
  <si>
    <r>
      <t>m</t>
    </r>
    <r>
      <rPr>
        <vertAlign val="superscript"/>
        <sz val="10"/>
        <rFont val="Arial"/>
        <family val="2"/>
      </rPr>
      <t>3</t>
    </r>
  </si>
  <si>
    <t>Million Gallons (US)</t>
  </si>
  <si>
    <t>=</t>
  </si>
  <si>
    <t>customer cost</t>
  </si>
  <si>
    <t>1.5 BGD</t>
  </si>
  <si>
    <t>thousand cubic metres</t>
  </si>
  <si>
    <t>acre-feet</t>
  </si>
  <si>
    <t>marginal production</t>
  </si>
  <si>
    <t>&gt;1 = higher customer cost</t>
  </si>
  <si>
    <t>&lt;1 = lower customer cost</t>
  </si>
  <si>
    <t>=IF(ISERROR(1/G60),"",(((G24+G25+G40)*G62)+(G37*G61)*INDEX(Sheet1!B2:D4,MATCH(Instructions!G24,Sheet1!A2:A4,0),MATCH('Reporting Worksheet'!I61:J61,Sheet1!B1:D1,0)))/G60)</t>
  </si>
  <si>
    <t>(reallosses * real loss cost per unit) + (apparent losses * apparent loss cost per unit * unit conversion factor)</t>
  </si>
  <si>
    <t>=IF(ISBLANK(Instructions!$G$26),"",IF(Instructions!$G$26="Megalitres (thousand cubic metres)",IF(AND(G55&gt;25,G50*20+G51&gt;3000),(((18*G50)+(0.8*G51)+(25*(G51*G53/1000)))*G55/1000000)*365,"Not valid"),IF(AND(G55&gt;40,G50*32+G51&gt;3000),(((5.41*G50)+(0.15*G51)+(7.5*(G51*G53/5280)))*G55)/1000000*365,"Not Valid")))</t>
  </si>
  <si>
    <t>IF(AND(G55&gt;40,G50*32+G51&gt;3000),(((5.41*G50)+(0.15*G51)+(7.5*(G51*G53/5280)))*G55)/1000000,"Not Valid")))</t>
  </si>
  <si>
    <t>Logic:</t>
  </si>
  <si>
    <t>If volume unit is blank show nothing</t>
  </si>
  <si>
    <t>If instructions is tcm Then</t>
  </si>
  <si>
    <t xml:space="preserve">     If pressure &gt; 25 AND length of mains * 20 + # connections &gt; 3000 Then</t>
  </si>
  <si>
    <t xml:space="preserve">          (((18 * length of mains) + (0.8 * # connections) + (25 * (# service connections * avg len of pipe / 1000))) * pressure)   /1000</t>
  </si>
  <si>
    <t xml:space="preserve">     Otherwise not valid</t>
  </si>
  <si>
    <t>If instructions is gallons Then</t>
  </si>
  <si>
    <t xml:space="preserve">     If pressure &gt; 40 AND length of mains * 32 + # connections &gt; 3000 Then</t>
  </si>
  <si>
    <t xml:space="preserve">        (((5.41 * length of mains) + (0.15 * # connections) + (7.5 * (# service connections * avg len of pipe / 5280))) * pressure)   /1000000</t>
  </si>
  <si>
    <t>If instructions is acre-feet Then</t>
  </si>
  <si>
    <t>Data for plotting the Cost/Volume Bar Chart on the Dashboard</t>
  </si>
  <si>
    <t xml:space="preserve">          Cost $</t>
  </si>
  <si>
    <t>Cost $</t>
  </si>
  <si>
    <t>Vol. from own sources:</t>
  </si>
  <si>
    <t>WJ 9/22/2020:  I removed the OFFSET formula in col E that was referencing the (old) Dashboard. Remnant of v5.  So as not to mess with chart source data, I reset col E to simply = col D.</t>
  </si>
  <si>
    <t>Water imported:</t>
  </si>
  <si>
    <t>Water exported:</t>
  </si>
  <si>
    <t>Billed metered (BMAC):</t>
  </si>
  <si>
    <t>Billed unmetered (BUAC):</t>
  </si>
  <si>
    <t>Authorized Consumption</t>
  </si>
  <si>
    <t>-----------</t>
  </si>
  <si>
    <t>Water Losses</t>
  </si>
  <si>
    <t>Unauthorized Consumption (UC) valued at CRUC</t>
  </si>
  <si>
    <t>Customer Metering Inaccuracies (CMI) valued at CRUC</t>
  </si>
  <si>
    <t>Customer Metering Inaccuracies (CMI) valued at VPC</t>
  </si>
  <si>
    <t>2/6/2021 - had to add this line so CMI costs can be split by BMAC x CMI x CRUC (line above) and UMAC x CMI x VPC - this line</t>
  </si>
  <si>
    <t>Systematic Data Handling Errors (SDHE) valued at CRUC</t>
  </si>
  <si>
    <t>CMI for charting</t>
  </si>
  <si>
    <t>Max DVS Flag</t>
  </si>
  <si>
    <t>Ok</t>
  </si>
  <si>
    <t>Hello, I am a blank sheet, at your service.</t>
  </si>
  <si>
    <t>AWWA Free Water Audit Software</t>
  </si>
  <si>
    <r>
      <t xml:space="preserve">Water Exported (WE)
</t>
    </r>
    <r>
      <rPr>
        <b/>
        <sz val="9"/>
        <color theme="3"/>
        <rFont val="Arial"/>
        <family val="2"/>
      </rPr>
      <t>(corrected for known errors)</t>
    </r>
  </si>
  <si>
    <t>Billed Water Exported</t>
  </si>
  <si>
    <r>
      <t xml:space="preserve">Revenue Water </t>
    </r>
    <r>
      <rPr>
        <b/>
        <sz val="9"/>
        <color theme="3"/>
        <rFont val="Arial"/>
        <family val="2"/>
      </rPr>
      <t>(Exported)</t>
    </r>
  </si>
  <si>
    <t>Billed Authorized Consumption</t>
  </si>
  <si>
    <t>Billed Metered Consumption (BMAC)
(water exported is removed)</t>
  </si>
  <si>
    <t>Revenue Water</t>
  </si>
  <si>
    <t>Volume from Own Sources (VOS)</t>
  </si>
  <si>
    <t>Billed Unmetered Consumption (BUAC)</t>
  </si>
  <si>
    <t>(corrected for known errors)</t>
  </si>
  <si>
    <t>Unbilled Authorized Consumption</t>
  </si>
  <si>
    <t>Unbilled Metered Consumption (UMAC)</t>
  </si>
  <si>
    <t>Non-Revenue Water (NRW)</t>
  </si>
  <si>
    <t>Unbilled Unmetered Consumption (UUAC)</t>
  </si>
  <si>
    <t>System Input Volume</t>
  </si>
  <si>
    <t>Water Supplied</t>
  </si>
  <si>
    <t>Systematic Data Handling Errors (SDHE)</t>
  </si>
  <si>
    <t>Customer Metering Inaccuracies (CMI)</t>
  </si>
  <si>
    <t>Unauthorized Consumption (UC)</t>
  </si>
  <si>
    <r>
      <t xml:space="preserve">Water Imported (WI)
</t>
    </r>
    <r>
      <rPr>
        <b/>
        <sz val="9"/>
        <color theme="3"/>
        <rFont val="Arial"/>
        <family val="2"/>
      </rPr>
      <t>(corrected for known errors)</t>
    </r>
  </si>
  <si>
    <t>Leakage on Transmission and/or Distribution Mains</t>
  </si>
  <si>
    <t>Not broken down</t>
  </si>
  <si>
    <t>Leakage and Overflows at Utility's Storage Tanks</t>
  </si>
  <si>
    <t>Leakage on Service Connections</t>
  </si>
  <si>
    <r>
      <t xml:space="preserve"> AWWA Free Water Audit Software:
</t>
    </r>
    <r>
      <rPr>
        <b/>
        <sz val="14"/>
        <color rgb="FFFFFFFF"/>
        <rFont val="Arial"/>
        <family val="2"/>
      </rPr>
      <t xml:space="preserve"> Determining Water Loss Standing</t>
    </r>
  </si>
  <si>
    <t>Water Loss Control Planning Guide</t>
  </si>
  <si>
    <t>Water Audit Data Validity Tier (Score Range)</t>
  </si>
  <si>
    <t>Functional Focus Area</t>
  </si>
  <si>
    <t>Tier I (1-25)</t>
  </si>
  <si>
    <t>Audit Data Collection</t>
  </si>
  <si>
    <t>Launch auditing and loss control team; address supply metering deficiencies</t>
  </si>
  <si>
    <t>Analyze business process for customer metering and billing functions and water supply operations; Identify data gaps; improve supply metering</t>
  </si>
  <si>
    <t>Establish/revise policies and procedures for data collection</t>
  </si>
  <si>
    <t>Refine data collection practices and establish as routine business process</t>
  </si>
  <si>
    <t>Annual water audit is a reliable gauge of year-to-year water efficiency standing</t>
  </si>
  <si>
    <t>Short-term loss control</t>
  </si>
  <si>
    <t>Research information on leak detection programs; Begin flowcharting analysis of customer billing system</t>
  </si>
  <si>
    <t>Conduct loss assessment investigations on a sample portion of the system: customer meter testing, leak survey, unauthorized consumption, etc</t>
  </si>
  <si>
    <t>Establish ongoing mechanisms for customer meter accuracy testing, active leakage control and infrastructure monitoring</t>
  </si>
  <si>
    <t>Refine, enhance or expand ongoing programs based upon economic justification</t>
  </si>
  <si>
    <t>Stay abreast of improvements in metering, meter reading, billing, leakage management and infrastructure rehabilitation</t>
  </si>
  <si>
    <t>Long-term loss control</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</si>
  <si>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</si>
  <si>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</si>
  <si>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detailed planning, budgeting and launch of comprehensive improvements for metering, billing or infrastructure management</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</si>
  <si>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</si>
  <si>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</si>
  <si>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</si>
  <si>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</si>
  <si>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</si>
  <si>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</si>
  <si>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</si>
  <si>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</si>
  <si>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</si>
  <si>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For validity scores of 50 or below, the shaded blocks should not be focus areas until better data validity is achieved.</t>
  </si>
  <si>
    <t>Term</t>
  </si>
  <si>
    <t>Definition</t>
  </si>
  <si>
    <t>active leakage control</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</si>
  <si>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</si>
  <si>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agricultural water consumption</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</si>
  <si>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</si>
  <si>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apparent losses</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</si>
  <si>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</si>
  <si>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</si>
  <si>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</si>
  <si>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</si>
  <si>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</si>
  <si>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average operating pressure</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</si>
  <si>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</si>
  <si>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 xml:space="preserve">average zone point (AZP) </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</si>
  <si>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</si>
  <si>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awareness, location, and repair (ALR)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</si>
  <si>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</si>
  <si>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background losses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</si>
  <si>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</si>
  <si>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billed authorized consumption</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</si>
  <si>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</si>
  <si>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</si>
  <si>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</si>
  <si>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</si>
  <si>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</si>
  <si>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bottom-up water audit approach</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</si>
  <si>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</si>
  <si>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Score</t>
  </si>
  <si>
    <t>Grade</t>
  </si>
  <si>
    <t>Weight</t>
  </si>
  <si>
    <t>adjWeight</t>
  </si>
  <si>
    <t>adjFactor</t>
  </si>
  <si>
    <t>Grade*Weight</t>
  </si>
  <si>
    <t>droppedPts</t>
  </si>
  <si>
    <t>uniqueRank</t>
  </si>
  <si>
    <t>Needs grade</t>
  </si>
  <si>
    <t>Has grade</t>
  </si>
  <si>
    <t>Grade Problem</t>
  </si>
  <si>
    <t>VOS Error Adjustment (VOSEA)</t>
  </si>
  <si>
    <t>Water Imported (WI)</t>
  </si>
  <si>
    <t>WI Error Adjustment (WIEA)</t>
  </si>
  <si>
    <t>Water Exported (WE)</t>
  </si>
  <si>
    <t>WE Error Adjustment (WEEA)</t>
  </si>
  <si>
    <t>Billed Metered (BMAC)</t>
  </si>
  <si>
    <t>Billed Unmetered (BUAC)</t>
  </si>
  <si>
    <t>Unbilled Metered (UMAC)</t>
  </si>
  <si>
    <t>D</t>
  </si>
  <si>
    <t>Unbilled Unmetered (UUAC)</t>
  </si>
  <si>
    <t>Length of Mains (Lm)</t>
  </si>
  <si>
    <t>Number of Service Connections (Nc)</t>
  </si>
  <si>
    <t>Average Length of Customer Service Line (Lp)</t>
  </si>
  <si>
    <t>Average Operating Pressure (AOP)</t>
  </si>
  <si>
    <t>Customer Retail Unit Charge (CRUC)</t>
  </si>
  <si>
    <t>Variable Production Cost (VPC)</t>
  </si>
  <si>
    <t>Total Pts for Water Supplied (top 6 items):</t>
  </si>
  <si>
    <t>default(s) being used</t>
  </si>
  <si>
    <t>WJJ:  not sure if this is vital, but it needs to be updated to look at SDHE as well</t>
  </si>
  <si>
    <t xml:space="preserve"> AWWA Free Water Audit Software:
 Definitions</t>
  </si>
  <si>
    <t>Item Name</t>
  </si>
  <si>
    <t>Description</t>
  </si>
  <si>
    <t>Apparent 
Losses</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</si>
  <si>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</si>
  <si>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</si>
  <si>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Average Length of (private) Customer Service Line 
(Lp)</t>
  </si>
  <si>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</si>
  <si>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
Average Operating Pressure
(AOP)</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</si>
  <si>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</si>
  <si>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t>All consumption that is billed and authorized by the utility. This may include both metered and unmetered consumption. See "Authorized Consumption" for more information.</t>
  </si>
  <si>
    <t xml:space="preserve">
Billed Metered Authorized Consumption
(BMAC)</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</si>
  <si>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</si>
  <si>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t xml:space="preserve">
Billed Unmetered  Authorized Consumption
(BUAC)</t>
  </si>
  <si>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</si>
  <si>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Customer Metering Inaccuracies 
(CMI)</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</si>
  <si>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</si>
  <si>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Customer Retail Unit Charge
(CRUC)</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</si>
  <si>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</si>
  <si>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</si>
  <si>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</si>
  <si>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</si>
  <si>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Number of Service Connections
(Nc)</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</si>
  <si>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</si>
  <si>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</si>
  <si>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</si>
  <si>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Service Connection Density</t>
  </si>
  <si>
    <t>=number of customer service connections / length of mains</t>
  </si>
  <si>
    <t>Systematic Data Handling Errors
(SDHE)</t>
  </si>
  <si>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</si>
  <si>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</si>
  <si>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</si>
  <si>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Unauthorized Consumption
(UC)</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</si>
  <si>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</si>
  <si>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Unavoidable Annual Real Losses (UARL)</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</si>
  <si>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</si>
  <si>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</si>
  <si>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t>Unbilled Metered Authorized Consumption (UMAC)</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</si>
  <si>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</si>
  <si>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Unbilled Unmetered  Authorized Consumption (UUAC)</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</si>
  <si>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</si>
  <si>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Units and Conversions</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</si>
  <si>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</si>
  <si>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Enter Units:</t>
  </si>
  <si>
    <t>Convert From…</t>
  </si>
  <si>
    <t>Converts to…..</t>
  </si>
  <si>
    <t>Variable Production Cost
(VPC)
(applied to Real Losses)</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</si>
  <si>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</si>
  <si>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Volume from Own Sources
(VOS)</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</si>
  <si>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</si>
  <si>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
Volume from own sources: error adjustment</t>
  </si>
  <si>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</si>
  <si>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</si>
  <si>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Water Exported: Error Adjustment
(WEEA)</t>
  </si>
  <si>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</si>
  <si>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t xml:space="preserve">
Water Imported
(WI)</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</si>
  <si>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</si>
  <si>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t xml:space="preserve">
Water Imported: Error Adjustment
(WIEA)</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</si>
  <si>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</si>
  <si>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t xml:space="preserve">
Water Supplied Error Adjustments
</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</si>
  <si>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</si>
  <si>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 xml:space="preserve">
WATER LOSSES</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</si>
  <si>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</si>
  <si>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 xml:space="preserve"> AWWA Free Water Audit Software:
 Customer Service Line Diagrams</t>
  </si>
  <si>
    <r>
      <t xml:space="preserve"> AWWA Free Water Audit Software:
</t>
    </r>
    <r>
      <rPr>
        <b/>
        <sz val="14"/>
        <color rgb="FFFFFFFF"/>
        <rFont val="Arial"/>
        <family val="2"/>
      </rPr>
      <t xml:space="preserve"> Acknowledgements</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</si>
  <si>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</si>
  <si>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</si>
  <si>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DEVELOPED BY:</t>
  </si>
  <si>
    <t>Will Jernigan, PE</t>
  </si>
  <si>
    <t>Software Chair</t>
  </si>
  <si>
    <t>Cavanaugh</t>
  </si>
  <si>
    <t>David Sayers</t>
  </si>
  <si>
    <t>Black &amp; Veatch</t>
  </si>
  <si>
    <t>Kate Gasner</t>
  </si>
  <si>
    <t>Water Systems Optimization</t>
  </si>
  <si>
    <t>George Kunkel, PE</t>
  </si>
  <si>
    <t>Kunkel Water Efficiency Consulting</t>
  </si>
  <si>
    <t>Andrew Chastain-Howley, PG, MCSM</t>
  </si>
  <si>
    <t xml:space="preserve">A special thanks to those members of the AWWA Water Loss Control Committee and other water industry stakeholders who assisted in the review and testing of this software.  </t>
  </si>
  <si>
    <t>REFERENCES:</t>
  </si>
  <si>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</si>
  <si>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</si>
  <si>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</si>
  <si>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</si>
  <si>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</si>
  <si>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</si>
  <si>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</si>
  <si>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</si>
  <si>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</si>
  <si>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 xml:space="preserve">8. Service Connection Diagrams courtesy of Ronnie McKenzie, WRP Pty Ltd. </t>
  </si>
  <si>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</si>
  <si>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VERSION HISTORY:</t>
  </si>
  <si>
    <t>Version:</t>
  </si>
  <si>
    <t>Release
 Date:</t>
  </si>
  <si>
    <t>Number of Worksheets:</t>
  </si>
  <si>
    <t>Key Features and Developments</t>
  </si>
  <si>
    <t>v1</t>
  </si>
  <si>
    <t>2005/
2006</t>
  </si>
  <si>
    <t>The AWWA Water Audit Software was piloted in 2005 (v1.0 beta).  The early versions (1.x) of the software restricted data entry to units of Million Gallons per year.  For each entry into the audit, users identified whether the input was measured or estimated.</t>
  </si>
  <si>
    <t>v2</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</si>
  <si>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</si>
  <si>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v3</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</si>
  <si>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</si>
  <si>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v4 - v4.2</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</si>
  <si>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</si>
  <si>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v5</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</si>
  <si>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</si>
  <si>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v6</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</si>
  <si>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</si>
  <si>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t>If you have questions or comments regarding the software please contact us via email 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</si>
</sst>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1">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color rgb="FF00B0F0"/>
      <name val="Arial"/>
      <family val="2"/>
    </font>
    <font>
      <b/>
      <sz val="10"/>
      <color rgb="FF000000"/>
      <name val="Arial"/>
      <family val="2"/>
    </font>
    <font>
      <strike/>
      <sz val="10"/>
      <name val="Arial"/>
      <family val="2"/>
    </font>
    <font>
      <b/>
      <i/>
      <sz val="10"/>
      <name val="Arial"/>
      <family val="2"/>
    </font>
    <font>
      <sz val="10"/>
      <name val="Sans-serif"/>
    </font>
    <font>
      <sz val="10"/>
      <color rgb="FFFF0000"/>
      <name val="Sans-serif"/>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2">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5" fillId="0" borderId="0"/>
    <xf numFmtId="0" fontId="63" fillId="0" borderId="0"/>
    <xf numFmtId="43" fontId="63" fillId="0" borderId="0" applyFont="0" applyFill="0" applyBorder="0" applyAlignment="0" applyProtection="0"/>
    <xf numFmtId="9" fontId="85"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3" fillId="0" borderId="0"/>
    <xf numFmtId="9" fontId="2" fillId="0" borderId="0" applyFont="0" applyFill="0" applyBorder="0" applyAlignment="0" applyProtection="0"/>
    <xf numFmtId="0" fontId="1" fillId="0" borderId="0"/>
  </cellStyleXfs>
  <cellXfs count="1225">
    <xf numFmtId="0" fontId="0" fillId="0" borderId="0" xfId="0"/>
    <xf numFmtId="0" fontId="6" fillId="0" borderId="0" xfId="0" applyFont="1"/>
    <xf numFmtId="0" fontId="6" fillId="2" borderId="0" xfId="0" applyFont="1" applyFill="1"/>
    <xf numFmtId="0" fontId="10" fillId="0" borderId="0" xfId="0" applyFont="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17" fillId="0" borderId="8"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8"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0" fontId="35" fillId="9" borderId="0" xfId="0" applyFont="1" applyFill="1"/>
    <xf numFmtId="1" fontId="35" fillId="9" borderId="0" xfId="0" applyNumberFormat="1" applyFont="1" applyFill="1"/>
    <xf numFmtId="0" fontId="35" fillId="0" borderId="0" xfId="0" applyFont="1"/>
    <xf numFmtId="0" fontId="17" fillId="0" borderId="0" xfId="0" applyFont="1"/>
    <xf numFmtId="0" fontId="35" fillId="0" borderId="0" xfId="0" applyFont="1" applyAlignment="1">
      <alignment vertical="center"/>
    </xf>
    <xf numFmtId="0" fontId="35" fillId="0" borderId="0" xfId="0" applyFont="1" applyAlignment="1">
      <alignment horizontal="center"/>
    </xf>
    <xf numFmtId="0" fontId="40" fillId="0" borderId="0" xfId="0" applyFont="1"/>
    <xf numFmtId="0" fontId="40" fillId="9" borderId="0" xfId="0" applyFont="1" applyFill="1"/>
    <xf numFmtId="0" fontId="40" fillId="9" borderId="0" xfId="0" applyFont="1" applyFill="1" applyAlignment="1">
      <alignment horizontal="right"/>
    </xf>
    <xf numFmtId="1" fontId="40" fillId="9" borderId="0" xfId="0" applyNumberFormat="1" applyFont="1" applyFill="1"/>
    <xf numFmtId="0" fontId="40" fillId="11" borderId="0" xfId="0" applyFont="1" applyFill="1"/>
    <xf numFmtId="0" fontId="36" fillId="0" borderId="0" xfId="0" applyFont="1" applyAlignment="1">
      <alignment horizontal="center"/>
    </xf>
    <xf numFmtId="43" fontId="2" fillId="0" borderId="0" xfId="0" applyNumberFormat="1" applyFont="1" applyAlignment="1">
      <alignment horizontal="center"/>
    </xf>
    <xf numFmtId="1" fontId="0" fillId="0" borderId="14" xfId="0" applyNumberFormat="1" applyBorder="1" applyAlignment="1">
      <alignment horizontal="center"/>
    </xf>
    <xf numFmtId="43" fontId="2" fillId="0" borderId="14" xfId="0" applyNumberFormat="1" applyFont="1" applyBorder="1" applyAlignment="1">
      <alignment horizontal="center"/>
    </xf>
    <xf numFmtId="170" fontId="0" fillId="0" borderId="14" xfId="0" applyNumberFormat="1" applyBorder="1" applyAlignment="1">
      <alignment horizontal="center"/>
    </xf>
    <xf numFmtId="0" fontId="0" fillId="0" borderId="14"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8" xfId="0" applyNumberFormat="1" applyFont="1" applyBorder="1"/>
    <xf numFmtId="0" fontId="0" fillId="10" borderId="0" xfId="0" applyFill="1"/>
    <xf numFmtId="0" fontId="58" fillId="0" borderId="0" xfId="0" applyFont="1"/>
    <xf numFmtId="0" fontId="59" fillId="15" borderId="0" xfId="0" applyFont="1" applyFill="1" applyAlignment="1">
      <alignment horizontal="center"/>
    </xf>
    <xf numFmtId="0" fontId="12" fillId="0" borderId="0" xfId="0" applyFont="1" applyAlignment="1">
      <alignment horizontal="center" vertical="center"/>
    </xf>
    <xf numFmtId="1" fontId="17" fillId="7" borderId="8" xfId="0" applyNumberFormat="1" applyFont="1" applyFill="1" applyBorder="1" applyAlignment="1">
      <alignment horizontal="center"/>
    </xf>
    <xf numFmtId="0" fontId="17" fillId="0" borderId="0" xfId="0" applyFont="1" applyAlignment="1">
      <alignment horizontal="left"/>
    </xf>
    <xf numFmtId="0" fontId="35" fillId="16" borderId="0" xfId="0" applyFont="1" applyFill="1" applyAlignment="1">
      <alignment vertical="center"/>
    </xf>
    <xf numFmtId="0" fontId="35" fillId="16" borderId="0" xfId="0" applyFont="1" applyFill="1" applyAlignment="1">
      <alignment horizontal="center"/>
    </xf>
    <xf numFmtId="0" fontId="35" fillId="16" borderId="0" xfId="0" applyFont="1" applyFill="1"/>
    <xf numFmtId="1" fontId="35" fillId="16" borderId="0" xfId="0" applyNumberFormat="1" applyFont="1" applyFill="1"/>
    <xf numFmtId="43" fontId="58" fillId="0" borderId="0" xfId="0" applyNumberFormat="1" applyFont="1" applyProtection="1">
      <protection locked="0"/>
    </xf>
    <xf numFmtId="0" fontId="44" fillId="3" borderId="0" xfId="0" applyFont="1" applyFill="1"/>
    <xf numFmtId="0" fontId="44" fillId="0" borderId="0" xfId="0" applyFont="1"/>
    <xf numFmtId="0" fontId="12" fillId="0" borderId="0" xfId="0" applyFont="1" applyAlignment="1">
      <alignment vertical="center"/>
    </xf>
    <xf numFmtId="0" fontId="17" fillId="0" borderId="0" xfId="0" applyFont="1" applyAlignment="1">
      <alignment wrapText="1"/>
    </xf>
    <xf numFmtId="0" fontId="40" fillId="16" borderId="0" xfId="0" applyFont="1" applyFill="1"/>
    <xf numFmtId="1" fontId="40" fillId="16" borderId="0" xfId="0" applyNumberFormat="1" applyFont="1" applyFill="1"/>
    <xf numFmtId="0" fontId="6" fillId="16" borderId="0" xfId="0" applyFont="1" applyFill="1"/>
    <xf numFmtId="0" fontId="7" fillId="16" borderId="0" xfId="0" applyFont="1" applyFill="1"/>
    <xf numFmtId="0" fontId="44" fillId="16" borderId="0" xfId="0" applyFont="1" applyFill="1"/>
    <xf numFmtId="0" fontId="17" fillId="16" borderId="0" xfId="0" applyFont="1" applyFill="1" applyAlignment="1">
      <alignment wrapText="1"/>
    </xf>
    <xf numFmtId="0" fontId="44"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0" fillId="0" borderId="0" xfId="0" applyNumberFormat="1"/>
    <xf numFmtId="170" fontId="0" fillId="10" borderId="0" xfId="0" applyNumberFormat="1" applyFill="1"/>
    <xf numFmtId="0" fontId="0" fillId="0" borderId="0" xfId="0" quotePrefix="1"/>
    <xf numFmtId="5" fontId="0" fillId="0" borderId="0" xfId="0" applyNumberFormat="1" applyProtection="1">
      <protection hidden="1"/>
    </xf>
    <xf numFmtId="0" fontId="2" fillId="0" borderId="13" xfId="0" applyFont="1" applyBorder="1" applyAlignment="1">
      <alignment horizontal="center" vertical="center"/>
    </xf>
    <xf numFmtId="0" fontId="2" fillId="0" borderId="44" xfId="0" applyFont="1" applyBorder="1" applyAlignment="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1" xfId="0" applyFont="1" applyBorder="1"/>
    <xf numFmtId="0" fontId="17" fillId="11" borderId="25" xfId="0" applyFont="1" applyFill="1" applyBorder="1"/>
    <xf numFmtId="0" fontId="17" fillId="11" borderId="27" xfId="0" applyFont="1" applyFill="1" applyBorder="1"/>
    <xf numFmtId="43" fontId="58" fillId="0" borderId="28" xfId="0" applyNumberFormat="1" applyFont="1" applyBorder="1" applyProtection="1">
      <protection locked="0"/>
    </xf>
    <xf numFmtId="0" fontId="58" fillId="0" borderId="28" xfId="0" applyFont="1" applyBorder="1" applyProtection="1">
      <protection locked="0"/>
    </xf>
    <xf numFmtId="43" fontId="58" fillId="0" borderId="25" xfId="0" applyNumberFormat="1" applyFont="1" applyBorder="1" applyProtection="1">
      <protection locked="0"/>
    </xf>
    <xf numFmtId="0" fontId="2" fillId="0" borderId="29" xfId="0" applyFont="1" applyBorder="1" applyProtection="1">
      <protection locked="0"/>
    </xf>
    <xf numFmtId="0" fontId="2" fillId="0" borderId="0" xfId="0" applyFont="1"/>
    <xf numFmtId="0" fontId="17" fillId="0" borderId="0" xfId="7" applyFont="1"/>
    <xf numFmtId="0" fontId="24" fillId="0" borderId="0" xfId="7" applyFont="1"/>
    <xf numFmtId="0" fontId="63" fillId="0" borderId="0" xfId="7"/>
    <xf numFmtId="0" fontId="24"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58" fillId="0" borderId="0" xfId="7" applyFont="1"/>
    <xf numFmtId="0" fontId="58"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4" fillId="0" borderId="0" xfId="7" applyFont="1"/>
    <xf numFmtId="0" fontId="17" fillId="0" borderId="0" xfId="7" applyFont="1" applyAlignment="1">
      <alignment horizontal="left" wrapText="1"/>
    </xf>
    <xf numFmtId="0" fontId="0" fillId="0" borderId="0" xfId="0" applyAlignment="1">
      <alignment wrapText="1"/>
    </xf>
    <xf numFmtId="0" fontId="64"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5" fillId="0" borderId="0" xfId="0" applyFont="1"/>
    <xf numFmtId="0" fontId="66" fillId="0" borderId="0" xfId="0" applyFont="1"/>
    <xf numFmtId="0" fontId="2" fillId="17" borderId="0" xfId="0" applyFont="1" applyFill="1" applyAlignment="1">
      <alignment horizontal="left" vertical="center" wrapText="1"/>
    </xf>
    <xf numFmtId="0" fontId="67" fillId="0" borderId="0" xfId="0" applyFont="1"/>
    <xf numFmtId="0" fontId="68"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24"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0" fillId="0" borderId="0" xfId="0" applyFont="1"/>
    <xf numFmtId="0" fontId="71" fillId="17" borderId="0" xfId="0" applyFont="1" applyFill="1" applyAlignment="1">
      <alignment horizontal="left" vertical="center" wrapText="1"/>
    </xf>
    <xf numFmtId="0" fontId="72" fillId="0" borderId="0" xfId="0" applyFont="1"/>
    <xf numFmtId="0" fontId="58" fillId="0" borderId="0" xfId="0" applyFont="1" applyAlignment="1">
      <alignment wrapText="1"/>
    </xf>
    <xf numFmtId="0" fontId="74" fillId="16" borderId="0" xfId="0" applyFont="1" applyFill="1" applyAlignment="1">
      <alignment horizontal="center"/>
    </xf>
    <xf numFmtId="0" fontId="75" fillId="16" borderId="0" xfId="0" applyFont="1" applyFill="1" applyAlignment="1">
      <alignment horizontal="center"/>
    </xf>
    <xf numFmtId="0" fontId="75" fillId="9" borderId="0" xfId="0" applyFont="1" applyFill="1" applyAlignment="1">
      <alignment horizontal="center"/>
    </xf>
    <xf numFmtId="0" fontId="74" fillId="0" borderId="0" xfId="0" applyFont="1" applyAlignment="1">
      <alignment horizontal="center"/>
    </xf>
    <xf numFmtId="0" fontId="0" fillId="2" borderId="0" xfId="0" applyFill="1" applyAlignment="1">
      <alignment wrapText="1"/>
    </xf>
    <xf numFmtId="0" fontId="61" fillId="0" borderId="0" xfId="6" applyFont="1"/>
    <xf numFmtId="0" fontId="61"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2"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0" fillId="16" borderId="0" xfId="0" applyFont="1" applyFill="1" applyAlignment="1">
      <alignment horizontal="right"/>
    </xf>
    <xf numFmtId="0" fontId="40" fillId="0" borderId="0" xfId="0" applyFont="1" applyAlignment="1">
      <alignment horizontal="left"/>
    </xf>
    <xf numFmtId="0" fontId="40" fillId="0" borderId="0" xfId="0" quotePrefix="1" applyFont="1"/>
    <xf numFmtId="0" fontId="41" fillId="0" borderId="0" xfId="0" applyFont="1"/>
    <xf numFmtId="167" fontId="40" fillId="0" borderId="0" xfId="0" applyNumberFormat="1" applyFont="1"/>
    <xf numFmtId="166" fontId="40" fillId="0" borderId="0" xfId="0" applyNumberFormat="1" applyFont="1"/>
    <xf numFmtId="43" fontId="40" fillId="0" borderId="0" xfId="1" applyFont="1" applyFill="1" applyProtection="1"/>
    <xf numFmtId="1" fontId="40" fillId="0" borderId="0" xfId="0" applyNumberFormat="1" applyFont="1"/>
    <xf numFmtId="0" fontId="40" fillId="0" borderId="0" xfId="0" applyFont="1" applyAlignment="1">
      <alignment horizontal="right"/>
    </xf>
    <xf numFmtId="2" fontId="40" fillId="0" borderId="0" xfId="0" applyNumberFormat="1" applyFont="1"/>
    <xf numFmtId="170" fontId="40" fillId="0" borderId="0" xfId="0" applyNumberFormat="1" applyFont="1"/>
    <xf numFmtId="0" fontId="0" fillId="0" borderId="23" xfId="0" applyBorder="1"/>
    <xf numFmtId="0" fontId="0" fillId="0" borderId="28" xfId="0" applyBorder="1"/>
    <xf numFmtId="0" fontId="64" fillId="0" borderId="0" xfId="0" applyFont="1"/>
    <xf numFmtId="0" fontId="12" fillId="0" borderId="0" xfId="0" applyFont="1" applyAlignment="1">
      <alignment horizontal="center"/>
    </xf>
    <xf numFmtId="175" fontId="40" fillId="0" borderId="0" xfId="1" applyNumberFormat="1" applyFont="1" applyFill="1" applyProtection="1"/>
    <xf numFmtId="0" fontId="2" fillId="3" borderId="0" xfId="0" applyFont="1" applyFill="1"/>
    <xf numFmtId="0" fontId="40" fillId="16" borderId="0" xfId="0" applyFont="1" applyFill="1" applyAlignment="1">
      <alignment vertical="center"/>
    </xf>
    <xf numFmtId="0" fontId="40" fillId="0" borderId="0" xfId="0" applyFont="1" applyAlignment="1">
      <alignment vertical="center"/>
    </xf>
    <xf numFmtId="0" fontId="41" fillId="0" borderId="0" xfId="0" applyFont="1" applyAlignment="1">
      <alignment vertical="center"/>
    </xf>
    <xf numFmtId="1" fontId="40" fillId="18" borderId="0" xfId="0" applyNumberFormat="1" applyFont="1" applyFill="1" applyAlignment="1">
      <alignment horizontal="left"/>
    </xf>
    <xf numFmtId="0" fontId="52" fillId="0" borderId="0" xfId="0" applyFont="1"/>
    <xf numFmtId="0" fontId="26" fillId="0" borderId="0" xfId="0" applyFont="1"/>
    <xf numFmtId="0" fontId="11" fillId="0" borderId="0" xfId="0" applyFont="1"/>
    <xf numFmtId="0" fontId="3" fillId="0" borderId="0" xfId="4" applyFill="1" applyBorder="1" applyAlignment="1" applyProtection="1">
      <alignment vertical="center"/>
    </xf>
    <xf numFmtId="0" fontId="27" fillId="0" borderId="0" xfId="0" applyFont="1"/>
    <xf numFmtId="1" fontId="17" fillId="0" borderId="0" xfId="0" applyNumberFormat="1" applyFont="1"/>
    <xf numFmtId="0" fontId="74" fillId="0" borderId="80" xfId="0" applyFont="1" applyBorder="1" applyAlignment="1">
      <alignment horizontal="center"/>
    </xf>
    <xf numFmtId="0" fontId="57" fillId="0" borderId="0" xfId="0" applyFont="1" applyAlignment="1">
      <alignment horizontal="right"/>
    </xf>
    <xf numFmtId="0" fontId="28" fillId="0" borderId="0" xfId="0" applyFont="1" applyAlignment="1">
      <alignment horizontal="right"/>
    </xf>
    <xf numFmtId="0" fontId="74" fillId="0" borderId="79" xfId="0" applyFont="1" applyBorder="1" applyAlignment="1">
      <alignment horizontal="center" vertical="center" textRotation="90"/>
    </xf>
    <xf numFmtId="0" fontId="17" fillId="0" borderId="14" xfId="0" applyFont="1" applyBorder="1"/>
    <xf numFmtId="1" fontId="17" fillId="0" borderId="14" xfId="0" applyNumberFormat="1" applyFont="1" applyBorder="1"/>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7" xfId="0" applyNumberFormat="1" applyFont="1" applyBorder="1" applyAlignment="1">
      <alignment horizontal="center" vertical="center"/>
    </xf>
    <xf numFmtId="1" fontId="29" fillId="0" borderId="0" xfId="0" applyNumberFormat="1" applyFont="1" applyAlignment="1">
      <alignment horizontal="left"/>
    </xf>
    <xf numFmtId="1" fontId="29" fillId="0" borderId="0" xfId="0" applyNumberFormat="1" applyFont="1"/>
    <xf numFmtId="0" fontId="82" fillId="0" borderId="0" xfId="0" applyFont="1" applyAlignment="1">
      <alignment vertical="center"/>
    </xf>
    <xf numFmtId="2" fontId="26" fillId="0" borderId="0" xfId="0" applyNumberFormat="1" applyFont="1" applyAlignment="1">
      <alignment horizontal="center"/>
    </xf>
    <xf numFmtId="1" fontId="30"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3" fillId="0" borderId="0" xfId="0" applyNumberFormat="1" applyFont="1" applyAlignment="1">
      <alignment vertical="center" wrapText="1"/>
    </xf>
    <xf numFmtId="0" fontId="82" fillId="0" borderId="0" xfId="0" applyFont="1"/>
    <xf numFmtId="1" fontId="30"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1" fillId="0" borderId="0" xfId="0" applyFont="1" applyAlignment="1" applyProtection="1">
      <alignment horizontal="left"/>
      <protection hidden="1"/>
    </xf>
    <xf numFmtId="0" fontId="81" fillId="0" borderId="0" xfId="0" quotePrefix="1" applyFont="1" applyAlignment="1" applyProtection="1">
      <alignment horizontal="left"/>
      <protection hidden="1"/>
    </xf>
    <xf numFmtId="2" fontId="17" fillId="0" borderId="0" xfId="0" applyNumberFormat="1" applyFont="1"/>
    <xf numFmtId="1" fontId="30"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1" fillId="0" borderId="0" xfId="0" applyFont="1" applyProtection="1">
      <protection hidden="1"/>
    </xf>
    <xf numFmtId="0" fontId="13" fillId="0" borderId="0" xfId="0" applyFont="1" applyAlignment="1">
      <alignment vertical="center" wrapText="1"/>
    </xf>
    <xf numFmtId="4" fontId="17" fillId="0" borderId="0" xfId="0" applyNumberFormat="1" applyFont="1"/>
    <xf numFmtId="1" fontId="33" fillId="0" borderId="0" xfId="0" applyNumberFormat="1" applyFont="1"/>
    <xf numFmtId="2" fontId="17" fillId="0" borderId="0" xfId="0" applyNumberFormat="1" applyFont="1" applyAlignment="1">
      <alignment horizontal="left"/>
    </xf>
    <xf numFmtId="0" fontId="34" fillId="0" borderId="0" xfId="0" applyFont="1" applyAlignment="1">
      <alignment vertical="center"/>
    </xf>
    <xf numFmtId="0" fontId="34" fillId="0" borderId="0" xfId="0" applyFont="1" applyAlignment="1">
      <alignment horizontal="right" vertical="center"/>
    </xf>
    <xf numFmtId="1" fontId="34" fillId="0" borderId="0" xfId="0" applyNumberFormat="1" applyFont="1" applyAlignment="1">
      <alignment horizontal="right" vertical="center"/>
    </xf>
    <xf numFmtId="0" fontId="35" fillId="0" borderId="0" xfId="0" quotePrefix="1" applyFont="1" applyAlignment="1">
      <alignment vertical="center"/>
    </xf>
    <xf numFmtId="0" fontId="75" fillId="0" borderId="80" xfId="0" applyFont="1" applyBorder="1" applyAlignment="1">
      <alignment horizontal="center" vertical="center"/>
    </xf>
    <xf numFmtId="1" fontId="43" fillId="0" borderId="0" xfId="0" applyNumberFormat="1" applyFont="1" applyAlignment="1">
      <alignment horizontal="center" vertical="center"/>
    </xf>
    <xf numFmtId="0" fontId="75" fillId="0" borderId="80" xfId="0" applyFont="1" applyBorder="1" applyAlignment="1">
      <alignment horizontal="center"/>
    </xf>
    <xf numFmtId="0" fontId="35" fillId="0" borderId="0" xfId="0" applyFont="1" applyAlignment="1">
      <alignment horizontal="center" vertical="center"/>
    </xf>
    <xf numFmtId="0" fontId="34" fillId="0" borderId="0" xfId="0" applyFont="1" applyAlignment="1">
      <alignment horizontal="center" vertical="center"/>
    </xf>
    <xf numFmtId="1" fontId="34" fillId="0" borderId="0" xfId="0" applyNumberFormat="1" applyFont="1" applyAlignment="1">
      <alignment horizontal="center" vertical="center"/>
    </xf>
    <xf numFmtId="0" fontId="35" fillId="0" borderId="0" xfId="0" quotePrefix="1" applyFont="1" applyAlignment="1">
      <alignment horizontal="center"/>
    </xf>
    <xf numFmtId="0" fontId="35" fillId="0" borderId="0" xfId="0" applyFont="1" applyAlignment="1">
      <alignment horizontal="left" vertical="top" wrapText="1"/>
    </xf>
    <xf numFmtId="0" fontId="35" fillId="0" borderId="0" xfId="0" applyFont="1" applyAlignment="1">
      <alignment vertical="center" wrapText="1"/>
    </xf>
    <xf numFmtId="0" fontId="34" fillId="0" borderId="0" xfId="0" applyFont="1"/>
    <xf numFmtId="1" fontId="34" fillId="0" borderId="0" xfId="0" applyNumberFormat="1" applyFont="1"/>
    <xf numFmtId="2" fontId="37" fillId="0" borderId="82" xfId="4" applyNumberFormat="1" applyFont="1" applyFill="1" applyBorder="1" applyAlignment="1" applyProtection="1">
      <alignment horizontal="left"/>
    </xf>
    <xf numFmtId="0" fontId="34" fillId="0" borderId="82" xfId="0" applyFont="1" applyBorder="1"/>
    <xf numFmtId="1" fontId="34" fillId="0" borderId="82" xfId="0" applyNumberFormat="1" applyFont="1" applyBorder="1"/>
    <xf numFmtId="0" fontId="35" fillId="0" borderId="82" xfId="0" applyFont="1" applyBorder="1"/>
    <xf numFmtId="0" fontId="75" fillId="0" borderId="83" xfId="0" applyFont="1" applyBorder="1" applyAlignment="1">
      <alignment horizontal="center"/>
    </xf>
    <xf numFmtId="168" fontId="2" fillId="21" borderId="77" xfId="0" applyNumberFormat="1" applyFont="1" applyFill="1" applyBorder="1" applyProtection="1">
      <protection locked="0"/>
    </xf>
    <xf numFmtId="0" fontId="2" fillId="0" borderId="0" xfId="0" applyFont="1" applyAlignment="1">
      <alignment horizontal="left" indent="2"/>
    </xf>
    <xf numFmtId="165" fontId="2" fillId="9" borderId="77" xfId="0" applyNumberFormat="1" applyFont="1" applyFill="1" applyBorder="1" applyProtection="1">
      <protection locked="0"/>
    </xf>
    <xf numFmtId="165" fontId="2" fillId="9" borderId="77" xfId="0" applyNumberFormat="1" applyFont="1" applyFill="1" applyBorder="1" applyAlignment="1" applyProtection="1">
      <alignment horizontal="right"/>
      <protection locked="0"/>
    </xf>
    <xf numFmtId="0" fontId="76" fillId="0" borderId="0" xfId="6" applyFont="1" applyAlignment="1">
      <alignment vertical="center"/>
    </xf>
    <xf numFmtId="0" fontId="77" fillId="0" borderId="0" xfId="6" applyFont="1" applyAlignment="1">
      <alignment horizontal="right"/>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7" xfId="0" applyNumberFormat="1" applyFont="1" applyFill="1" applyBorder="1" applyAlignment="1">
      <alignment horizontal="left" vertical="center"/>
    </xf>
    <xf numFmtId="168" fontId="13" fillId="19" borderId="107" xfId="0" applyNumberFormat="1" applyFont="1" applyFill="1" applyBorder="1" applyAlignment="1">
      <alignment vertical="center"/>
    </xf>
    <xf numFmtId="0" fontId="13" fillId="9" borderId="129" xfId="7" applyFont="1" applyFill="1" applyBorder="1" applyAlignment="1" applyProtection="1">
      <alignment horizontal="left" vertical="center" wrapText="1"/>
      <protection locked="0"/>
    </xf>
    <xf numFmtId="0" fontId="40" fillId="0" borderId="79" xfId="0" applyFont="1" applyBorder="1"/>
    <xf numFmtId="0" fontId="40" fillId="0" borderId="80" xfId="0" applyFont="1" applyBorder="1"/>
    <xf numFmtId="0" fontId="40" fillId="0" borderId="81" xfId="0" applyFont="1" applyBorder="1"/>
    <xf numFmtId="0" fontId="40" fillId="0" borderId="82" xfId="0" applyFont="1" applyBorder="1"/>
    <xf numFmtId="0" fontId="40" fillId="0" borderId="83" xfId="0" applyFont="1" applyBorder="1"/>
    <xf numFmtId="0" fontId="40" fillId="0" borderId="80" xfId="0" applyFont="1" applyBorder="1" applyAlignment="1">
      <alignment vertical="top"/>
    </xf>
    <xf numFmtId="0" fontId="40" fillId="0" borderId="79" xfId="0" applyFont="1" applyBorder="1" applyAlignment="1">
      <alignment vertical="center"/>
    </xf>
    <xf numFmtId="0" fontId="40" fillId="0" borderId="80" xfId="0" applyFont="1" applyBorder="1" applyAlignment="1">
      <alignment vertical="center"/>
    </xf>
    <xf numFmtId="0" fontId="0" fillId="0" borderId="42" xfId="0" applyBorder="1" applyAlignment="1" applyProtection="1">
      <alignment vertical="center" wrapText="1"/>
      <protection locked="0"/>
    </xf>
    <xf numFmtId="0" fontId="56" fillId="0" borderId="0" xfId="0" applyFont="1" applyAlignment="1">
      <alignment horizontal="right"/>
    </xf>
    <xf numFmtId="0" fontId="57" fillId="0" borderId="101" xfId="0" applyFont="1" applyBorder="1" applyAlignment="1">
      <alignment horizontal="center" vertical="center" wrapText="1"/>
    </xf>
    <xf numFmtId="0" fontId="57" fillId="0" borderId="104" xfId="0" applyFont="1" applyBorder="1" applyAlignment="1">
      <alignment horizontal="center" vertical="center" wrapText="1"/>
    </xf>
    <xf numFmtId="168" fontId="46" fillId="0" borderId="40" xfId="0" quotePrefix="1" applyNumberFormat="1" applyFont="1" applyBorder="1" applyAlignment="1">
      <alignment horizontal="center" vertical="center"/>
    </xf>
    <xf numFmtId="168" fontId="17" fillId="0" borderId="105" xfId="0" applyNumberFormat="1" applyFont="1" applyBorder="1" applyAlignment="1">
      <alignment horizontal="center" vertical="center"/>
    </xf>
    <xf numFmtId="0" fontId="47" fillId="0" borderId="87" xfId="4" quotePrefix="1" applyFont="1" applyFill="1" applyBorder="1" applyAlignment="1" applyProtection="1">
      <alignment horizontal="center" vertical="center" wrapText="1" shrinkToFit="1"/>
    </xf>
    <xf numFmtId="0" fontId="47" fillId="0" borderId="2" xfId="4" quotePrefix="1" applyFont="1" applyFill="1" applyBorder="1" applyAlignment="1" applyProtection="1">
      <alignment horizontal="center" vertical="center" wrapText="1" shrinkToFit="1"/>
    </xf>
    <xf numFmtId="0" fontId="47" fillId="0" borderId="6" xfId="4" quotePrefix="1" applyFont="1" applyFill="1" applyBorder="1" applyAlignment="1" applyProtection="1">
      <alignment horizontal="center" vertical="center" wrapText="1" shrinkToFit="1"/>
    </xf>
    <xf numFmtId="0" fontId="26" fillId="0" borderId="0" xfId="0" quotePrefix="1" applyFont="1"/>
    <xf numFmtId="0" fontId="57" fillId="0" borderId="0" xfId="0" applyFont="1" applyAlignment="1">
      <alignment horizontal="center" wrapText="1"/>
    </xf>
    <xf numFmtId="0" fontId="57" fillId="0" borderId="88"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6" fillId="0" borderId="0" xfId="0" applyNumberFormat="1" applyFont="1" applyAlignment="1">
      <alignment wrapText="1"/>
    </xf>
    <xf numFmtId="0" fontId="57" fillId="0" borderId="2" xfId="4" applyFont="1" applyFill="1" applyBorder="1" applyAlignment="1" applyProtection="1">
      <alignment horizontal="center" vertical="center" wrapText="1" shrinkToFit="1"/>
    </xf>
    <xf numFmtId="0" fontId="57" fillId="0" borderId="0" xfId="0" applyFont="1" applyAlignment="1">
      <alignment horizontal="center" vertical="center" wrapText="1"/>
    </xf>
    <xf numFmtId="168" fontId="46" fillId="0" borderId="6" xfId="0" applyNumberFormat="1" applyFont="1" applyBorder="1" applyAlignment="1">
      <alignment horizontal="center" vertical="center"/>
    </xf>
    <xf numFmtId="168" fontId="17" fillId="0" borderId="88" xfId="0" applyNumberFormat="1" applyFont="1" applyBorder="1" applyAlignment="1">
      <alignment horizontal="center" vertical="center" wrapText="1" shrinkToFit="1"/>
    </xf>
    <xf numFmtId="0" fontId="57" fillId="0" borderId="2" xfId="4" applyFont="1" applyFill="1" applyBorder="1" applyAlignment="1" applyProtection="1">
      <alignment horizontal="center" vertical="center" wrapText="1"/>
    </xf>
    <xf numFmtId="2" fontId="48" fillId="0" borderId="0" xfId="0" quotePrefix="1" applyNumberFormat="1" applyFont="1"/>
    <xf numFmtId="0" fontId="26" fillId="0" borderId="7" xfId="0" applyFont="1" applyBorder="1"/>
    <xf numFmtId="168" fontId="46" fillId="0" borderId="7" xfId="0" applyNumberFormat="1" applyFont="1" applyBorder="1" applyAlignment="1">
      <alignment wrapText="1"/>
    </xf>
    <xf numFmtId="168" fontId="46" fillId="0" borderId="0" xfId="0" quotePrefix="1" applyNumberFormat="1" applyFont="1" applyAlignment="1">
      <alignment horizontal="center"/>
    </xf>
    <xf numFmtId="0" fontId="3" fillId="0" borderId="87" xfId="4" applyFill="1" applyBorder="1" applyAlignment="1" applyProtection="1">
      <alignment horizontal="center" vertical="center" wrapText="1" shrinkToFit="1"/>
    </xf>
    <xf numFmtId="168" fontId="49" fillId="0" borderId="7" xfId="0" applyNumberFormat="1" applyFont="1" applyBorder="1" applyAlignment="1">
      <alignment wrapText="1"/>
    </xf>
    <xf numFmtId="168" fontId="46" fillId="0" borderId="87" xfId="1" quotePrefix="1" applyNumberFormat="1" applyFont="1" applyFill="1" applyBorder="1" applyAlignment="1" applyProtection="1">
      <alignment horizontal="center"/>
    </xf>
    <xf numFmtId="168" fontId="46" fillId="0" borderId="2" xfId="1" quotePrefix="1" applyNumberFormat="1" applyFont="1" applyFill="1" applyBorder="1" applyAlignment="1" applyProtection="1">
      <alignment horizontal="center"/>
    </xf>
    <xf numFmtId="2" fontId="48" fillId="0" borderId="6" xfId="0" quotePrefix="1" applyNumberFormat="1" applyFont="1" applyBorder="1" applyAlignment="1">
      <alignment horizontal="center"/>
    </xf>
    <xf numFmtId="168" fontId="49" fillId="0" borderId="6" xfId="0" applyNumberFormat="1" applyFont="1" applyBorder="1" applyAlignment="1">
      <alignment horizontal="center" vertical="center"/>
    </xf>
    <xf numFmtId="0" fontId="26" fillId="0" borderId="14" xfId="0" applyFont="1" applyBorder="1"/>
    <xf numFmtId="168" fontId="49" fillId="0" borderId="0" xfId="0" applyNumberFormat="1" applyFont="1" applyAlignment="1">
      <alignment wrapText="1"/>
    </xf>
    <xf numFmtId="168" fontId="19" fillId="0" borderId="88" xfId="0" applyNumberFormat="1" applyFont="1" applyBorder="1" applyAlignment="1">
      <alignment horizontal="center" vertical="center" wrapText="1" shrinkToFit="1"/>
    </xf>
    <xf numFmtId="168" fontId="46" fillId="0" borderId="0" xfId="0" quotePrefix="1" applyNumberFormat="1" applyFont="1" applyAlignment="1">
      <alignment horizontal="center" vertical="center"/>
    </xf>
    <xf numFmtId="0" fontId="57" fillId="0" borderId="6" xfId="0" applyFont="1" applyBorder="1" applyAlignment="1">
      <alignment horizontal="center" vertical="center"/>
    </xf>
    <xf numFmtId="0" fontId="26" fillId="0" borderId="87" xfId="4" applyFont="1" applyFill="1" applyBorder="1" applyAlignment="1" applyProtection="1">
      <alignment horizontal="center" vertical="center" wrapText="1" shrinkToFit="1"/>
    </xf>
    <xf numFmtId="0" fontId="26" fillId="0" borderId="6" xfId="4" applyFont="1" applyFill="1" applyBorder="1" applyAlignment="1" applyProtection="1">
      <alignment horizontal="center" vertical="center" wrapText="1" shrinkToFit="1"/>
    </xf>
    <xf numFmtId="0" fontId="26" fillId="0" borderId="6" xfId="0" applyFont="1" applyBorder="1"/>
    <xf numFmtId="168" fontId="49" fillId="0" borderId="7" xfId="4" applyNumberFormat="1" applyFont="1" applyFill="1" applyBorder="1" applyAlignment="1" applyProtection="1">
      <alignment horizontal="right" vertical="center" wrapText="1" shrinkToFit="1"/>
    </xf>
    <xf numFmtId="0" fontId="57" fillId="0" borderId="0" xfId="0" applyFont="1" applyAlignment="1">
      <alignment horizontal="center" vertical="center"/>
    </xf>
    <xf numFmtId="168" fontId="49" fillId="0" borderId="0" xfId="0" applyNumberFormat="1" applyFont="1" applyAlignment="1">
      <alignment horizontal="center" vertical="center"/>
    </xf>
    <xf numFmtId="0" fontId="49" fillId="0" borderId="0" xfId="0" applyFont="1" applyAlignment="1">
      <alignment wrapText="1"/>
    </xf>
    <xf numFmtId="0" fontId="49" fillId="0" borderId="7" xfId="0" applyFont="1" applyBorder="1" applyAlignment="1">
      <alignment wrapText="1"/>
    </xf>
    <xf numFmtId="0" fontId="3" fillId="0" borderId="90" xfId="4" applyFill="1" applyBorder="1" applyAlignment="1" applyProtection="1">
      <alignment horizontal="center" vertical="center" wrapText="1" shrinkToFit="1"/>
    </xf>
    <xf numFmtId="0" fontId="3" fillId="0" borderId="100" xfId="4" applyFill="1" applyBorder="1" applyAlignment="1" applyProtection="1">
      <alignment horizontal="center" vertical="center" wrapText="1" shrinkToFit="1"/>
    </xf>
    <xf numFmtId="0" fontId="3" fillId="0" borderId="91" xfId="4" applyFill="1" applyBorder="1" applyAlignment="1" applyProtection="1">
      <alignment horizontal="center" vertical="center" wrapText="1" shrinkToFit="1"/>
    </xf>
    <xf numFmtId="0" fontId="26" fillId="0" borderId="92" xfId="0" applyFont="1" applyBorder="1"/>
    <xf numFmtId="0" fontId="26" fillId="0" borderId="91" xfId="0" applyFont="1" applyBorder="1"/>
    <xf numFmtId="0" fontId="49" fillId="0" borderId="91" xfId="0" applyFont="1" applyBorder="1" applyAlignment="1">
      <alignment wrapText="1"/>
    </xf>
    <xf numFmtId="0" fontId="10" fillId="0" borderId="18" xfId="0" applyFont="1" applyBorder="1"/>
    <xf numFmtId="0" fontId="14" fillId="0" borderId="15" xfId="0" applyFont="1" applyBorder="1"/>
    <xf numFmtId="0" fontId="41" fillId="0" borderId="125" xfId="0" applyFont="1" applyBorder="1" applyAlignment="1" applyProtection="1">
      <alignment horizontal="center" vertical="center"/>
      <protection hidden="1"/>
    </xf>
    <xf numFmtId="0" fontId="0" fillId="0" borderId="9" xfId="0" applyBorder="1" applyAlignment="1">
      <alignment horizontal="center"/>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6" fillId="0" borderId="18" xfId="0" applyFont="1" applyBorder="1"/>
    <xf numFmtId="0" fontId="6" fillId="0" borderId="15" xfId="0" applyFont="1" applyBorder="1"/>
    <xf numFmtId="0" fontId="62" fillId="0" borderId="0" xfId="0" applyFont="1"/>
    <xf numFmtId="0" fontId="10" fillId="0" borderId="19" xfId="0" applyFont="1" applyBorder="1"/>
    <xf numFmtId="0" fontId="6" fillId="0" borderId="16" xfId="0" applyFont="1" applyBorder="1"/>
    <xf numFmtId="0" fontId="14" fillId="0" borderId="17" xfId="0" applyFont="1" applyBorder="1"/>
    <xf numFmtId="0" fontId="44" fillId="0" borderId="18" xfId="0" applyFont="1" applyBorder="1"/>
    <xf numFmtId="0" fontId="42" fillId="0" borderId="30" xfId="0" applyFont="1" applyBorder="1" applyAlignment="1">
      <alignment horizontal="center" wrapText="1"/>
    </xf>
    <xf numFmtId="0" fontId="23" fillId="0" borderId="0" xfId="0" applyFont="1" applyAlignment="1">
      <alignment horizontal="left" vertical="center" wrapText="1"/>
    </xf>
    <xf numFmtId="0" fontId="17" fillId="0" borderId="30"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0" xfId="0" applyFont="1" applyBorder="1" applyAlignment="1">
      <alignment horizontal="center" vertical="top" wrapText="1"/>
    </xf>
    <xf numFmtId="0" fontId="44" fillId="0" borderId="18"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7" fillId="0" borderId="0" xfId="0" applyFont="1" applyAlignment="1">
      <alignment horizontal="left" wrapText="1"/>
    </xf>
    <xf numFmtId="0" fontId="44" fillId="0" borderId="19" xfId="0" applyFont="1" applyBorder="1"/>
    <xf numFmtId="0" fontId="17" fillId="0" borderId="16" xfId="0" applyFont="1" applyBorder="1" applyAlignment="1">
      <alignment wrapText="1"/>
    </xf>
    <xf numFmtId="0" fontId="8" fillId="0" borderId="18" xfId="0" applyFont="1" applyBorder="1"/>
    <xf numFmtId="0" fontId="8" fillId="0" borderId="0" xfId="0" applyFont="1"/>
    <xf numFmtId="0" fontId="16" fillId="0" borderId="0" xfId="0" applyFont="1"/>
    <xf numFmtId="0" fontId="7" fillId="0" borderId="15" xfId="0" applyFont="1" applyBorder="1"/>
    <xf numFmtId="0" fontId="8" fillId="0" borderId="19" xfId="0" applyFont="1" applyBorder="1"/>
    <xf numFmtId="0" fontId="8" fillId="0" borderId="16" xfId="0" applyFont="1" applyBorder="1"/>
    <xf numFmtId="0" fontId="7" fillId="0" borderId="16" xfId="0" applyFont="1" applyBorder="1"/>
    <xf numFmtId="0" fontId="16" fillId="0" borderId="16" xfId="0" applyFont="1" applyBorder="1"/>
    <xf numFmtId="0" fontId="7" fillId="0" borderId="17" xfId="0" applyFont="1" applyBorder="1"/>
    <xf numFmtId="0" fontId="6" fillId="0" borderId="0" xfId="0" applyFont="1" applyAlignment="1">
      <alignment horizontal="left"/>
    </xf>
    <xf numFmtId="0" fontId="27" fillId="0" borderId="0" xfId="0" applyFont="1" applyAlignment="1">
      <alignment horizontal="left" wrapText="1"/>
    </xf>
    <xf numFmtId="0" fontId="51" fillId="0" borderId="25" xfId="0" applyFont="1" applyBorder="1"/>
    <xf numFmtId="0" fontId="54" fillId="0" borderId="23" xfId="0" applyFont="1" applyBorder="1"/>
    <xf numFmtId="17" fontId="52" fillId="0" borderId="24" xfId="0" applyNumberFormat="1" applyFont="1" applyBorder="1"/>
    <xf numFmtId="0" fontId="42" fillId="0" borderId="37" xfId="0" applyFont="1" applyBorder="1" applyAlignment="1">
      <alignment horizontal="center" vertical="center"/>
    </xf>
    <xf numFmtId="0" fontId="42" fillId="0" borderId="7" xfId="0" quotePrefix="1" applyFont="1" applyBorder="1" applyAlignment="1">
      <alignment horizontal="center" vertical="center" wrapText="1"/>
    </xf>
    <xf numFmtId="0" fontId="0" fillId="0" borderId="22"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2" fillId="0" borderId="39" xfId="0" applyFont="1" applyBorder="1" applyAlignment="1">
      <alignment horizontal="center" vertical="center"/>
    </xf>
    <xf numFmtId="0" fontId="61" fillId="22" borderId="0" xfId="6" applyFont="1" applyFill="1"/>
    <xf numFmtId="0" fontId="86" fillId="0" borderId="0" xfId="6" applyFont="1"/>
    <xf numFmtId="0" fontId="88" fillId="0" borderId="0" xfId="6" applyFont="1"/>
    <xf numFmtId="0" fontId="40" fillId="22" borderId="0" xfId="0" applyFont="1" applyFill="1"/>
    <xf numFmtId="0" fontId="40" fillId="24" borderId="0" xfId="0" applyFont="1" applyFill="1"/>
    <xf numFmtId="0" fontId="90" fillId="22" borderId="94" xfId="0" applyFont="1" applyFill="1" applyBorder="1" applyAlignment="1">
      <alignment horizontal="center" vertical="top" wrapText="1"/>
    </xf>
    <xf numFmtId="0" fontId="90" fillId="22" borderId="0" xfId="0" applyFont="1" applyFill="1" applyAlignment="1">
      <alignment horizontal="center" vertical="top" wrapText="1"/>
    </xf>
    <xf numFmtId="0" fontId="91" fillId="22" borderId="0" xfId="0" applyFont="1" applyFill="1" applyAlignment="1">
      <alignment horizontal="center"/>
    </xf>
    <xf numFmtId="0" fontId="91" fillId="22" borderId="95" xfId="0" applyFont="1" applyFill="1" applyBorder="1" applyAlignment="1">
      <alignment horizontal="center" wrapText="1"/>
    </xf>
    <xf numFmtId="0" fontId="92" fillId="22" borderId="95" xfId="0" applyFont="1" applyFill="1" applyBorder="1" applyAlignment="1">
      <alignment horizontal="left" wrapText="1"/>
    </xf>
    <xf numFmtId="0" fontId="90" fillId="22" borderId="96" xfId="0" applyFont="1" applyFill="1" applyBorder="1" applyAlignment="1">
      <alignment horizontal="center" vertical="top" wrapText="1"/>
    </xf>
    <xf numFmtId="0" fontId="90" fillId="22" borderId="92" xfId="0" applyFont="1" applyFill="1" applyBorder="1" applyAlignment="1">
      <alignment horizontal="center" vertical="top" wrapText="1"/>
    </xf>
    <xf numFmtId="0" fontId="91" fillId="22" borderId="92" xfId="0" applyFont="1" applyFill="1" applyBorder="1" applyAlignment="1">
      <alignment horizontal="center"/>
    </xf>
    <xf numFmtId="0" fontId="91" fillId="22" borderId="97" xfId="0" applyFont="1" applyFill="1" applyBorder="1" applyAlignment="1">
      <alignment horizontal="center" wrapText="1"/>
    </xf>
    <xf numFmtId="0" fontId="93" fillId="22" borderId="0" xfId="0" applyFont="1" applyFill="1" applyAlignment="1">
      <alignment horizontal="center" vertical="top" wrapText="1"/>
    </xf>
    <xf numFmtId="0" fontId="40" fillId="0" borderId="0" xfId="0" applyFont="1" applyProtection="1">
      <protection hidden="1"/>
    </xf>
    <xf numFmtId="0" fontId="2" fillId="0" borderId="23" xfId="0" applyFont="1" applyBorder="1"/>
    <xf numFmtId="0" fontId="2" fillId="0" borderId="24" xfId="0" applyFont="1" applyBorder="1" applyProtection="1">
      <protection locked="0"/>
    </xf>
    <xf numFmtId="0" fontId="2" fillId="0" borderId="0" xfId="0" applyFont="1" applyProtection="1">
      <protection locked="0"/>
    </xf>
    <xf numFmtId="10" fontId="95" fillId="0" borderId="0" xfId="0" applyNumberFormat="1" applyFont="1" applyAlignment="1" applyProtection="1">
      <alignment horizontal="right" shrinkToFit="1"/>
      <protection locked="0"/>
    </xf>
    <xf numFmtId="0" fontId="24" fillId="0" borderId="0" xfId="0" applyFont="1" applyAlignment="1">
      <alignment wrapText="1"/>
    </xf>
    <xf numFmtId="0" fontId="97" fillId="0" borderId="0" xfId="0" applyFont="1" applyAlignment="1">
      <alignment wrapText="1"/>
    </xf>
    <xf numFmtId="0" fontId="96" fillId="0" borderId="0" xfId="0" applyFont="1"/>
    <xf numFmtId="1" fontId="13" fillId="0" borderId="0" xfId="0" applyNumberFormat="1" applyFont="1" applyAlignment="1">
      <alignment horizontal="center" vertical="center"/>
    </xf>
    <xf numFmtId="10" fontId="95"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8" fontId="2" fillId="21" borderId="131" xfId="0" applyNumberFormat="1" applyFont="1" applyFill="1" applyBorder="1" applyProtection="1">
      <protection locked="0"/>
    </xf>
    <xf numFmtId="3" fontId="2" fillId="9" borderId="131" xfId="0" applyNumberFormat="1" applyFont="1" applyFill="1" applyBorder="1" applyProtection="1">
      <protection locked="0"/>
    </xf>
    <xf numFmtId="0" fontId="34" fillId="0" borderId="129"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58" fillId="17" borderId="0" xfId="0" applyFont="1" applyFill="1" applyAlignment="1">
      <alignment wrapText="1"/>
    </xf>
    <xf numFmtId="0" fontId="59" fillId="17" borderId="0" xfId="0" applyFont="1" applyFill="1" applyAlignment="1">
      <alignment wrapText="1"/>
    </xf>
    <xf numFmtId="0" fontId="17" fillId="0" borderId="129" xfId="0" applyFont="1" applyBorder="1" applyAlignment="1">
      <alignment horizontal="right" vertical="center"/>
    </xf>
    <xf numFmtId="0" fontId="17" fillId="0" borderId="129" xfId="0" applyFont="1" applyBorder="1" applyAlignment="1">
      <alignment horizontal="center" vertical="center"/>
    </xf>
    <xf numFmtId="0" fontId="98" fillId="16" borderId="0" xfId="0" applyFont="1" applyFill="1"/>
    <xf numFmtId="0" fontId="99" fillId="0" borderId="0" xfId="0" applyFont="1"/>
    <xf numFmtId="0" fontId="98" fillId="0" borderId="0" xfId="0" applyFont="1" applyAlignment="1">
      <alignment wrapText="1"/>
    </xf>
    <xf numFmtId="0" fontId="98" fillId="0" borderId="0" xfId="0" quotePrefix="1" applyFont="1" applyAlignment="1">
      <alignment vertical="center"/>
    </xf>
    <xf numFmtId="0" fontId="99" fillId="0" borderId="0" xfId="0" applyFont="1" applyAlignment="1">
      <alignment horizontal="left"/>
    </xf>
    <xf numFmtId="0" fontId="98" fillId="0" borderId="0" xfId="0" applyFont="1" applyAlignment="1">
      <alignment horizontal="right"/>
    </xf>
    <xf numFmtId="0" fontId="99" fillId="0" borderId="0" xfId="0" applyFont="1" applyAlignment="1">
      <alignment horizontal="right"/>
    </xf>
    <xf numFmtId="0" fontId="98" fillId="0" borderId="0" xfId="0" applyFont="1"/>
    <xf numFmtId="2" fontId="99" fillId="0" borderId="0" xfId="0" applyNumberFormat="1" applyFont="1" applyAlignment="1">
      <alignment horizontal="right"/>
    </xf>
    <xf numFmtId="2" fontId="99" fillId="0" borderId="0" xfId="0" applyNumberFormat="1" applyFont="1"/>
    <xf numFmtId="0" fontId="98" fillId="0" borderId="14" xfId="0" applyFont="1" applyBorder="1"/>
    <xf numFmtId="0" fontId="99" fillId="0" borderId="14" xfId="0" applyFont="1" applyBorder="1"/>
    <xf numFmtId="0" fontId="101" fillId="0" borderId="0" xfId="0" applyFont="1" applyAlignment="1">
      <alignment horizontal="right" vertical="center"/>
    </xf>
    <xf numFmtId="0" fontId="101" fillId="0" borderId="0" xfId="0" applyFont="1" applyAlignment="1">
      <alignment horizontal="center" vertical="center"/>
    </xf>
    <xf numFmtId="0" fontId="101" fillId="0" borderId="0" xfId="0" applyFont="1"/>
    <xf numFmtId="0" fontId="101" fillId="0" borderId="82" xfId="0" applyFont="1" applyBorder="1"/>
    <xf numFmtId="0" fontId="102" fillId="16" borderId="0" xfId="0" applyFont="1" applyFill="1"/>
    <xf numFmtId="0" fontId="102" fillId="9" borderId="0" xfId="0" applyFont="1" applyFill="1"/>
    <xf numFmtId="10" fontId="95" fillId="0" borderId="0" xfId="0" applyNumberFormat="1" applyFont="1" applyAlignment="1" applyProtection="1">
      <alignment horizontal="center" shrinkToFit="1"/>
      <protection locked="0"/>
    </xf>
    <xf numFmtId="168" fontId="2" fillId="21" borderId="138" xfId="0" applyNumberFormat="1" applyFont="1" applyFill="1" applyBorder="1" applyProtection="1">
      <protection locked="0"/>
    </xf>
    <xf numFmtId="168" fontId="2" fillId="21" borderId="137" xfId="0" applyNumberFormat="1" applyFont="1" applyFill="1" applyBorder="1" applyProtection="1">
      <protection locked="0"/>
    </xf>
    <xf numFmtId="49" fontId="100" fillId="9" borderId="77" xfId="4" applyNumberFormat="1" applyFont="1" applyFill="1" applyBorder="1" applyAlignment="1" applyProtection="1">
      <alignment horizontal="center" vertical="center"/>
    </xf>
    <xf numFmtId="0" fontId="11" fillId="0" borderId="0" xfId="0" quotePrefix="1" applyFont="1" applyAlignment="1">
      <alignment horizontal="center"/>
    </xf>
    <xf numFmtId="0" fontId="100" fillId="0" borderId="0" xfId="0" applyFont="1"/>
    <xf numFmtId="0" fontId="17" fillId="0" borderId="140" xfId="0" applyFont="1" applyBorder="1"/>
    <xf numFmtId="0" fontId="99" fillId="0" borderId="140" xfId="0" applyFont="1" applyBorder="1"/>
    <xf numFmtId="1" fontId="30" fillId="0" borderId="140" xfId="0" applyNumberFormat="1" applyFont="1" applyBorder="1"/>
    <xf numFmtId="0" fontId="17" fillId="0" borderId="140" xfId="0" applyFont="1" applyBorder="1" applyAlignment="1">
      <alignment horizontal="right"/>
    </xf>
    <xf numFmtId="2" fontId="17" fillId="0" borderId="140" xfId="0" applyNumberFormat="1" applyFont="1" applyBorder="1"/>
    <xf numFmtId="2" fontId="99" fillId="0" borderId="140" xfId="0" applyNumberFormat="1" applyFont="1" applyBorder="1"/>
    <xf numFmtId="0" fontId="17" fillId="0" borderId="140" xfId="0" applyFont="1" applyBorder="1" applyAlignment="1">
      <alignment horizontal="left"/>
    </xf>
    <xf numFmtId="0" fontId="99" fillId="0" borderId="140" xfId="0" applyFont="1" applyBorder="1" applyAlignment="1">
      <alignment horizontal="left"/>
    </xf>
    <xf numFmtId="1" fontId="30" fillId="0" borderId="140" xfId="0" applyNumberFormat="1" applyFont="1" applyBorder="1" applyAlignment="1">
      <alignment horizontal="left"/>
    </xf>
    <xf numFmtId="1" fontId="29" fillId="0" borderId="140"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6" fillId="0" borderId="0" xfId="0" applyNumberFormat="1" applyFont="1" applyAlignment="1">
      <alignment horizontal="center" vertical="center"/>
    </xf>
    <xf numFmtId="0" fontId="61"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74" fillId="0" borderId="80" xfId="0" applyFont="1" applyBorder="1" applyAlignment="1">
      <alignment textRotation="90"/>
    </xf>
    <xf numFmtId="0" fontId="11" fillId="0" borderId="80" xfId="0" applyFont="1" applyBorder="1"/>
    <xf numFmtId="0" fontId="74" fillId="16" borderId="0" xfId="0" applyFont="1" applyFill="1" applyAlignment="1">
      <alignment horizontal="center" vertical="center"/>
    </xf>
    <xf numFmtId="0" fontId="74" fillId="0" borderId="79" xfId="0" applyFont="1" applyBorder="1" applyAlignment="1">
      <alignment horizontal="center" vertical="center"/>
    </xf>
    <xf numFmtId="0" fontId="11" fillId="0" borderId="79" xfId="0" applyFont="1" applyBorder="1" applyAlignment="1">
      <alignment horizontal="center" vertical="center"/>
    </xf>
    <xf numFmtId="0" fontId="75" fillId="0" borderId="79" xfId="0" applyFont="1" applyBorder="1" applyAlignment="1">
      <alignment horizontal="center" vertical="center"/>
    </xf>
    <xf numFmtId="0" fontId="75" fillId="0" borderId="81" xfId="0" applyFont="1" applyBorder="1" applyAlignment="1">
      <alignment horizontal="center" vertical="center"/>
    </xf>
    <xf numFmtId="0" fontId="75" fillId="16" borderId="0" xfId="0" applyFont="1" applyFill="1" applyAlignment="1">
      <alignment horizontal="center" vertical="center"/>
    </xf>
    <xf numFmtId="0" fontId="75" fillId="9" borderId="0" xfId="0" applyFont="1" applyFill="1" applyAlignment="1">
      <alignment horizontal="center" vertical="center"/>
    </xf>
    <xf numFmtId="0" fontId="74" fillId="0" borderId="0" xfId="0" applyFont="1" applyAlignment="1">
      <alignment horizontal="center" vertical="center"/>
    </xf>
    <xf numFmtId="0" fontId="87" fillId="0" borderId="0" xfId="6" applyFont="1" applyAlignment="1">
      <alignment vertical="center"/>
    </xf>
    <xf numFmtId="0" fontId="89" fillId="0" borderId="0" xfId="6" applyFont="1" applyAlignment="1">
      <alignment vertical="center"/>
    </xf>
    <xf numFmtId="0" fontId="35" fillId="0" borderId="0" xfId="0" applyFont="1" applyAlignment="1">
      <alignment vertical="top" wrapText="1"/>
    </xf>
    <xf numFmtId="0" fontId="77" fillId="0" borderId="0" xfId="6" applyFont="1" applyAlignment="1">
      <alignment horizontal="right" vertical="center"/>
    </xf>
    <xf numFmtId="0" fontId="104" fillId="0" borderId="0" xfId="6" applyFont="1" applyAlignment="1">
      <alignment vertical="center"/>
    </xf>
    <xf numFmtId="0" fontId="105" fillId="0" borderId="0" xfId="6" applyFont="1" applyAlignment="1">
      <alignment vertical="center"/>
    </xf>
    <xf numFmtId="0" fontId="106" fillId="0" borderId="0" xfId="7" applyFont="1" applyAlignment="1">
      <alignment horizontal="left" vertical="center"/>
    </xf>
    <xf numFmtId="0" fontId="96" fillId="0" borderId="0" xfId="6" applyFont="1" applyAlignment="1">
      <alignment vertical="center"/>
    </xf>
    <xf numFmtId="0" fontId="104" fillId="0" borderId="0" xfId="6" applyFont="1"/>
    <xf numFmtId="49" fontId="100" fillId="9" borderId="77" xfId="4" applyNumberFormat="1" applyFont="1" applyFill="1" applyBorder="1" applyAlignment="1" applyProtection="1">
      <alignment horizontal="center" vertical="top"/>
    </xf>
    <xf numFmtId="0" fontId="107" fillId="0" borderId="0" xfId="0" applyFont="1" applyAlignment="1">
      <alignment horizontal="right" vertical="top"/>
    </xf>
    <xf numFmtId="0" fontId="100" fillId="0" borderId="0" xfId="0" applyFont="1" applyAlignment="1">
      <alignment vertical="top"/>
    </xf>
    <xf numFmtId="168" fontId="95" fillId="0" borderId="0" xfId="0" applyNumberFormat="1" applyFont="1" applyAlignment="1" applyProtection="1">
      <alignment horizontal="center"/>
      <protection locked="0"/>
    </xf>
    <xf numFmtId="168" fontId="2" fillId="21" borderId="77" xfId="0" applyNumberFormat="1" applyFont="1" applyFill="1" applyBorder="1" applyAlignment="1" applyProtection="1">
      <alignment horizontal="center"/>
      <protection locked="0"/>
    </xf>
    <xf numFmtId="2" fontId="2" fillId="0" borderId="0" xfId="0" applyNumberFormat="1" applyFont="1"/>
    <xf numFmtId="0" fontId="2" fillId="0" borderId="80" xfId="0" applyFont="1" applyBorder="1"/>
    <xf numFmtId="0" fontId="2" fillId="0" borderId="0" xfId="0" applyFont="1" applyAlignment="1">
      <alignment vertical="top" wrapText="1"/>
    </xf>
    <xf numFmtId="0" fontId="2" fillId="0" borderId="80"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79" xfId="0" applyFont="1" applyBorder="1" applyAlignment="1">
      <alignment horizontal="center" vertical="center"/>
    </xf>
    <xf numFmtId="0" fontId="2" fillId="0" borderId="79" xfId="0" applyFont="1" applyBorder="1" applyAlignment="1">
      <alignment horizontal="left" vertical="center"/>
    </xf>
    <xf numFmtId="0" fontId="2" fillId="0" borderId="81" xfId="0" applyFont="1" applyBorder="1"/>
    <xf numFmtId="0" fontId="2" fillId="0" borderId="82" xfId="0" applyFont="1" applyBorder="1"/>
    <xf numFmtId="0" fontId="3" fillId="0" borderId="82" xfId="4" applyBorder="1" applyAlignment="1" applyProtection="1"/>
    <xf numFmtId="0" fontId="2" fillId="0" borderId="83" xfId="0" applyFont="1" applyBorder="1"/>
    <xf numFmtId="0" fontId="95" fillId="0" borderId="0" xfId="0" applyFont="1" applyAlignment="1">
      <alignment horizontal="right"/>
    </xf>
    <xf numFmtId="0" fontId="57" fillId="0" borderId="148" xfId="0" applyFont="1" applyBorder="1" applyAlignment="1">
      <alignment horizontal="center" vertical="center" wrapText="1"/>
    </xf>
    <xf numFmtId="0" fontId="83" fillId="0" borderId="80" xfId="0" applyFont="1" applyBorder="1" applyAlignment="1">
      <alignment vertical="center"/>
    </xf>
    <xf numFmtId="1" fontId="112" fillId="0" borderId="0" xfId="0" applyNumberFormat="1" applyFont="1" applyAlignment="1">
      <alignment horizontal="center"/>
    </xf>
    <xf numFmtId="0" fontId="2" fillId="0" borderId="79" xfId="0" applyFont="1" applyBorder="1"/>
    <xf numFmtId="174" fontId="0" fillId="0" borderId="0" xfId="3" applyNumberFormat="1" applyFont="1" applyFill="1"/>
    <xf numFmtId="174" fontId="0" fillId="10" borderId="0" xfId="3" applyNumberFormat="1" applyFont="1" applyFill="1"/>
    <xf numFmtId="49" fontId="96" fillId="15" borderId="0" xfId="4" applyNumberFormat="1" applyFont="1" applyFill="1" applyBorder="1" applyAlignment="1" applyProtection="1">
      <alignment horizontal="center" vertical="top"/>
    </xf>
    <xf numFmtId="168" fontId="2" fillId="9" borderId="77" xfId="0" applyNumberFormat="1" applyFont="1" applyFill="1" applyBorder="1" applyProtection="1">
      <protection locked="0"/>
    </xf>
    <xf numFmtId="0" fontId="95" fillId="0" borderId="0" xfId="0" applyFont="1" applyAlignment="1">
      <alignment horizontal="center"/>
    </xf>
    <xf numFmtId="0" fontId="109" fillId="0" borderId="0" xfId="4" applyFont="1" applyFill="1" applyBorder="1" applyAlignment="1" applyProtection="1">
      <alignment vertical="center"/>
    </xf>
    <xf numFmtId="0" fontId="91" fillId="22" borderId="0" xfId="6" applyFont="1" applyFill="1" applyAlignment="1">
      <alignment vertical="center" wrapText="1"/>
    </xf>
    <xf numFmtId="0" fontId="91" fillId="22" borderId="0" xfId="6" applyFont="1" applyFill="1" applyAlignment="1">
      <alignment vertical="center"/>
    </xf>
    <xf numFmtId="0" fontId="38" fillId="0" borderId="0" xfId="0" applyFont="1" applyAlignment="1">
      <alignment vertical="center"/>
    </xf>
    <xf numFmtId="0" fontId="38" fillId="0" borderId="14" xfId="0" applyFont="1" applyBorder="1" applyAlignment="1">
      <alignment vertical="center"/>
    </xf>
    <xf numFmtId="0" fontId="17" fillId="0" borderId="0" xfId="0" applyFont="1" applyAlignment="1">
      <alignment vertical="center"/>
    </xf>
    <xf numFmtId="0" fontId="23" fillId="0" borderId="0" xfId="0" applyFont="1"/>
    <xf numFmtId="0" fontId="28" fillId="0" borderId="0" xfId="4" applyFont="1" applyFill="1" applyBorder="1" applyAlignment="1" applyProtection="1">
      <alignment vertical="center" wrapText="1"/>
    </xf>
    <xf numFmtId="0" fontId="0" fillId="0" borderId="0" xfId="0"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79" xfId="12" applyBorder="1"/>
    <xf numFmtId="0" fontId="113" fillId="0" borderId="0" xfId="12" applyFont="1" applyAlignment="1">
      <alignment horizontal="right" vertical="center"/>
    </xf>
    <xf numFmtId="0" fontId="24" fillId="0" borderId="0" xfId="12" applyFont="1" applyAlignment="1">
      <alignment horizontal="left" indent="1"/>
    </xf>
    <xf numFmtId="0" fontId="103" fillId="0" borderId="0" xfId="12" applyFont="1" applyAlignment="1">
      <alignment vertical="top" wrapText="1"/>
    </xf>
    <xf numFmtId="0" fontId="103" fillId="0" borderId="0" xfId="12" applyFont="1" applyAlignment="1">
      <alignment horizontal="left"/>
    </xf>
    <xf numFmtId="0" fontId="17" fillId="0" borderId="0" xfId="12" applyFont="1" applyAlignment="1">
      <alignment horizontal="center" vertical="center"/>
    </xf>
    <xf numFmtId="0" fontId="26" fillId="0" borderId="0" xfId="12" applyFont="1" applyAlignment="1">
      <alignment horizontal="left"/>
    </xf>
    <xf numFmtId="0" fontId="103" fillId="0" borderId="0" xfId="15" applyFont="1" applyAlignment="1">
      <alignment wrapText="1"/>
    </xf>
    <xf numFmtId="0" fontId="103" fillId="0" borderId="0" xfId="12" applyFont="1" applyAlignment="1">
      <alignment horizontal="left" vertical="center"/>
    </xf>
    <xf numFmtId="0" fontId="103" fillId="0" borderId="0" xfId="12" applyFont="1" applyAlignment="1">
      <alignment horizontal="right"/>
    </xf>
    <xf numFmtId="0" fontId="1" fillId="21" borderId="99" xfId="12" applyFill="1" applyBorder="1" applyAlignment="1">
      <alignment horizontal="right" vertical="top" indent="1"/>
    </xf>
    <xf numFmtId="0" fontId="1" fillId="21" borderId="106" xfId="12" applyFill="1" applyBorder="1" applyAlignment="1">
      <alignment horizontal="right" vertical="top" indent="1"/>
    </xf>
    <xf numFmtId="0" fontId="1" fillId="21" borderId="107" xfId="12" applyFill="1" applyBorder="1" applyAlignment="1">
      <alignment horizontal="right" vertical="top" indent="1"/>
    </xf>
    <xf numFmtId="0" fontId="109"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03" fillId="0" borderId="0" xfId="12" applyFont="1" applyAlignment="1">
      <alignment horizontal="right" vertical="top"/>
    </xf>
    <xf numFmtId="0" fontId="2" fillId="0" borderId="82" xfId="0" applyFont="1" applyBorder="1" applyAlignment="1">
      <alignment horizontal="right"/>
    </xf>
    <xf numFmtId="168" fontId="2" fillId="21" borderId="137" xfId="0" applyNumberFormat="1" applyFont="1" applyFill="1" applyBorder="1" applyAlignment="1" applyProtection="1">
      <alignment horizontal="center"/>
      <protection locked="0"/>
    </xf>
    <xf numFmtId="0" fontId="108" fillId="0" borderId="0" xfId="0" applyFont="1" applyAlignment="1" applyProtection="1">
      <alignment horizontal="left"/>
      <protection hidden="1"/>
    </xf>
    <xf numFmtId="0" fontId="23" fillId="0" borderId="0" xfId="12" applyFont="1" applyAlignment="1">
      <alignment vertical="center"/>
    </xf>
    <xf numFmtId="0" fontId="114" fillId="16" borderId="0" xfId="0" applyFont="1" applyFill="1"/>
    <xf numFmtId="0" fontId="115" fillId="16" borderId="0" xfId="0" applyFont="1" applyFill="1"/>
    <xf numFmtId="0" fontId="1" fillId="0" borderId="158" xfId="12" applyBorder="1" applyAlignment="1">
      <alignment horizontal="center"/>
    </xf>
    <xf numFmtId="0" fontId="1" fillId="0" borderId="159" xfId="12" applyBorder="1" applyAlignment="1">
      <alignment horizontal="center"/>
    </xf>
    <xf numFmtId="0" fontId="1" fillId="0" borderId="160" xfId="12" applyBorder="1" applyAlignment="1">
      <alignment horizontal="center"/>
    </xf>
    <xf numFmtId="0" fontId="59" fillId="0" borderId="0" xfId="6" applyFont="1" applyAlignment="1">
      <alignment horizontal="center" vertical="center"/>
    </xf>
    <xf numFmtId="0" fontId="40" fillId="26" borderId="0" xfId="0" applyFont="1" applyFill="1"/>
    <xf numFmtId="0" fontId="116" fillId="0" borderId="0" xfId="0" applyFont="1"/>
    <xf numFmtId="0" fontId="116" fillId="0" borderId="0" xfId="0" applyFont="1" applyProtection="1">
      <protection hidden="1"/>
    </xf>
    <xf numFmtId="0" fontId="116" fillId="0" borderId="0" xfId="0" applyFont="1" applyAlignment="1">
      <alignment vertical="center"/>
    </xf>
    <xf numFmtId="0" fontId="116" fillId="0" borderId="0" xfId="0" applyFont="1" applyAlignment="1" applyProtection="1">
      <alignment vertical="center"/>
      <protection hidden="1"/>
    </xf>
    <xf numFmtId="9" fontId="116" fillId="0" borderId="0" xfId="0" applyNumberFormat="1" applyFont="1" applyProtection="1">
      <protection hidden="1"/>
    </xf>
    <xf numFmtId="1" fontId="40" fillId="27" borderId="0" xfId="0" applyNumberFormat="1" applyFont="1" applyFill="1" applyAlignment="1">
      <alignment horizontal="left"/>
    </xf>
    <xf numFmtId="0" fontId="116" fillId="0" borderId="0" xfId="10" applyFont="1" applyProtection="1">
      <protection hidden="1"/>
    </xf>
    <xf numFmtId="0" fontId="116" fillId="0" borderId="0" xfId="10" applyFont="1"/>
    <xf numFmtId="0" fontId="42" fillId="0" borderId="0" xfId="0" applyFont="1" applyAlignment="1">
      <alignment vertical="center"/>
    </xf>
    <xf numFmtId="0" fontId="15" fillId="23" borderId="108" xfId="0" applyFont="1" applyFill="1" applyBorder="1" applyAlignment="1">
      <alignment vertical="center" wrapText="1"/>
    </xf>
    <xf numFmtId="0" fontId="15" fillId="23" borderId="109" xfId="0" applyFont="1" applyFill="1" applyBorder="1" applyAlignment="1">
      <alignment vertical="center" wrapText="1"/>
    </xf>
    <xf numFmtId="0" fontId="15" fillId="23" borderId="79" xfId="0" applyFont="1" applyFill="1" applyBorder="1" applyAlignment="1">
      <alignment vertical="center" wrapText="1"/>
    </xf>
    <xf numFmtId="0" fontId="15" fillId="23" borderId="0" xfId="0" applyFont="1" applyFill="1" applyAlignment="1">
      <alignment vertical="center" wrapText="1"/>
    </xf>
    <xf numFmtId="0" fontId="15" fillId="23" borderId="109" xfId="0" applyFont="1" applyFill="1" applyBorder="1"/>
    <xf numFmtId="0" fontId="117" fillId="22" borderId="0" xfId="0" applyFont="1" applyFill="1" applyAlignment="1">
      <alignment horizontal="right" vertical="center"/>
    </xf>
    <xf numFmtId="0" fontId="118" fillId="22" borderId="0" xfId="0" applyFont="1" applyFill="1" applyAlignment="1">
      <alignment vertical="center" wrapText="1"/>
    </xf>
    <xf numFmtId="0" fontId="119" fillId="22" borderId="0" xfId="0" applyFont="1" applyFill="1" applyAlignment="1">
      <alignment vertical="center"/>
    </xf>
    <xf numFmtId="0" fontId="119" fillId="22" borderId="0" xfId="0" applyFont="1" applyFill="1"/>
    <xf numFmtId="0" fontId="117" fillId="22" borderId="0" xfId="0" applyFont="1" applyFill="1" applyAlignment="1" applyProtection="1">
      <alignment vertical="center"/>
      <protection hidden="1"/>
    </xf>
    <xf numFmtId="0" fontId="52"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0" fillId="0" borderId="0" xfId="0" applyFont="1"/>
    <xf numFmtId="0" fontId="121" fillId="0" borderId="0" xfId="0" applyFont="1"/>
    <xf numFmtId="0" fontId="38" fillId="0" borderId="0" xfId="0" applyFont="1"/>
    <xf numFmtId="0" fontId="52" fillId="0" borderId="0" xfId="0" applyFont="1" applyAlignment="1">
      <alignment horizontal="right" vertical="center"/>
    </xf>
    <xf numFmtId="0" fontId="52" fillId="0" borderId="0" xfId="0" applyFont="1" applyAlignment="1">
      <alignment horizontal="right"/>
    </xf>
    <xf numFmtId="0" fontId="52" fillId="0" borderId="0" xfId="0" applyFont="1" applyAlignment="1">
      <alignment horizontal="center" vertical="center"/>
    </xf>
    <xf numFmtId="0" fontId="53" fillId="0" borderId="0" xfId="0" applyFont="1"/>
    <xf numFmtId="0" fontId="52" fillId="0" borderId="0" xfId="0" applyFont="1" applyAlignment="1">
      <alignment horizontal="center" vertical="center" wrapText="1"/>
    </xf>
    <xf numFmtId="0" fontId="52" fillId="0" borderId="0" xfId="0" applyFont="1" applyAlignment="1">
      <alignment horizontal="left"/>
    </xf>
    <xf numFmtId="1" fontId="52" fillId="0" borderId="0" xfId="0" applyNumberFormat="1" applyFont="1" applyAlignment="1">
      <alignment horizontal="left"/>
    </xf>
    <xf numFmtId="0" fontId="52" fillId="0" borderId="82" xfId="0" applyFont="1" applyBorder="1"/>
    <xf numFmtId="0" fontId="52" fillId="0" borderId="82" xfId="0" applyFont="1" applyBorder="1" applyAlignment="1">
      <alignment horizontal="left"/>
    </xf>
    <xf numFmtId="0" fontId="23" fillId="0" borderId="82" xfId="0" applyFont="1" applyBorder="1" applyAlignment="1">
      <alignment horizontal="right" vertical="center"/>
    </xf>
    <xf numFmtId="1" fontId="23" fillId="0" borderId="82" xfId="0" applyNumberFormat="1" applyFont="1" applyBorder="1" applyAlignment="1">
      <alignment horizontal="right" vertical="center"/>
    </xf>
    <xf numFmtId="0" fontId="52" fillId="0" borderId="82" xfId="0" applyFont="1" applyBorder="1" applyAlignment="1">
      <alignment horizontal="right"/>
    </xf>
    <xf numFmtId="0" fontId="52" fillId="0" borderId="82" xfId="0" quotePrefix="1" applyFont="1" applyBorder="1"/>
    <xf numFmtId="0" fontId="38" fillId="0" borderId="0" xfId="0" applyFont="1" applyAlignment="1">
      <alignment horizontal="left"/>
    </xf>
    <xf numFmtId="0" fontId="38" fillId="0" borderId="0" xfId="0" applyFont="1" applyAlignment="1">
      <alignment horizontal="right"/>
    </xf>
    <xf numFmtId="0" fontId="38" fillId="0" borderId="0" xfId="0" applyFont="1" applyAlignment="1">
      <alignment horizontal="center"/>
    </xf>
    <xf numFmtId="0" fontId="38" fillId="0" borderId="0" xfId="10" applyFont="1"/>
    <xf numFmtId="0" fontId="40" fillId="0" borderId="0" xfId="10" applyFont="1"/>
    <xf numFmtId="0" fontId="41" fillId="0" borderId="0" xfId="10" applyFont="1"/>
    <xf numFmtId="1" fontId="41" fillId="0" borderId="0" xfId="10" applyNumberFormat="1" applyFont="1"/>
    <xf numFmtId="0" fontId="40" fillId="0" borderId="0" xfId="10" applyFont="1" applyAlignment="1">
      <alignment vertical="center"/>
    </xf>
    <xf numFmtId="0" fontId="41" fillId="0" borderId="0" xfId="10" applyFont="1" applyAlignment="1">
      <alignment horizontal="right"/>
    </xf>
    <xf numFmtId="0" fontId="42" fillId="0" borderId="0" xfId="0" applyFont="1"/>
    <xf numFmtId="1" fontId="42" fillId="0" borderId="0" xfId="0" applyNumberFormat="1" applyFont="1"/>
    <xf numFmtId="0" fontId="26" fillId="0" borderId="0" xfId="4" applyFont="1" applyFill="1" applyBorder="1" applyAlignment="1" applyProtection="1"/>
    <xf numFmtId="0" fontId="40" fillId="0" borderId="0" xfId="0" applyFont="1" applyAlignment="1" applyProtection="1">
      <alignment vertical="center"/>
      <protection hidden="1"/>
    </xf>
    <xf numFmtId="9" fontId="40" fillId="0" borderId="0" xfId="9" applyFont="1" applyFill="1" applyBorder="1" applyAlignment="1" applyProtection="1">
      <alignment vertical="center"/>
      <protection hidden="1"/>
    </xf>
    <xf numFmtId="175" fontId="40" fillId="0" borderId="0" xfId="1" applyNumberFormat="1" applyFont="1" applyFill="1" applyAlignment="1" applyProtection="1">
      <alignment vertical="center"/>
    </xf>
    <xf numFmtId="0" fontId="41" fillId="0" borderId="0" xfId="0" applyFont="1" applyAlignment="1" applyProtection="1">
      <alignment vertical="center"/>
      <protection hidden="1"/>
    </xf>
    <xf numFmtId="175" fontId="40" fillId="0" borderId="0" xfId="1" applyNumberFormat="1" applyFont="1" applyFill="1" applyProtection="1">
      <protection hidden="1"/>
    </xf>
    <xf numFmtId="175" fontId="41" fillId="0" borderId="0" xfId="1" applyNumberFormat="1" applyFont="1" applyAlignment="1" applyProtection="1">
      <alignment horizontal="center"/>
      <protection hidden="1"/>
    </xf>
    <xf numFmtId="0" fontId="41" fillId="0" borderId="0" xfId="10" applyFont="1" applyAlignment="1" applyProtection="1">
      <alignment vertical="center"/>
      <protection hidden="1"/>
    </xf>
    <xf numFmtId="0" fontId="40" fillId="0" borderId="0" xfId="10" applyFont="1" applyProtection="1">
      <protection hidden="1"/>
    </xf>
    <xf numFmtId="175" fontId="40" fillId="0" borderId="0" xfId="1" applyNumberFormat="1" applyFont="1" applyProtection="1">
      <protection hidden="1"/>
    </xf>
    <xf numFmtId="44" fontId="40" fillId="0" borderId="0" xfId="3" applyFont="1" applyProtection="1">
      <protection hidden="1"/>
    </xf>
    <xf numFmtId="175" fontId="40" fillId="0" borderId="0" xfId="1" applyNumberFormat="1" applyFont="1"/>
    <xf numFmtId="43" fontId="40" fillId="0" borderId="0" xfId="10" applyNumberFormat="1" applyFont="1" applyProtection="1">
      <protection hidden="1"/>
    </xf>
    <xf numFmtId="44" fontId="40" fillId="0" borderId="0" xfId="3" applyFont="1"/>
    <xf numFmtId="175" fontId="40" fillId="0" borderId="129" xfId="1" applyNumberFormat="1" applyFont="1" applyBorder="1" applyAlignment="1" applyProtection="1">
      <alignment horizontal="center"/>
      <protection hidden="1"/>
    </xf>
    <xf numFmtId="173" fontId="40" fillId="0" borderId="129" xfId="1" applyNumberFormat="1" applyFont="1" applyBorder="1" applyAlignment="1">
      <alignment horizontal="center"/>
    </xf>
    <xf numFmtId="175" fontId="40" fillId="0" borderId="0" xfId="1" applyNumberFormat="1" applyFont="1" applyFill="1" applyBorder="1" applyProtection="1"/>
    <xf numFmtId="173" fontId="40" fillId="0" borderId="0" xfId="1" applyNumberFormat="1" applyFont="1" applyProtection="1">
      <protection hidden="1"/>
    </xf>
    <xf numFmtId="0" fontId="40" fillId="0" borderId="0" xfId="10" quotePrefix="1" applyFont="1"/>
    <xf numFmtId="173" fontId="40" fillId="28" borderId="129" xfId="1" applyNumberFormat="1" applyFont="1" applyFill="1" applyBorder="1" applyAlignment="1">
      <alignment horizontal="center"/>
    </xf>
    <xf numFmtId="175" fontId="40" fillId="28" borderId="129" xfId="1" applyNumberFormat="1" applyFont="1" applyFill="1" applyBorder="1" applyAlignment="1">
      <alignment horizontal="center"/>
    </xf>
    <xf numFmtId="175" fontId="40" fillId="28" borderId="129" xfId="1" applyNumberFormat="1" applyFont="1" applyFill="1" applyBorder="1" applyAlignment="1" applyProtection="1">
      <alignment horizontal="center"/>
      <protection hidden="1"/>
    </xf>
    <xf numFmtId="44" fontId="40" fillId="28" borderId="129" xfId="3" applyFont="1" applyFill="1" applyBorder="1" applyAlignment="1">
      <alignment horizontal="center"/>
    </xf>
    <xf numFmtId="44" fontId="40" fillId="19" borderId="0" xfId="3" applyFont="1" applyFill="1" applyProtection="1">
      <protection hidden="1"/>
    </xf>
    <xf numFmtId="170" fontId="40" fillId="19" borderId="0" xfId="10" applyNumberFormat="1" applyFont="1" applyFill="1" applyProtection="1">
      <protection hidden="1"/>
    </xf>
    <xf numFmtId="173" fontId="40" fillId="19" borderId="0" xfId="1" applyNumberFormat="1" applyFont="1" applyFill="1" applyProtection="1">
      <protection hidden="1"/>
    </xf>
    <xf numFmtId="9" fontId="40" fillId="0" borderId="0" xfId="0" applyNumberFormat="1" applyFont="1" applyProtection="1">
      <protection hidden="1"/>
    </xf>
    <xf numFmtId="0" fontId="83" fillId="0" borderId="0" xfId="0" applyFont="1" applyAlignment="1">
      <alignment horizontal="center" vertical="center"/>
    </xf>
    <xf numFmtId="0" fontId="41" fillId="0" borderId="0" xfId="0" applyFont="1" applyAlignment="1" applyProtection="1">
      <alignment horizontal="center"/>
      <protection hidden="1"/>
    </xf>
    <xf numFmtId="0" fontId="41" fillId="0" borderId="0" xfId="10" applyFont="1" applyAlignment="1" applyProtection="1">
      <alignment horizontal="center" vertical="center"/>
      <protection hidden="1"/>
    </xf>
    <xf numFmtId="175" fontId="40" fillId="29" borderId="0" xfId="1" applyNumberFormat="1" applyFont="1" applyFill="1" applyProtection="1">
      <protection hidden="1"/>
    </xf>
    <xf numFmtId="44" fontId="40" fillId="0" borderId="0" xfId="3" applyFont="1" applyFill="1" applyProtection="1">
      <protection hidden="1"/>
    </xf>
    <xf numFmtId="170" fontId="40" fillId="0" borderId="0" xfId="10" applyNumberFormat="1" applyFont="1" applyProtection="1">
      <protection hidden="1"/>
    </xf>
    <xf numFmtId="173" fontId="40" fillId="0" borderId="0" xfId="1" applyNumberFormat="1" applyFont="1" applyFill="1" applyProtection="1">
      <protection hidden="1"/>
    </xf>
    <xf numFmtId="44" fontId="40" fillId="28" borderId="129" xfId="3" applyFont="1" applyFill="1" applyBorder="1" applyAlignment="1">
      <alignment horizontal="left"/>
    </xf>
    <xf numFmtId="0" fontId="58" fillId="0" borderId="0" xfId="10" applyFont="1" applyAlignment="1">
      <alignment vertical="center" wrapText="1"/>
    </xf>
    <xf numFmtId="0" fontId="122" fillId="0" borderId="0" xfId="0" applyFont="1" applyAlignment="1">
      <alignment horizontal="justify" vertical="center"/>
    </xf>
    <xf numFmtId="0" fontId="125" fillId="0" borderId="0" xfId="0" applyFont="1" applyAlignment="1">
      <alignment vertical="center"/>
    </xf>
    <xf numFmtId="0" fontId="127" fillId="0" borderId="0" xfId="0" applyFont="1" applyAlignment="1">
      <alignment vertical="center"/>
    </xf>
    <xf numFmtId="0" fontId="124" fillId="0" borderId="0" xfId="0" applyFont="1" applyAlignment="1">
      <alignment horizontal="justify" vertical="center"/>
    </xf>
    <xf numFmtId="0" fontId="123"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1" fillId="0" borderId="0" xfId="6" applyFont="1" applyAlignment="1" applyProtection="1">
      <alignment horizontal="center" vertical="center" wrapText="1"/>
      <protection hidden="1"/>
    </xf>
    <xf numFmtId="0" fontId="61" fillId="0" borderId="0" xfId="6" applyFont="1" applyAlignment="1" applyProtection="1">
      <alignment horizontal="center" wrapText="1"/>
      <protection hidden="1"/>
    </xf>
    <xf numFmtId="0" fontId="77" fillId="15" borderId="0" xfId="6" applyFont="1" applyFill="1" applyAlignment="1" applyProtection="1">
      <alignment horizontal="center" vertical="center"/>
      <protection hidden="1"/>
    </xf>
    <xf numFmtId="0" fontId="58" fillId="0" borderId="0" xfId="7" applyFont="1" applyAlignment="1">
      <alignment horizontal="left" vertical="center" wrapText="1"/>
    </xf>
    <xf numFmtId="0" fontId="64" fillId="0" borderId="0" xfId="7" applyFont="1" applyAlignment="1">
      <alignment wrapText="1"/>
    </xf>
    <xf numFmtId="0" fontId="63" fillId="0" borderId="0" xfId="0" applyFont="1"/>
    <xf numFmtId="0" fontId="67" fillId="0" borderId="0" xfId="0" applyFont="1" applyAlignment="1">
      <alignment vertical="top" wrapText="1"/>
    </xf>
    <xf numFmtId="0" fontId="24" fillId="0" borderId="0" xfId="0" applyFont="1" applyAlignment="1">
      <alignment vertical="top" wrapText="1"/>
    </xf>
    <xf numFmtId="0" fontId="2" fillId="0" borderId="0" xfId="0" applyFont="1" applyAlignment="1">
      <alignment horizontal="left" vertical="center" wrapText="1"/>
    </xf>
    <xf numFmtId="0" fontId="63" fillId="0" borderId="0" xfId="0" applyFont="1" applyAlignment="1">
      <alignment horizontal="left" vertical="center" wrapText="1"/>
    </xf>
    <xf numFmtId="0" fontId="17" fillId="0" borderId="0" xfId="0" applyFont="1" applyAlignment="1">
      <alignment horizontal="center" vertical="top" wrapText="1"/>
    </xf>
    <xf numFmtId="0" fontId="58" fillId="0" borderId="0" xfId="0" applyFont="1" applyAlignment="1">
      <alignment vertical="center" wrapText="1"/>
    </xf>
    <xf numFmtId="0" fontId="68" fillId="0" borderId="0" xfId="0" applyFont="1" applyAlignment="1">
      <alignment horizontal="left" vertical="center" wrapText="1"/>
    </xf>
    <xf numFmtId="0" fontId="69" fillId="0" borderId="0" xfId="0" applyFont="1" applyAlignment="1">
      <alignment horizontal="left" vertical="center" wrapText="1"/>
    </xf>
    <xf numFmtId="0" fontId="2" fillId="0" borderId="28" xfId="0" applyFont="1" applyBorder="1" applyAlignment="1">
      <alignment horizontal="left" vertical="center" wrapText="1"/>
    </xf>
    <xf numFmtId="0" fontId="71"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03" fillId="0" borderId="0" xfId="12" applyFont="1" applyAlignment="1">
      <alignment vertical="center" wrapText="1"/>
    </xf>
    <xf numFmtId="1" fontId="23" fillId="0" borderId="0" xfId="10" applyNumberFormat="1" applyFont="1" applyAlignment="1">
      <alignment horizontal="center" vertical="center"/>
    </xf>
    <xf numFmtId="0" fontId="91" fillId="22" borderId="0" xfId="0" applyFont="1" applyFill="1" applyAlignment="1">
      <alignment horizontal="right" vertical="center"/>
    </xf>
    <xf numFmtId="0" fontId="117" fillId="22" borderId="98" xfId="0" applyFont="1" applyFill="1" applyBorder="1" applyAlignment="1">
      <alignment horizontal="left" vertical="center" wrapText="1"/>
    </xf>
    <xf numFmtId="0" fontId="117" fillId="22" borderId="98" xfId="0" applyFont="1" applyFill="1" applyBorder="1" applyAlignment="1" applyProtection="1">
      <alignment vertical="center"/>
      <protection hidden="1"/>
    </xf>
    <xf numFmtId="0" fontId="117"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29" fillId="0" borderId="0" xfId="10" applyFont="1" applyAlignment="1">
      <alignment horizontal="center" vertical="center"/>
    </xf>
    <xf numFmtId="0" fontId="52"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2" fillId="0" borderId="0" xfId="10" applyFont="1" applyAlignment="1">
      <alignment horizontal="right"/>
    </xf>
    <xf numFmtId="0" fontId="38" fillId="0" borderId="79" xfId="0" applyFont="1" applyBorder="1" applyAlignment="1">
      <alignment horizontal="left" indent="1"/>
    </xf>
    <xf numFmtId="175" fontId="41" fillId="0" borderId="0" xfId="1" applyNumberFormat="1" applyFont="1" applyAlignment="1">
      <alignment horizontal="center"/>
    </xf>
    <xf numFmtId="0" fontId="131" fillId="0" borderId="0" xfId="0" applyFont="1" applyAlignment="1">
      <alignment horizontal="left" vertical="center" wrapText="1"/>
    </xf>
    <xf numFmtId="0" fontId="132" fillId="0" borderId="0" xfId="0" applyFont="1" applyAlignment="1">
      <alignment horizontal="left" vertical="center" wrapText="1"/>
    </xf>
    <xf numFmtId="0" fontId="131" fillId="0" borderId="0" xfId="0" applyFont="1" applyAlignment="1">
      <alignment horizontal="left" vertical="top" wrapText="1"/>
    </xf>
    <xf numFmtId="0" fontId="40" fillId="0" borderId="0" xfId="0" applyFont="1" applyAlignment="1" applyProtection="1">
      <alignment horizontal="center"/>
      <protection hidden="1"/>
    </xf>
    <xf numFmtId="0" fontId="61" fillId="0" borderId="0" xfId="6" applyFont="1" applyProtection="1">
      <protection hidden="1"/>
    </xf>
    <xf numFmtId="0" fontId="61" fillId="0" borderId="0" xfId="6" applyFont="1" applyAlignment="1" applyProtection="1">
      <alignment vertical="center"/>
      <protection hidden="1"/>
    </xf>
    <xf numFmtId="0" fontId="86" fillId="0" borderId="0" xfId="6" applyFont="1" applyProtection="1">
      <protection hidden="1"/>
    </xf>
    <xf numFmtId="0" fontId="86"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04"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79" fillId="0" borderId="0" xfId="7" applyFont="1" applyAlignment="1" applyProtection="1">
      <alignment horizontal="center" wrapText="1"/>
      <protection hidden="1"/>
    </xf>
    <xf numFmtId="0" fontId="61" fillId="25" borderId="0" xfId="6" applyFont="1" applyFill="1" applyProtection="1">
      <protection hidden="1"/>
    </xf>
    <xf numFmtId="0" fontId="78" fillId="0" borderId="8" xfId="7" applyFont="1" applyBorder="1" applyAlignment="1" applyProtection="1">
      <alignment horizontal="center" vertical="center"/>
      <protection hidden="1"/>
    </xf>
    <xf numFmtId="0" fontId="88" fillId="0" borderId="0" xfId="6" applyFont="1" applyProtection="1">
      <protection hidden="1"/>
    </xf>
    <xf numFmtId="0" fontId="88" fillId="0" borderId="0" xfId="6" applyFont="1" applyAlignment="1" applyProtection="1">
      <alignment vertical="center"/>
      <protection hidden="1"/>
    </xf>
    <xf numFmtId="0" fontId="61"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1" fillId="0" borderId="0" xfId="6" applyFont="1" applyAlignment="1" applyProtection="1">
      <alignment horizontal="center"/>
      <protection hidden="1"/>
    </xf>
    <xf numFmtId="0" fontId="79" fillId="0" borderId="0" xfId="7" applyFont="1" applyAlignment="1" applyProtection="1">
      <alignment horizontal="left"/>
      <protection hidden="1"/>
    </xf>
    <xf numFmtId="0" fontId="61" fillId="0" borderId="0" xfId="6" applyFont="1" applyAlignment="1" applyProtection="1">
      <alignment horizontal="right"/>
      <protection hidden="1"/>
    </xf>
    <xf numFmtId="0" fontId="13" fillId="0" borderId="0" xfId="7" applyFont="1" applyAlignment="1" applyProtection="1">
      <alignment horizontal="left"/>
      <protection hidden="1"/>
    </xf>
    <xf numFmtId="0" fontId="104" fillId="0" borderId="0" xfId="6" applyFont="1" applyAlignment="1" applyProtection="1">
      <alignment vertical="center"/>
      <protection hidden="1"/>
    </xf>
    <xf numFmtId="0" fontId="13" fillId="0" borderId="0" xfId="7" applyFont="1" applyProtection="1">
      <protection hidden="1"/>
    </xf>
    <xf numFmtId="0" fontId="88" fillId="0" borderId="0" xfId="7" applyFont="1" applyProtection="1">
      <protection hidden="1"/>
    </xf>
    <xf numFmtId="0" fontId="79" fillId="0" borderId="0" xfId="7" applyFont="1" applyAlignment="1" applyProtection="1">
      <alignment horizontal="center" vertical="center" wrapText="1"/>
      <protection hidden="1"/>
    </xf>
    <xf numFmtId="0" fontId="104" fillId="0" borderId="120" xfId="6" applyFont="1" applyBorder="1" applyProtection="1">
      <protection hidden="1"/>
    </xf>
    <xf numFmtId="0" fontId="104" fillId="0" borderId="121" xfId="6" applyFont="1" applyBorder="1" applyProtection="1">
      <protection hidden="1"/>
    </xf>
    <xf numFmtId="0" fontId="61" fillId="0" borderId="122" xfId="6" applyFont="1" applyBorder="1" applyProtection="1">
      <protection hidden="1"/>
    </xf>
    <xf numFmtId="0" fontId="61" fillId="0" borderId="2" xfId="6" applyFont="1" applyBorder="1" applyProtection="1">
      <protection hidden="1"/>
    </xf>
    <xf numFmtId="0" fontId="0" fillId="0" borderId="0" xfId="0" applyAlignment="1" applyProtection="1">
      <alignment vertical="center" wrapText="1"/>
      <protection locked="0"/>
    </xf>
    <xf numFmtId="0" fontId="134" fillId="0" borderId="0" xfId="0" applyFont="1"/>
    <xf numFmtId="0" fontId="32" fillId="0" borderId="0" xfId="0" applyFont="1"/>
    <xf numFmtId="49" fontId="98" fillId="9" borderId="77" xfId="4" applyNumberFormat="1" applyFont="1" applyFill="1" applyBorder="1" applyAlignment="1" applyProtection="1">
      <alignment horizontal="center" vertical="center"/>
    </xf>
    <xf numFmtId="0" fontId="95" fillId="0" borderId="0" xfId="0" quotePrefix="1" applyFont="1" applyAlignment="1">
      <alignment vertical="center"/>
    </xf>
    <xf numFmtId="0" fontId="92" fillId="0" borderId="0" xfId="0" applyFont="1"/>
    <xf numFmtId="49" fontId="95" fillId="15" borderId="0" xfId="4" applyNumberFormat="1" applyFont="1" applyFill="1" applyBorder="1" applyAlignment="1" applyProtection="1">
      <alignment horizontal="center" vertical="center"/>
    </xf>
    <xf numFmtId="49" fontId="100" fillId="9" borderId="77" xfId="4" applyNumberFormat="1" applyFont="1" applyFill="1" applyBorder="1" applyAlignment="1" applyProtection="1">
      <alignment horizontal="center" vertical="center" wrapText="1"/>
    </xf>
    <xf numFmtId="0" fontId="107" fillId="0" borderId="0" xfId="0" applyFont="1" applyAlignment="1">
      <alignment horizontal="right" vertical="center" wrapText="1"/>
    </xf>
    <xf numFmtId="0" fontId="92" fillId="22" borderId="0" xfId="6" applyFont="1" applyFill="1"/>
    <xf numFmtId="0" fontId="135" fillId="0" borderId="0" xfId="6" applyFont="1" applyAlignment="1" applyProtection="1">
      <alignment vertical="center"/>
      <protection hidden="1"/>
    </xf>
    <xf numFmtId="0" fontId="136" fillId="16" borderId="0" xfId="0" applyFont="1" applyFill="1"/>
    <xf numFmtId="0" fontId="137" fillId="23" borderId="109" xfId="0" applyFont="1" applyFill="1" applyBorder="1" applyAlignment="1">
      <alignment vertical="center" wrapText="1"/>
    </xf>
    <xf numFmtId="0" fontId="137"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2" xfId="0" applyFont="1" applyBorder="1"/>
    <xf numFmtId="0" fontId="136" fillId="0" borderId="0" xfId="0" applyFont="1"/>
    <xf numFmtId="0" fontId="136" fillId="9" borderId="0" xfId="0" applyFont="1" applyFill="1"/>
    <xf numFmtId="0" fontId="50" fillId="23" borderId="109" xfId="0" applyFont="1" applyFill="1" applyBorder="1" applyAlignment="1">
      <alignment horizontal="center" vertical="top"/>
    </xf>
    <xf numFmtId="0" fontId="35" fillId="0" borderId="0" xfId="0" applyFont="1" applyAlignment="1">
      <alignment horizontal="left" vertical="top"/>
    </xf>
    <xf numFmtId="3" fontId="40" fillId="0" borderId="0" xfId="0" applyNumberFormat="1" applyFont="1"/>
    <xf numFmtId="0" fontId="27" fillId="0" borderId="0" xfId="0" applyFont="1" applyAlignment="1">
      <alignment vertical="center"/>
    </xf>
    <xf numFmtId="165" fontId="138" fillId="9" borderId="77" xfId="0" applyNumberFormat="1" applyFont="1" applyFill="1" applyBorder="1" applyProtection="1">
      <protection locked="0"/>
    </xf>
    <xf numFmtId="3" fontId="138" fillId="9" borderId="77" xfId="0" applyNumberFormat="1" applyFont="1" applyFill="1" applyBorder="1" applyProtection="1">
      <protection locked="0"/>
    </xf>
    <xf numFmtId="0" fontId="138" fillId="0" borderId="0" xfId="0" applyFont="1" applyAlignment="1">
      <alignment horizontal="right"/>
    </xf>
    <xf numFmtId="0" fontId="138" fillId="0" borderId="0" xfId="0" applyFont="1"/>
    <xf numFmtId="0" fontId="138" fillId="0" borderId="0" xfId="0" applyFont="1" applyAlignment="1">
      <alignment horizontal="left"/>
    </xf>
    <xf numFmtId="0" fontId="53" fillId="0" borderId="21" xfId="0" applyFont="1" applyBorder="1" applyAlignment="1">
      <alignment vertical="top"/>
    </xf>
    <xf numFmtId="0" fontId="53" fillId="0" borderId="21"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8" fillId="0" borderId="0" xfId="10" applyFont="1" applyAlignment="1">
      <alignment horizontal="left"/>
    </xf>
    <xf numFmtId="0" fontId="38" fillId="0" borderId="0" xfId="10" applyFont="1" applyAlignment="1">
      <alignment horizontal="left" vertical="center"/>
    </xf>
    <xf numFmtId="0" fontId="38" fillId="0" borderId="0" xfId="10" applyFont="1" applyAlignment="1">
      <alignment horizontal="center" vertical="center"/>
    </xf>
    <xf numFmtId="0" fontId="42" fillId="0" borderId="0" xfId="10" applyFont="1" applyAlignment="1">
      <alignment horizontal="center" vertical="center"/>
    </xf>
    <xf numFmtId="1" fontId="42" fillId="0" borderId="0" xfId="10" applyNumberFormat="1" applyFont="1" applyAlignment="1">
      <alignment horizontal="center" vertical="center"/>
    </xf>
    <xf numFmtId="0" fontId="42" fillId="0" borderId="0" xfId="10" applyFont="1"/>
    <xf numFmtId="0" fontId="83" fillId="22" borderId="80" xfId="0" applyFont="1" applyFill="1" applyBorder="1" applyAlignment="1">
      <alignment vertical="center"/>
    </xf>
    <xf numFmtId="0" fontId="40" fillId="0" borderId="0" xfId="0" applyFont="1" applyProtection="1">
      <protection locked="0"/>
    </xf>
    <xf numFmtId="0" fontId="60" fillId="0" borderId="0" xfId="0" applyFont="1" applyProtection="1">
      <protection locked="0"/>
    </xf>
    <xf numFmtId="0" fontId="51" fillId="0" borderId="21" xfId="0" applyFont="1" applyBorder="1"/>
    <xf numFmtId="0" fontId="52" fillId="0" borderId="25" xfId="0" applyFont="1" applyBorder="1"/>
    <xf numFmtId="0" fontId="140" fillId="0" borderId="23" xfId="0" applyFont="1" applyBorder="1"/>
    <xf numFmtId="0" fontId="138" fillId="0" borderId="82" xfId="0" applyFont="1" applyBorder="1"/>
    <xf numFmtId="0" fontId="32" fillId="0" borderId="0" xfId="0" applyFont="1" applyAlignment="1">
      <alignment vertical="top" wrapText="1"/>
    </xf>
    <xf numFmtId="0" fontId="13" fillId="0" borderId="129"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80" fillId="0" borderId="129" xfId="7" applyFont="1" applyBorder="1" applyAlignment="1" applyProtection="1">
      <alignment horizontal="left" vertical="center" wrapText="1"/>
      <protection hidden="1"/>
    </xf>
    <xf numFmtId="0" fontId="84" fillId="0" borderId="129"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92" fillId="22" borderId="0" xfId="6" applyFont="1" applyFill="1" applyAlignment="1" applyProtection="1">
      <alignment horizontal="left" vertical="top"/>
      <protection hidden="1"/>
    </xf>
    <xf numFmtId="49" fontId="133" fillId="9" borderId="77" xfId="4" applyNumberFormat="1" applyFont="1" applyFill="1" applyBorder="1" applyAlignment="1" applyProtection="1">
      <alignment horizontal="center" vertical="center"/>
      <protection hidden="1"/>
    </xf>
    <xf numFmtId="0" fontId="76" fillId="0" borderId="0" xfId="6" applyFont="1" applyAlignment="1" applyProtection="1">
      <alignment horizontal="center" vertical="center" wrapText="1"/>
      <protection hidden="1"/>
    </xf>
    <xf numFmtId="0" fontId="6" fillId="0" borderId="0" xfId="0" applyFont="1" applyProtection="1">
      <protection hidden="1"/>
    </xf>
    <xf numFmtId="0" fontId="77" fillId="15" borderId="141"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1" fillId="10" borderId="0" xfId="6" applyFont="1" applyFill="1" applyProtection="1">
      <protection hidden="1"/>
    </xf>
    <xf numFmtId="44" fontId="40" fillId="29" borderId="0" xfId="3" applyFont="1" applyFill="1" applyProtection="1">
      <protection hidden="1"/>
    </xf>
    <xf numFmtId="0" fontId="119" fillId="0" borderId="0" xfId="0" applyFont="1" applyAlignment="1">
      <alignment vertical="center"/>
    </xf>
    <xf numFmtId="0" fontId="95" fillId="0" borderId="0" xfId="0" applyFont="1" applyAlignment="1">
      <alignment horizontal="right" vertical="center"/>
    </xf>
    <xf numFmtId="0" fontId="95" fillId="0" borderId="0" xfId="0" applyFont="1" applyAlignment="1">
      <alignment horizontal="left" vertical="center"/>
    </xf>
    <xf numFmtId="44" fontId="40" fillId="0" borderId="129" xfId="3" applyFont="1" applyBorder="1"/>
    <xf numFmtId="0" fontId="141" fillId="0" borderId="0" xfId="0" applyFont="1" applyAlignment="1">
      <alignment horizontal="left" vertical="center"/>
    </xf>
    <xf numFmtId="0" fontId="90" fillId="22" borderId="94" xfId="0" applyFont="1" applyFill="1" applyBorder="1" applyAlignment="1">
      <alignment horizontal="left" indent="2"/>
    </xf>
    <xf numFmtId="0" fontId="92" fillId="22" borderId="0" xfId="6" applyFont="1" applyFill="1" applyAlignment="1" applyProtection="1">
      <alignment horizontal="left" vertical="center"/>
      <protection hidden="1"/>
    </xf>
    <xf numFmtId="0" fontId="23" fillId="0" borderId="0" xfId="12" applyFont="1" applyAlignment="1">
      <alignment horizontal="right"/>
    </xf>
    <xf numFmtId="173" fontId="40" fillId="29" borderId="0" xfId="1" applyNumberFormat="1" applyFont="1" applyFill="1" applyProtection="1">
      <protection hidden="1"/>
    </xf>
    <xf numFmtId="0" fontId="40" fillId="0" borderId="0" xfId="10" applyFont="1" applyAlignment="1">
      <alignment horizontal="right" vertical="center"/>
    </xf>
    <xf numFmtId="0" fontId="143" fillId="0" borderId="0" xfId="0" applyFont="1" applyAlignment="1">
      <alignment horizontal="left"/>
    </xf>
    <xf numFmtId="1" fontId="40" fillId="31" borderId="0" xfId="0" applyNumberFormat="1" applyFont="1" applyFill="1" applyAlignment="1">
      <alignment horizontal="left"/>
    </xf>
    <xf numFmtId="0" fontId="15" fillId="22" borderId="109" xfId="0" applyFont="1" applyFill="1" applyBorder="1" applyAlignment="1">
      <alignment vertical="center" wrapText="1"/>
    </xf>
    <xf numFmtId="0" fontId="15" fillId="23" borderId="161" xfId="0" applyFont="1" applyFill="1" applyBorder="1" applyAlignment="1">
      <alignment vertical="center" wrapText="1"/>
    </xf>
    <xf numFmtId="1" fontId="38" fillId="0" borderId="0" xfId="0" applyNumberFormat="1" applyFont="1" applyAlignment="1">
      <alignment horizontal="left"/>
    </xf>
    <xf numFmtId="0" fontId="77" fillId="0" borderId="122" xfId="6" applyFont="1" applyBorder="1" applyProtection="1">
      <protection hidden="1"/>
    </xf>
    <xf numFmtId="0" fontId="77" fillId="0" borderId="2" xfId="6" applyFont="1" applyBorder="1" applyProtection="1">
      <protection hidden="1"/>
    </xf>
    <xf numFmtId="0" fontId="77" fillId="0" borderId="75" xfId="6" applyFont="1" applyBorder="1" applyProtection="1">
      <protection hidden="1"/>
    </xf>
    <xf numFmtId="0" fontId="77" fillId="0" borderId="3" xfId="6" applyFont="1" applyBorder="1" applyProtection="1">
      <protection hidden="1"/>
    </xf>
    <xf numFmtId="0" fontId="143" fillId="0" borderId="0" xfId="0" applyFont="1"/>
    <xf numFmtId="0" fontId="40" fillId="0" borderId="129" xfId="0" applyFont="1" applyBorder="1"/>
    <xf numFmtId="0" fontId="35" fillId="0" borderId="129" xfId="0" applyFont="1" applyBorder="1" applyProtection="1">
      <protection hidden="1"/>
    </xf>
    <xf numFmtId="0" fontId="40" fillId="0" borderId="0" xfId="0" applyFont="1" applyAlignment="1">
      <alignment horizontal="right" vertical="center"/>
    </xf>
    <xf numFmtId="0" fontId="148" fillId="0" borderId="0" xfId="0" applyFont="1" applyAlignment="1">
      <alignment vertical="center"/>
    </xf>
    <xf numFmtId="0" fontId="149" fillId="0" borderId="0" xfId="0" applyFont="1" applyAlignment="1">
      <alignment horizontal="right" vertical="center"/>
    </xf>
    <xf numFmtId="0" fontId="148" fillId="0" borderId="0" xfId="0" applyFont="1" applyAlignment="1">
      <alignment horizontal="right" vertical="center"/>
    </xf>
    <xf numFmtId="0" fontId="2" fillId="32" borderId="0" xfId="0" applyFont="1" applyFill="1"/>
    <xf numFmtId="170" fontId="0" fillId="32" borderId="0" xfId="0" applyNumberFormat="1" applyFill="1"/>
    <xf numFmtId="174" fontId="0" fillId="32" borderId="0" xfId="3" applyNumberFormat="1" applyFont="1" applyFill="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0" fontId="0" fillId="34" borderId="0" xfId="0" applyFill="1"/>
    <xf numFmtId="170" fontId="0" fillId="34" borderId="0" xfId="0" applyNumberFormat="1" applyFill="1"/>
    <xf numFmtId="174" fontId="0" fillId="34" borderId="0" xfId="3" applyNumberFormat="1" applyFont="1" applyFill="1"/>
    <xf numFmtId="0" fontId="2" fillId="34" borderId="0" xfId="0" applyFont="1" applyFill="1"/>
    <xf numFmtId="10" fontId="0" fillId="0" borderId="0" xfId="0" applyNumberFormat="1"/>
    <xf numFmtId="0" fontId="103" fillId="0" borderId="0" xfId="12" applyFont="1" applyAlignment="1">
      <alignment horizontal="left" vertical="center" wrapText="1"/>
    </xf>
    <xf numFmtId="0" fontId="103" fillId="0" borderId="0" xfId="12" applyFont="1" applyAlignment="1">
      <alignment horizontal="right" vertical="center" wrapText="1" indent="1"/>
    </xf>
    <xf numFmtId="0" fontId="103" fillId="0" borderId="0" xfId="12" applyFont="1" applyAlignment="1">
      <alignment horizontal="center" vertical="center"/>
    </xf>
    <xf numFmtId="0" fontId="103" fillId="0" borderId="0" xfId="15" applyFont="1" applyAlignment="1">
      <alignment horizontal="right" vertical="center" wrapText="1" indent="1"/>
    </xf>
    <xf numFmtId="0" fontId="2" fillId="0" borderId="0" xfId="0" applyFont="1" applyAlignment="1">
      <alignment horizontal="center" wrapText="1"/>
    </xf>
    <xf numFmtId="168" fontId="95" fillId="0" borderId="0" xfId="0" applyNumberFormat="1" applyFont="1" applyProtection="1">
      <protection locked="0"/>
    </xf>
    <xf numFmtId="0" fontId="74" fillId="0" borderId="80" xfId="0" applyFont="1" applyBorder="1" applyAlignment="1">
      <alignment horizontal="center" textRotation="90"/>
    </xf>
    <xf numFmtId="0" fontId="98" fillId="0" borderId="0" xfId="4" applyFont="1" applyFill="1" applyBorder="1" applyAlignment="1" applyProtection="1">
      <alignment horizontal="right"/>
    </xf>
    <xf numFmtId="0" fontId="2" fillId="0" borderId="0" xfId="0" applyFont="1" applyAlignment="1">
      <alignment horizontal="center" vertical="center"/>
    </xf>
    <xf numFmtId="0" fontId="11" fillId="0" borderId="0" xfId="0" applyFont="1" applyAlignment="1" applyProtection="1">
      <alignment horizontal="left"/>
      <protection hidden="1"/>
    </xf>
    <xf numFmtId="2" fontId="11" fillId="0" borderId="0" xfId="0" applyNumberFormat="1" applyFont="1" applyAlignment="1">
      <alignment vertical="center" wrapText="1"/>
    </xf>
    <xf numFmtId="0" fontId="117" fillId="22" borderId="0" xfId="0" applyFont="1" applyFill="1" applyAlignment="1" applyProtection="1">
      <alignment horizontal="center" vertical="center"/>
      <protection hidden="1"/>
    </xf>
    <xf numFmtId="0" fontId="2" fillId="0" borderId="0" xfId="0" applyFont="1" applyAlignment="1">
      <alignment horizontal="center" vertical="top"/>
    </xf>
    <xf numFmtId="0" fontId="27" fillId="0" borderId="0" xfId="0" applyFont="1" applyAlignment="1">
      <alignment horizontal="center" vertical="center"/>
    </xf>
    <xf numFmtId="0" fontId="144" fillId="0" borderId="0" xfId="0" applyFont="1" applyAlignment="1">
      <alignment wrapText="1"/>
    </xf>
    <xf numFmtId="0" fontId="52" fillId="0" borderId="0" xfId="0" applyFont="1" applyAlignment="1">
      <alignment horizontal="center"/>
    </xf>
    <xf numFmtId="0" fontId="38" fillId="0" borderId="0" xfId="0" applyFont="1" applyAlignment="1">
      <alignment horizontal="center" vertical="center"/>
    </xf>
    <xf numFmtId="0" fontId="57" fillId="0" borderId="6" xfId="4" applyFont="1" applyFill="1" applyBorder="1" applyAlignment="1" applyProtection="1">
      <alignment horizontal="center" vertical="center" wrapText="1" shrinkToFit="1"/>
    </xf>
    <xf numFmtId="0" fontId="2" fillId="0" borderId="0" xfId="0" applyFont="1" applyAlignment="1">
      <alignment vertical="center"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58" fillId="0" borderId="0" xfId="0" applyFont="1" applyAlignment="1">
      <alignment horizontal="left" vertical="center" wrapText="1"/>
    </xf>
    <xf numFmtId="0" fontId="2" fillId="0" borderId="21" xfId="0" applyFont="1" applyBorder="1" applyAlignment="1">
      <alignment vertical="center" wrapText="1"/>
    </xf>
    <xf numFmtId="0" fontId="2" fillId="0" borderId="27" xfId="0" applyFont="1" applyBorder="1" applyAlignment="1">
      <alignment vertical="center" wrapText="1"/>
    </xf>
    <xf numFmtId="0" fontId="24" fillId="0" borderId="23" xfId="0" applyFont="1" applyBorder="1" applyAlignment="1">
      <alignment vertical="top" wrapText="1"/>
    </xf>
    <xf numFmtId="0" fontId="24" fillId="0" borderId="28" xfId="0" applyFont="1" applyBorder="1" applyAlignment="1">
      <alignment vertical="top" wrapText="1"/>
    </xf>
    <xf numFmtId="0" fontId="2" fillId="0" borderId="23" xfId="0" applyFont="1" applyBorder="1" applyAlignment="1">
      <alignment horizontal="left" vertical="center" wrapText="1"/>
    </xf>
    <xf numFmtId="0" fontId="2" fillId="0" borderId="24" xfId="0" applyFont="1" applyBorder="1" applyAlignment="1">
      <alignment horizontal="left" vertical="center" wrapText="1"/>
    </xf>
    <xf numFmtId="0" fontId="2" fillId="0" borderId="29" xfId="0" applyFont="1" applyBorder="1" applyAlignment="1">
      <alignment horizontal="left" vertical="center" wrapText="1"/>
    </xf>
    <xf numFmtId="0" fontId="2" fillId="16" borderId="0" xfId="0" applyFont="1" applyFill="1"/>
    <xf numFmtId="0" fontId="2" fillId="16" borderId="0" xfId="0" applyFont="1" applyFill="1" applyAlignment="1">
      <alignment horizontal="center" vertical="center"/>
    </xf>
    <xf numFmtId="0" fontId="2" fillId="0" borderId="0" xfId="0" applyFont="1" applyAlignment="1">
      <alignment horizontal="right" vertical="top" indent="1"/>
    </xf>
    <xf numFmtId="1" fontId="2" fillId="16" borderId="0" xfId="0" applyNumberFormat="1" applyFont="1" applyFill="1"/>
    <xf numFmtId="0" fontId="2" fillId="3" borderId="0" xfId="0" applyFont="1" applyFill="1" applyAlignment="1">
      <alignment horizontal="center"/>
    </xf>
    <xf numFmtId="0" fontId="2" fillId="0" borderId="0" xfId="0" quotePrefix="1" applyFont="1" applyAlignment="1">
      <alignment vertical="center"/>
    </xf>
    <xf numFmtId="0" fontId="2" fillId="0" borderId="25" xfId="0" applyFont="1" applyBorder="1"/>
    <xf numFmtId="43" fontId="2" fillId="0" borderId="0" xfId="1" applyFont="1" applyBorder="1" applyProtection="1"/>
    <xf numFmtId="0" fontId="2" fillId="0" borderId="28" xfId="0" applyFont="1" applyBorder="1"/>
    <xf numFmtId="4" fontId="2" fillId="0" borderId="0" xfId="1" applyNumberFormat="1" applyFont="1" applyBorder="1" applyProtection="1">
      <protection locked="0"/>
    </xf>
    <xf numFmtId="0" fontId="2" fillId="0" borderId="129" xfId="0" applyFont="1" applyBorder="1" applyAlignment="1">
      <alignment horizontal="center"/>
    </xf>
    <xf numFmtId="164" fontId="2" fillId="0" borderId="0" xfId="0" applyNumberFormat="1" applyFont="1"/>
    <xf numFmtId="2" fontId="2" fillId="0" borderId="0" xfId="0" applyNumberFormat="1" applyFont="1" applyProtection="1">
      <protection hidden="1"/>
    </xf>
    <xf numFmtId="0" fontId="2" fillId="0" borderId="24" xfId="0" applyFont="1" applyBorder="1"/>
    <xf numFmtId="0" fontId="2" fillId="0" borderId="26" xfId="0" applyFont="1" applyBorder="1" applyProtection="1">
      <protection locked="0"/>
    </xf>
    <xf numFmtId="0" fontId="2" fillId="0" borderId="140" xfId="0" applyFont="1" applyBorder="1"/>
    <xf numFmtId="0" fontId="2" fillId="0" borderId="140" xfId="0" applyFont="1" applyBorder="1" applyAlignment="1">
      <alignment horizontal="left"/>
    </xf>
    <xf numFmtId="0" fontId="2" fillId="0" borderId="21" xfId="0" applyFont="1" applyBorder="1"/>
    <xf numFmtId="0" fontId="2" fillId="0" borderId="27" xfId="0" applyFont="1" applyBorder="1"/>
    <xf numFmtId="0" fontId="2" fillId="0" borderId="26" xfId="0" applyFont="1" applyBorder="1"/>
    <xf numFmtId="168" fontId="2" fillId="19" borderId="0" xfId="0" applyNumberFormat="1" applyFont="1" applyFill="1" applyAlignment="1" applyProtection="1">
      <alignment horizontal="right"/>
      <protection hidden="1"/>
    </xf>
    <xf numFmtId="168" fontId="2" fillId="19" borderId="0" xfId="0" applyNumberFormat="1" applyFont="1" applyFill="1" applyAlignment="1" applyProtection="1">
      <alignment vertical="center"/>
      <protection hidden="1"/>
    </xf>
    <xf numFmtId="0" fontId="2" fillId="10" borderId="0" xfId="0" applyFont="1" applyFill="1" applyAlignment="1">
      <alignment horizontal="center"/>
    </xf>
    <xf numFmtId="1" fontId="2" fillId="0" borderId="0" xfId="0" applyNumberFormat="1" applyFont="1"/>
    <xf numFmtId="0" fontId="2" fillId="0" borderId="22" xfId="0" applyFont="1" applyBorder="1" applyAlignment="1">
      <alignment horizontal="center" vertical="center"/>
    </xf>
    <xf numFmtId="0" fontId="2" fillId="0" borderId="42" xfId="0" applyFont="1" applyBorder="1" applyAlignment="1">
      <alignment horizontal="center" vertical="center"/>
    </xf>
    <xf numFmtId="172" fontId="2" fillId="0" borderId="36" xfId="1" applyNumberFormat="1" applyFont="1" applyBorder="1" applyAlignment="1" applyProtection="1">
      <alignment horizontal="center" vertical="center"/>
    </xf>
    <xf numFmtId="43" fontId="2" fillId="0" borderId="43" xfId="1" applyFont="1" applyBorder="1" applyAlignment="1" applyProtection="1">
      <alignment horizontal="center" vertical="center"/>
    </xf>
    <xf numFmtId="172" fontId="2" fillId="0" borderId="0" xfId="0" applyNumberFormat="1" applyFont="1"/>
    <xf numFmtId="43" fontId="2" fillId="0" borderId="0" xfId="0" applyNumberFormat="1" applyFont="1"/>
    <xf numFmtId="2" fontId="2" fillId="0" borderId="140" xfId="0" applyNumberFormat="1" applyFont="1" applyBorder="1"/>
    <xf numFmtId="1" fontId="2" fillId="19" borderId="0" xfId="0" applyNumberFormat="1" applyFont="1" applyFill="1" applyProtection="1">
      <protection hidden="1"/>
    </xf>
    <xf numFmtId="0" fontId="2" fillId="10" borderId="129" xfId="0" applyFont="1" applyFill="1" applyBorder="1"/>
    <xf numFmtId="0" fontId="2" fillId="0" borderId="0" xfId="0" quotePrefix="1" applyFont="1" applyAlignment="1">
      <alignment horizontal="center"/>
    </xf>
    <xf numFmtId="0" fontId="2" fillId="0" borderId="14" xfId="0" applyFont="1" applyBorder="1"/>
    <xf numFmtId="166" fontId="2" fillId="0" borderId="0" xfId="0" applyNumberFormat="1" applyFont="1"/>
    <xf numFmtId="166" fontId="2" fillId="0" borderId="77" xfId="0" applyNumberFormat="1" applyFont="1" applyBorder="1" applyProtection="1">
      <protection locked="0"/>
    </xf>
    <xf numFmtId="169" fontId="2" fillId="9" borderId="77" xfId="0" applyNumberFormat="1" applyFont="1" applyFill="1" applyBorder="1" applyProtection="1">
      <protection locked="0"/>
    </xf>
    <xf numFmtId="10" fontId="2" fillId="0" borderId="0" xfId="0" applyNumberFormat="1" applyFont="1"/>
    <xf numFmtId="0" fontId="77" fillId="15" borderId="129" xfId="6" applyFont="1" applyFill="1" applyBorder="1" applyAlignment="1" applyProtection="1">
      <alignment horizontal="center" vertical="center"/>
      <protection hidden="1"/>
    </xf>
    <xf numFmtId="0" fontId="13" fillId="9" borderId="129" xfId="7" applyFont="1" applyFill="1" applyBorder="1" applyAlignment="1" applyProtection="1">
      <alignment horizontal="left" vertical="top" wrapText="1"/>
      <protection locked="0"/>
    </xf>
    <xf numFmtId="0" fontId="0" fillId="0" borderId="129" xfId="0" applyBorder="1" applyAlignment="1" applyProtection="1">
      <alignment vertical="center" wrapText="1"/>
      <protection locked="0"/>
    </xf>
    <xf numFmtId="164" fontId="0" fillId="4" borderId="148" xfId="0" applyNumberFormat="1" applyFill="1" applyBorder="1" applyProtection="1">
      <protection hidden="1"/>
    </xf>
    <xf numFmtId="0" fontId="0" fillId="8" borderId="129" xfId="0" applyFill="1" applyBorder="1" applyAlignment="1" applyProtection="1">
      <alignment horizontal="center"/>
      <protection hidden="1"/>
    </xf>
    <xf numFmtId="0" fontId="17" fillId="7" borderId="129" xfId="0" applyFont="1" applyFill="1" applyBorder="1" applyAlignment="1" applyProtection="1">
      <alignment horizontal="center"/>
      <protection hidden="1"/>
    </xf>
    <xf numFmtId="5" fontId="2" fillId="0" borderId="0" xfId="3" applyNumberFormat="1" applyFont="1" applyFill="1"/>
    <xf numFmtId="5" fontId="2" fillId="34" borderId="0" xfId="3" applyNumberFormat="1" applyFont="1" applyFill="1"/>
    <xf numFmtId="0" fontId="2" fillId="0" borderId="0" xfId="0" quotePrefix="1" applyFont="1" applyAlignment="1">
      <alignment horizontal="left"/>
    </xf>
    <xf numFmtId="5" fontId="2" fillId="10" borderId="0" xfId="3" applyNumberFormat="1" applyFont="1" applyFill="1"/>
    <xf numFmtId="5" fontId="2" fillId="32" borderId="0" xfId="3" applyNumberFormat="1" applyFont="1" applyFill="1"/>
    <xf numFmtId="5" fontId="2" fillId="25" borderId="0" xfId="3" applyNumberFormat="1" applyFont="1" applyFill="1"/>
    <xf numFmtId="5" fontId="2" fillId="33" borderId="0" xfId="3" applyNumberFormat="1" applyFont="1" applyFill="1"/>
    <xf numFmtId="0" fontId="2" fillId="0" borderId="87" xfId="0" applyFont="1" applyBorder="1"/>
    <xf numFmtId="0" fontId="2" fillId="0" borderId="2" xfId="0" applyFont="1" applyBorder="1"/>
    <xf numFmtId="0" fontId="2" fillId="0" borderId="88" xfId="0" applyFont="1" applyBorder="1" applyAlignment="1">
      <alignment horizontal="center" vertical="center" wrapText="1" shrinkToFit="1"/>
    </xf>
    <xf numFmtId="0" fontId="2" fillId="0" borderId="89" xfId="0" applyFont="1" applyBorder="1" applyAlignment="1">
      <alignment horizontal="center" vertical="center" wrapText="1" shrinkToFit="1"/>
    </xf>
    <xf numFmtId="168" fontId="57" fillId="0" borderId="148" xfId="0" applyNumberFormat="1" applyFont="1" applyBorder="1" applyAlignment="1">
      <alignment horizontal="center" vertical="center" wrapText="1"/>
    </xf>
    <xf numFmtId="0" fontId="26" fillId="0" borderId="148" xfId="0" applyFont="1" applyBorder="1"/>
    <xf numFmtId="0" fontId="2" fillId="0" borderId="93" xfId="0" applyFont="1" applyBorder="1" applyAlignment="1">
      <alignment horizontal="center" vertical="center" wrapText="1" shrinkToFit="1"/>
    </xf>
    <xf numFmtId="0" fontId="23" fillId="0" borderId="20" xfId="0" applyFont="1" applyBorder="1" applyAlignment="1">
      <alignment horizontal="center" wrapText="1"/>
    </xf>
    <xf numFmtId="0" fontId="2" fillId="13" borderId="0" xfId="0" applyFont="1" applyFill="1"/>
    <xf numFmtId="0" fontId="2" fillId="14" borderId="0" xfId="0" applyFont="1" applyFill="1"/>
    <xf numFmtId="0" fontId="2" fillId="12" borderId="0" xfId="0" applyFont="1" applyFill="1"/>
    <xf numFmtId="0" fontId="0" fillId="0" borderId="129" xfId="0" applyBorder="1" applyAlignment="1">
      <alignment horizontal="center"/>
    </xf>
    <xf numFmtId="0" fontId="2" fillId="16" borderId="0" xfId="0" applyFont="1" applyFill="1" applyAlignment="1">
      <alignment horizontal="left"/>
    </xf>
    <xf numFmtId="0" fontId="2" fillId="0" borderId="15" xfId="0" applyFont="1" applyBorder="1"/>
    <xf numFmtId="0" fontId="2" fillId="0" borderId="15" xfId="0" applyFont="1" applyBorder="1" applyAlignment="1">
      <alignment vertical="center"/>
    </xf>
    <xf numFmtId="0" fontId="2" fillId="16" borderId="0" xfId="0" applyFont="1" applyFill="1" applyAlignment="1">
      <alignment horizontal="left" vertical="center"/>
    </xf>
    <xf numFmtId="0" fontId="2" fillId="0" borderId="26" xfId="0" applyFont="1" applyBorder="1" applyAlignment="1">
      <alignment horizontal="left" vertical="center" wrapText="1"/>
    </xf>
    <xf numFmtId="0" fontId="2" fillId="0" borderId="23" xfId="0" applyFont="1" applyBorder="1" applyAlignment="1">
      <alignment vertical="center"/>
    </xf>
    <xf numFmtId="0" fontId="2" fillId="0" borderId="0" xfId="0" applyFont="1" applyAlignment="1" applyProtection="1">
      <alignment horizontal="center" vertical="center"/>
      <protection hidden="1"/>
    </xf>
    <xf numFmtId="0" fontId="17" fillId="9" borderId="129" xfId="0" applyFont="1" applyFill="1" applyBorder="1" applyAlignment="1" applyProtection="1">
      <alignment horizontal="center" vertical="center" shrinkToFit="1"/>
      <protection locked="0" hidden="1"/>
    </xf>
    <xf numFmtId="0" fontId="17" fillId="19" borderId="129" xfId="0" applyFont="1" applyFill="1" applyBorder="1" applyAlignment="1" applyProtection="1">
      <alignment horizontal="center" vertical="center"/>
      <protection hidden="1"/>
    </xf>
    <xf numFmtId="0" fontId="2" fillId="0" borderId="24" xfId="0" applyFont="1" applyBorder="1" applyAlignment="1">
      <alignment vertical="center"/>
    </xf>
    <xf numFmtId="0" fontId="2" fillId="0" borderId="26" xfId="0" applyFont="1" applyBorder="1" applyAlignment="1">
      <alignment horizontal="left" vertical="center"/>
    </xf>
    <xf numFmtId="0" fontId="2" fillId="0" borderId="26" xfId="0" applyFont="1" applyBorder="1" applyAlignment="1">
      <alignment vertical="center"/>
    </xf>
    <xf numFmtId="0" fontId="2" fillId="0" borderId="18" xfId="0" applyFont="1" applyBorder="1"/>
    <xf numFmtId="0" fontId="2" fillId="0" borderId="16" xfId="0" applyFont="1" applyBorder="1"/>
    <xf numFmtId="0" fontId="2" fillId="0" borderId="17" xfId="0" applyFont="1" applyBorder="1"/>
    <xf numFmtId="0" fontId="2" fillId="2" borderId="0" xfId="0" applyFont="1" applyFill="1"/>
    <xf numFmtId="0" fontId="2" fillId="0" borderId="29" xfId="0" applyFont="1" applyBorder="1"/>
    <xf numFmtId="0" fontId="2" fillId="16" borderId="0" xfId="0" applyFont="1" applyFill="1" applyAlignment="1">
      <alignment vertical="center"/>
    </xf>
    <xf numFmtId="0" fontId="2" fillId="0" borderId="18" xfId="0" applyFont="1" applyBorder="1" applyAlignment="1">
      <alignment vertical="center"/>
    </xf>
    <xf numFmtId="0" fontId="2" fillId="2" borderId="0" xfId="0" applyFont="1" applyFill="1" applyAlignment="1">
      <alignment vertical="center"/>
    </xf>
    <xf numFmtId="0" fontId="2" fillId="0" borderId="129" xfId="0" applyFont="1" applyBorder="1" applyAlignment="1">
      <alignment horizontal="center" vertical="center" wrapText="1"/>
    </xf>
    <xf numFmtId="0" fontId="0" fillId="0" borderId="129" xfId="0" applyBorder="1" applyAlignment="1">
      <alignment horizontal="center" vertical="center"/>
    </xf>
    <xf numFmtId="0" fontId="103" fillId="0" borderId="0" xfId="12" applyFont="1" applyAlignment="1">
      <alignment horizontal="left" vertical="center" wrapText="1"/>
    </xf>
    <xf numFmtId="0" fontId="28" fillId="0" borderId="79" xfId="4" applyFont="1" applyFill="1" applyBorder="1" applyAlignment="1" applyProtection="1">
      <alignment horizontal="right" vertical="center" wrapText="1"/>
    </xf>
    <xf numFmtId="0" fontId="28" fillId="0" borderId="0" xfId="4" applyFont="1" applyFill="1" applyBorder="1" applyAlignment="1" applyProtection="1">
      <alignment horizontal="right" vertical="center" wrapText="1"/>
    </xf>
    <xf numFmtId="1" fontId="2" fillId="9" borderId="106" xfId="0" applyNumberFormat="1" applyFont="1" applyFill="1" applyBorder="1" applyAlignment="1" applyProtection="1">
      <alignment horizontal="left" vertical="center"/>
      <protection locked="0"/>
    </xf>
    <xf numFmtId="1" fontId="2" fillId="9" borderId="107" xfId="0" applyNumberFormat="1" applyFont="1" applyFill="1" applyBorder="1" applyAlignment="1" applyProtection="1">
      <alignment horizontal="left" vertical="center"/>
      <protection locked="0"/>
    </xf>
    <xf numFmtId="1" fontId="2" fillId="9" borderId="99" xfId="0" applyNumberFormat="1" applyFont="1" applyFill="1" applyBorder="1" applyAlignment="1" applyProtection="1">
      <alignment horizontal="left" vertical="center"/>
      <protection locked="0"/>
    </xf>
    <xf numFmtId="1" fontId="2" fillId="9" borderId="139" xfId="0" applyNumberFormat="1" applyFont="1" applyFill="1" applyBorder="1" applyAlignment="1" applyProtection="1">
      <alignment horizontal="left" vertical="center"/>
      <protection locked="0"/>
    </xf>
    <xf numFmtId="0" fontId="2" fillId="9" borderId="99" xfId="0" applyFont="1" applyFill="1" applyBorder="1" applyAlignment="1" applyProtection="1">
      <alignment horizontal="left" vertical="center"/>
      <protection locked="0"/>
    </xf>
    <xf numFmtId="0" fontId="2" fillId="9" borderId="106" xfId="0" applyFont="1" applyFill="1" applyBorder="1" applyAlignment="1" applyProtection="1">
      <alignment horizontal="left" vertical="center"/>
      <protection locked="0"/>
    </xf>
    <xf numFmtId="0" fontId="2" fillId="9" borderId="107" xfId="0" applyFont="1" applyFill="1" applyBorder="1" applyAlignment="1" applyProtection="1">
      <alignment horizontal="left" vertical="center"/>
      <protection locked="0"/>
    </xf>
    <xf numFmtId="0" fontId="95" fillId="0" borderId="0" xfId="0" applyFont="1" applyProtection="1">
      <protection locked="0"/>
    </xf>
    <xf numFmtId="0" fontId="2" fillId="9" borderId="145" xfId="0" applyFont="1" applyFill="1" applyBorder="1" applyAlignment="1" applyProtection="1">
      <alignment horizontal="left" vertical="center"/>
      <protection locked="0"/>
    </xf>
    <xf numFmtId="0" fontId="2" fillId="9" borderId="146" xfId="0" applyFont="1" applyFill="1" applyBorder="1" applyAlignment="1" applyProtection="1">
      <alignment horizontal="left" vertical="center"/>
      <protection locked="0"/>
    </xf>
    <xf numFmtId="0" fontId="2" fillId="9" borderId="147" xfId="0" applyFont="1" applyFill="1" applyBorder="1" applyAlignment="1" applyProtection="1">
      <alignment horizontal="left" vertical="center"/>
      <protection locked="0"/>
    </xf>
    <xf numFmtId="0" fontId="2" fillId="9" borderId="126" xfId="0" applyFont="1" applyFill="1" applyBorder="1" applyAlignment="1" applyProtection="1">
      <alignment horizontal="left" vertical="center" shrinkToFit="1"/>
      <protection locked="0"/>
    </xf>
    <xf numFmtId="0" fontId="2" fillId="9" borderId="127" xfId="0" applyFont="1" applyFill="1" applyBorder="1" applyAlignment="1" applyProtection="1">
      <alignment horizontal="left" vertical="center" shrinkToFit="1"/>
      <protection locked="0"/>
    </xf>
    <xf numFmtId="0" fontId="2" fillId="9" borderId="128" xfId="0" applyFont="1" applyFill="1" applyBorder="1" applyAlignment="1" applyProtection="1">
      <alignment horizontal="left" vertical="center" shrinkToFit="1"/>
      <protection locked="0"/>
    </xf>
    <xf numFmtId="176" fontId="2" fillId="9" borderId="99" xfId="0" applyNumberFormat="1" applyFont="1" applyFill="1" applyBorder="1" applyAlignment="1" applyProtection="1">
      <alignment horizontal="left" vertical="center"/>
      <protection locked="0"/>
    </xf>
    <xf numFmtId="176" fontId="2" fillId="9" borderId="106" xfId="0" applyNumberFormat="1" applyFont="1" applyFill="1" applyBorder="1" applyAlignment="1" applyProtection="1">
      <alignment horizontal="left" vertical="center"/>
      <protection locked="0"/>
    </xf>
    <xf numFmtId="176" fontId="2" fillId="9" borderId="107" xfId="0" applyNumberFormat="1" applyFont="1" applyFill="1" applyBorder="1" applyAlignment="1" applyProtection="1">
      <alignment horizontal="left" vertical="center"/>
      <protection locked="0"/>
    </xf>
    <xf numFmtId="0" fontId="2" fillId="9" borderId="142" xfId="0" applyFont="1" applyFill="1" applyBorder="1" applyAlignment="1" applyProtection="1">
      <alignment horizontal="left" vertical="center" wrapText="1"/>
      <protection locked="0"/>
    </xf>
    <xf numFmtId="0" fontId="2" fillId="9" borderId="143" xfId="0" applyFont="1" applyFill="1" applyBorder="1" applyAlignment="1" applyProtection="1">
      <alignment horizontal="left" vertical="center" wrapText="1"/>
      <protection locked="0"/>
    </xf>
    <xf numFmtId="0" fontId="2" fillId="9" borderId="144" xfId="0" applyFont="1" applyFill="1" applyBorder="1" applyAlignment="1" applyProtection="1">
      <alignment horizontal="left" vertical="center" wrapText="1"/>
      <protection locked="0"/>
    </xf>
    <xf numFmtId="176" fontId="2" fillId="9" borderId="111" xfId="0" applyNumberFormat="1" applyFont="1" applyFill="1" applyBorder="1" applyAlignment="1" applyProtection="1">
      <alignment horizontal="left" vertical="center"/>
      <protection locked="0"/>
    </xf>
    <xf numFmtId="176" fontId="2" fillId="9" borderId="78" xfId="0" applyNumberFormat="1" applyFont="1" applyFill="1" applyBorder="1" applyAlignment="1" applyProtection="1">
      <alignment horizontal="left" vertical="center"/>
      <protection locked="0"/>
    </xf>
    <xf numFmtId="176" fontId="2" fillId="9" borderId="132" xfId="0" applyNumberFormat="1" applyFont="1" applyFill="1" applyBorder="1" applyAlignment="1" applyProtection="1">
      <alignment horizontal="left" vertical="center"/>
      <protection locked="0"/>
    </xf>
    <xf numFmtId="0" fontId="45" fillId="22" borderId="108" xfId="0" quotePrefix="1" applyFont="1" applyFill="1" applyBorder="1" applyAlignment="1">
      <alignment horizontal="center" vertical="top" wrapText="1"/>
    </xf>
    <xf numFmtId="0" fontId="45" fillId="22" borderId="109" xfId="0" quotePrefix="1" applyFont="1" applyFill="1" applyBorder="1" applyAlignment="1">
      <alignment horizontal="center" vertical="top" wrapText="1"/>
    </xf>
    <xf numFmtId="0" fontId="45" fillId="22" borderId="109" xfId="0" applyFont="1" applyFill="1" applyBorder="1" applyAlignment="1">
      <alignment horizontal="center" vertical="top" wrapText="1"/>
    </xf>
    <xf numFmtId="0" fontId="45" fillId="22" borderId="110" xfId="0" applyFont="1" applyFill="1" applyBorder="1" applyAlignment="1">
      <alignment horizontal="center" vertical="top" wrapText="1"/>
    </xf>
    <xf numFmtId="0" fontId="23" fillId="0" borderId="0" xfId="0" applyFont="1" applyAlignment="1">
      <alignment horizontal="center" vertical="center"/>
    </xf>
    <xf numFmtId="0" fontId="2" fillId="9" borderId="99" xfId="4" applyFont="1" applyFill="1" applyBorder="1" applyAlignment="1" applyProtection="1">
      <alignment horizontal="left" vertical="center"/>
      <protection locked="0"/>
    </xf>
    <xf numFmtId="0" fontId="2" fillId="9" borderId="106" xfId="4" applyFont="1" applyFill="1" applyBorder="1" applyAlignment="1" applyProtection="1">
      <alignment horizontal="left" vertical="center"/>
      <protection locked="0"/>
    </xf>
    <xf numFmtId="0" fontId="2" fillId="9" borderId="107"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4" fillId="0" borderId="0" xfId="0" applyFont="1" applyAlignment="1">
      <alignment horizontal="center" wrapText="1"/>
    </xf>
    <xf numFmtId="0" fontId="24" fillId="0" borderId="80" xfId="0" applyFont="1" applyBorder="1" applyAlignment="1">
      <alignment horizontal="center" wrapText="1"/>
    </xf>
    <xf numFmtId="0" fontId="2" fillId="0" borderId="79" xfId="0" applyFont="1" applyBorder="1" applyAlignment="1">
      <alignment horizontal="center" vertical="center" wrapText="1"/>
    </xf>
    <xf numFmtId="0" fontId="2" fillId="0" borderId="0" xfId="0" applyFont="1" applyAlignment="1">
      <alignment horizontal="center" vertical="center" wrapText="1"/>
    </xf>
    <xf numFmtId="0" fontId="2" fillId="0" borderId="80" xfId="0" applyFont="1" applyBorder="1" applyAlignment="1">
      <alignment horizontal="center" vertical="center" wrapText="1"/>
    </xf>
    <xf numFmtId="0" fontId="28" fillId="0" borderId="79" xfId="4" applyFont="1" applyFill="1" applyBorder="1" applyAlignment="1" applyProtection="1">
      <alignment horizontal="right" vertical="center"/>
    </xf>
    <xf numFmtId="0" fontId="28" fillId="0" borderId="0" xfId="4" applyFont="1" applyFill="1" applyBorder="1" applyAlignment="1" applyProtection="1">
      <alignment horizontal="right" vertical="center"/>
    </xf>
    <xf numFmtId="0" fontId="109" fillId="0" borderId="0" xfId="4" applyFont="1" applyFill="1" applyBorder="1" applyAlignment="1" applyProtection="1">
      <alignment horizontal="left" vertical="center"/>
    </xf>
    <xf numFmtId="0" fontId="103" fillId="0" borderId="0" xfId="12" applyFont="1" applyAlignment="1">
      <alignment horizontal="right" vertical="center" wrapText="1" indent="1"/>
    </xf>
    <xf numFmtId="0" fontId="2" fillId="9" borderId="99" xfId="13" applyFont="1" applyFill="1" applyBorder="1" applyAlignment="1" applyProtection="1">
      <alignment horizontal="center" vertical="center" wrapText="1"/>
      <protection locked="0"/>
    </xf>
    <xf numFmtId="0" fontId="2" fillId="9" borderId="106" xfId="13" applyFont="1" applyFill="1" applyBorder="1" applyAlignment="1" applyProtection="1">
      <alignment horizontal="center" vertical="center" wrapText="1"/>
      <protection locked="0"/>
    </xf>
    <xf numFmtId="0" fontId="2" fillId="9" borderId="107" xfId="13" applyFont="1" applyFill="1" applyBorder="1" applyAlignment="1" applyProtection="1">
      <alignment horizontal="center" vertical="center" wrapText="1"/>
      <protection locked="0"/>
    </xf>
    <xf numFmtId="0" fontId="103" fillId="0" borderId="0" xfId="12" applyFont="1" applyAlignment="1">
      <alignment horizontal="center" vertical="center"/>
    </xf>
    <xf numFmtId="0" fontId="2" fillId="0" borderId="0" xfId="12" applyFont="1" applyAlignment="1">
      <alignment horizontal="center"/>
    </xf>
    <xf numFmtId="10" fontId="2" fillId="9" borderId="137" xfId="14" applyNumberFormat="1" applyFont="1" applyFill="1" applyBorder="1" applyAlignment="1" applyProtection="1">
      <alignment horizontal="center" vertical="center"/>
    </xf>
    <xf numFmtId="0" fontId="103" fillId="9" borderId="126" xfId="12" applyFont="1" applyFill="1" applyBorder="1" applyAlignment="1">
      <alignment horizontal="center"/>
    </xf>
    <xf numFmtId="0" fontId="103" fillId="9" borderId="127" xfId="12" applyFont="1" applyFill="1" applyBorder="1" applyAlignment="1">
      <alignment horizontal="center"/>
    </xf>
    <xf numFmtId="0" fontId="103" fillId="9" borderId="128" xfId="12" applyFont="1" applyFill="1" applyBorder="1" applyAlignment="1">
      <alignment horizontal="center"/>
    </xf>
    <xf numFmtId="0" fontId="17" fillId="19" borderId="0" xfId="12" applyFont="1" applyFill="1" applyAlignment="1">
      <alignment horizontal="center" vertical="center"/>
    </xf>
    <xf numFmtId="0" fontId="103" fillId="0" borderId="0" xfId="15" applyFont="1" applyAlignment="1">
      <alignment horizontal="right" vertical="center" wrapText="1" indent="1"/>
    </xf>
    <xf numFmtId="10" fontId="2" fillId="0" borderId="155" xfId="12" applyNumberFormat="1" applyFont="1" applyBorder="1" applyAlignment="1">
      <alignment horizontal="center"/>
    </xf>
    <xf numFmtId="10" fontId="2" fillId="0" borderId="156" xfId="12" applyNumberFormat="1" applyFont="1" applyBorder="1" applyAlignment="1">
      <alignment horizontal="center"/>
    </xf>
    <xf numFmtId="10" fontId="2" fillId="0" borderId="157" xfId="12" applyNumberFormat="1" applyFont="1" applyBorder="1" applyAlignment="1">
      <alignment horizontal="center"/>
    </xf>
    <xf numFmtId="49" fontId="2" fillId="9" borderId="152" xfId="0" applyNumberFormat="1" applyFont="1" applyFill="1" applyBorder="1" applyAlignment="1" applyProtection="1">
      <alignment horizontal="left" vertical="center"/>
      <protection locked="0"/>
    </xf>
    <xf numFmtId="49" fontId="2" fillId="9" borderId="130" xfId="0" applyNumberFormat="1" applyFont="1" applyFill="1" applyBorder="1" applyAlignment="1" applyProtection="1">
      <alignment horizontal="left" vertical="center"/>
      <protection locked="0"/>
    </xf>
    <xf numFmtId="49" fontId="2" fillId="9" borderId="153"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99" xfId="0" applyNumberFormat="1" applyFont="1" applyFill="1" applyBorder="1" applyAlignment="1" applyProtection="1">
      <alignment horizontal="left" vertical="center"/>
      <protection locked="0"/>
    </xf>
    <xf numFmtId="49" fontId="2" fillId="9" borderId="106" xfId="0" applyNumberFormat="1" applyFont="1" applyFill="1" applyBorder="1" applyAlignment="1" applyProtection="1">
      <alignment horizontal="left" vertical="center"/>
      <protection locked="0"/>
    </xf>
    <xf numFmtId="49" fontId="2" fillId="9" borderId="139" xfId="0" applyNumberFormat="1" applyFont="1" applyFill="1" applyBorder="1" applyAlignment="1" applyProtection="1">
      <alignment horizontal="left" vertical="center"/>
      <protection locked="0"/>
    </xf>
    <xf numFmtId="0" fontId="2" fillId="0" borderId="154" xfId="0" applyFont="1" applyBorder="1" applyAlignment="1" applyProtection="1">
      <alignment horizontal="center"/>
      <protection locked="0"/>
    </xf>
    <xf numFmtId="0" fontId="2" fillId="0" borderId="130" xfId="0" applyFont="1" applyBorder="1" applyAlignment="1" applyProtection="1">
      <alignment horizontal="center"/>
      <protection locked="0"/>
    </xf>
    <xf numFmtId="0" fontId="2" fillId="9" borderId="137" xfId="11" quotePrefix="1" applyNumberFormat="1" applyFont="1" applyFill="1" applyBorder="1" applyAlignment="1" applyProtection="1">
      <alignment horizontal="center" vertical="center"/>
    </xf>
    <xf numFmtId="0" fontId="2" fillId="9" borderId="137" xfId="11" applyNumberFormat="1" applyFont="1" applyFill="1" applyBorder="1" applyAlignment="1" applyProtection="1">
      <alignment horizontal="center" vertical="center"/>
    </xf>
    <xf numFmtId="49" fontId="2" fillId="9" borderId="107" xfId="0" applyNumberFormat="1" applyFont="1" applyFill="1" applyBorder="1" applyAlignment="1" applyProtection="1">
      <alignment horizontal="left" vertical="center"/>
      <protection locked="0"/>
    </xf>
    <xf numFmtId="0" fontId="103" fillId="0" borderId="0" xfId="12" applyFont="1" applyAlignment="1">
      <alignment horizontal="center" vertical="center" wrapText="1"/>
    </xf>
    <xf numFmtId="173" fontId="2" fillId="9" borderId="151" xfId="1" applyNumberFormat="1" applyFont="1" applyFill="1" applyBorder="1" applyAlignment="1" applyProtection="1">
      <alignment horizontal="left" vertical="center"/>
      <protection locked="0"/>
    </xf>
    <xf numFmtId="173" fontId="2" fillId="9" borderId="106" xfId="1" applyNumberFormat="1" applyFont="1" applyFill="1" applyBorder="1" applyAlignment="1" applyProtection="1">
      <alignment horizontal="left" vertical="center"/>
      <protection locked="0"/>
    </xf>
    <xf numFmtId="173" fontId="2" fillId="9" borderId="107" xfId="1" applyNumberFormat="1" applyFont="1" applyFill="1" applyBorder="1" applyAlignment="1" applyProtection="1">
      <alignment horizontal="left" vertical="center"/>
      <protection locked="0"/>
    </xf>
    <xf numFmtId="0" fontId="2" fillId="0" borderId="0" xfId="0" applyFont="1" applyAlignment="1">
      <alignment horizontal="center" wrapText="1"/>
    </xf>
    <xf numFmtId="0" fontId="15" fillId="22" borderId="108" xfId="0" applyFont="1" applyFill="1" applyBorder="1" applyAlignment="1">
      <alignment horizontal="center" vertical="center" wrapText="1"/>
    </xf>
    <xf numFmtId="0" fontId="15" fillId="22" borderId="109" xfId="0" applyFont="1" applyFill="1" applyBorder="1" applyAlignment="1">
      <alignment horizontal="center" vertical="center" wrapText="1"/>
    </xf>
    <xf numFmtId="0" fontId="15" fillId="22" borderId="110" xfId="0" applyFont="1" applyFill="1" applyBorder="1" applyAlignment="1">
      <alignment horizontal="center" vertical="center" wrapText="1"/>
    </xf>
    <xf numFmtId="0" fontId="2" fillId="0" borderId="0" xfId="0" applyFont="1"/>
    <xf numFmtId="168" fontId="95" fillId="0" borderId="0" xfId="0" applyNumberFormat="1" applyFont="1" applyAlignment="1" applyProtection="1">
      <alignment horizontal="left"/>
      <protection locked="0"/>
    </xf>
    <xf numFmtId="0" fontId="17" fillId="0" borderId="99" xfId="0" applyFont="1" applyBorder="1" applyAlignment="1" applyProtection="1">
      <alignment horizontal="left"/>
      <protection hidden="1"/>
    </xf>
    <xf numFmtId="0" fontId="17" fillId="0" borderId="106" xfId="0" applyFont="1" applyBorder="1" applyAlignment="1" applyProtection="1">
      <alignment horizontal="left"/>
      <protection hidden="1"/>
    </xf>
    <xf numFmtId="0" fontId="17" fillId="0" borderId="78" xfId="0" applyFont="1" applyBorder="1" applyAlignment="1" applyProtection="1">
      <alignment horizontal="left"/>
      <protection hidden="1"/>
    </xf>
    <xf numFmtId="0" fontId="17" fillId="0" borderId="132" xfId="0" applyFont="1" applyBorder="1" applyAlignment="1" applyProtection="1">
      <alignment horizontal="left"/>
      <protection hidden="1"/>
    </xf>
    <xf numFmtId="168" fontId="95" fillId="0" borderId="0" xfId="0" applyNumberFormat="1" applyFont="1" applyProtection="1">
      <protection locked="0"/>
    </xf>
    <xf numFmtId="0" fontId="21" fillId="0" borderId="0" xfId="0" applyFont="1" applyAlignment="1" applyProtection="1">
      <alignment horizontal="center" vertical="center"/>
      <protection hidden="1"/>
    </xf>
    <xf numFmtId="0" fontId="74" fillId="0" borderId="80" xfId="0" applyFont="1" applyBorder="1" applyAlignment="1">
      <alignment horizontal="center" textRotation="90"/>
    </xf>
    <xf numFmtId="0" fontId="17" fillId="0" borderId="126" xfId="0" applyFont="1" applyBorder="1" applyAlignment="1" applyProtection="1">
      <alignment horizontal="center"/>
      <protection hidden="1"/>
    </xf>
    <xf numFmtId="0" fontId="17" fillId="0" borderId="127" xfId="0" applyFont="1" applyBorder="1" applyAlignment="1" applyProtection="1">
      <alignment horizontal="center"/>
      <protection hidden="1"/>
    </xf>
    <xf numFmtId="0" fontId="17" fillId="0" borderId="133" xfId="0" applyFont="1" applyBorder="1" applyAlignment="1" applyProtection="1">
      <alignment horizontal="center"/>
      <protection hidden="1"/>
    </xf>
    <xf numFmtId="0" fontId="26" fillId="0" borderId="0" xfId="4" applyFont="1" applyFill="1" applyBorder="1" applyAlignment="1" applyProtection="1">
      <alignment horizontal="center"/>
    </xf>
    <xf numFmtId="0" fontId="17" fillId="0" borderId="134" xfId="0" applyFont="1" applyBorder="1" applyAlignment="1" applyProtection="1">
      <alignment horizontal="center"/>
      <protection hidden="1"/>
    </xf>
    <xf numFmtId="0" fontId="17" fillId="0" borderId="128" xfId="0" applyFont="1" applyBorder="1" applyAlignment="1" applyProtection="1">
      <alignment horizontal="center"/>
      <protection hidden="1"/>
    </xf>
    <xf numFmtId="0" fontId="17" fillId="0" borderId="142" xfId="0" applyFont="1" applyBorder="1" applyAlignment="1" applyProtection="1">
      <alignment horizontal="center"/>
      <protection hidden="1"/>
    </xf>
    <xf numFmtId="0" fontId="17" fillId="0" borderId="143" xfId="0" applyFont="1" applyBorder="1" applyAlignment="1" applyProtection="1">
      <alignment horizontal="center"/>
      <protection hidden="1"/>
    </xf>
    <xf numFmtId="0" fontId="17" fillId="0" borderId="150" xfId="0" applyFont="1" applyBorder="1" applyAlignment="1" applyProtection="1">
      <alignment horizontal="center"/>
      <protection hidden="1"/>
    </xf>
    <xf numFmtId="0" fontId="98" fillId="0" borderId="0" xfId="4" applyFont="1" applyFill="1" applyBorder="1" applyAlignment="1" applyProtection="1">
      <alignment horizontal="right"/>
    </xf>
    <xf numFmtId="0" fontId="98" fillId="0" borderId="0" xfId="4" applyFont="1" applyFill="1" applyBorder="1" applyAlignment="1" applyProtection="1">
      <alignment horizontal="right" vertical="center"/>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2" fillId="0" borderId="4" xfId="0" applyNumberFormat="1" applyFont="1" applyBorder="1" applyAlignment="1" applyProtection="1">
      <alignment horizontal="center" vertical="center"/>
      <protection hidden="1"/>
    </xf>
    <xf numFmtId="1" fontId="42" fillId="0" borderId="8" xfId="0" applyNumberFormat="1" applyFont="1" applyBorder="1" applyAlignment="1" applyProtection="1">
      <alignment horizontal="center" vertical="center"/>
      <protection hidden="1"/>
    </xf>
    <xf numFmtId="1" fontId="42" fillId="0" borderId="5" xfId="0" applyNumberFormat="1" applyFont="1" applyBorder="1" applyAlignment="1" applyProtection="1">
      <alignment horizontal="center" vertical="center"/>
      <protection hidden="1"/>
    </xf>
    <xf numFmtId="166" fontId="11" fillId="9" borderId="99" xfId="0" applyNumberFormat="1" applyFont="1" applyFill="1" applyBorder="1" applyAlignment="1" applyProtection="1">
      <alignment horizontal="left" wrapText="1"/>
      <protection locked="0"/>
    </xf>
    <xf numFmtId="166" fontId="11" fillId="9" borderId="106" xfId="0" applyNumberFormat="1" applyFont="1" applyFill="1" applyBorder="1" applyAlignment="1" applyProtection="1">
      <alignment horizontal="left" wrapText="1"/>
      <protection locked="0"/>
    </xf>
    <xf numFmtId="166" fontId="11" fillId="9" borderId="139" xfId="0" applyNumberFormat="1" applyFont="1" applyFill="1" applyBorder="1" applyAlignment="1" applyProtection="1">
      <alignment horizontal="left" wrapText="1"/>
      <protection locked="0"/>
    </xf>
    <xf numFmtId="0" fontId="111" fillId="0" borderId="0" xfId="0" applyFont="1" applyAlignment="1" applyProtection="1">
      <alignment horizontal="left"/>
      <protection hidden="1"/>
    </xf>
    <xf numFmtId="166" fontId="2" fillId="9" borderId="99" xfId="0" applyNumberFormat="1" applyFont="1" applyFill="1" applyBorder="1" applyAlignment="1" applyProtection="1">
      <alignment horizontal="center"/>
      <protection locked="0"/>
    </xf>
    <xf numFmtId="166" fontId="2" fillId="9" borderId="106" xfId="0" applyNumberFormat="1" applyFont="1" applyFill="1" applyBorder="1" applyAlignment="1" applyProtection="1">
      <alignment horizontal="center"/>
      <protection locked="0"/>
    </xf>
    <xf numFmtId="166" fontId="2" fillId="9" borderId="107" xfId="0" applyNumberFormat="1" applyFont="1" applyFill="1" applyBorder="1" applyAlignment="1" applyProtection="1">
      <alignment horizontal="center"/>
      <protection locked="0"/>
    </xf>
    <xf numFmtId="0" fontId="98" fillId="0" borderId="130" xfId="4" applyFont="1" applyFill="1" applyBorder="1" applyAlignment="1" applyProtection="1">
      <alignment horizontal="left"/>
    </xf>
    <xf numFmtId="0" fontId="11" fillId="0" borderId="0" xfId="0" applyFont="1" applyAlignment="1" applyProtection="1">
      <alignment horizontal="left"/>
      <protection hidden="1"/>
    </xf>
    <xf numFmtId="0" fontId="11" fillId="0" borderId="149" xfId="0" applyFont="1" applyBorder="1" applyAlignment="1" applyProtection="1">
      <alignment horizontal="left"/>
      <protection hidden="1"/>
    </xf>
    <xf numFmtId="49" fontId="142" fillId="9" borderId="126" xfId="4" applyNumberFormat="1" applyFont="1" applyFill="1" applyBorder="1" applyAlignment="1" applyProtection="1">
      <alignment horizontal="center" vertical="center"/>
    </xf>
    <xf numFmtId="49" fontId="142" fillId="9" borderId="128" xfId="4" applyNumberFormat="1" applyFont="1" applyFill="1" applyBorder="1" applyAlignment="1" applyProtection="1">
      <alignment horizontal="center" vertical="center"/>
    </xf>
    <xf numFmtId="2" fontId="11" fillId="0" borderId="0" xfId="0" applyNumberFormat="1" applyFont="1" applyAlignment="1">
      <alignment vertical="center" wrapText="1"/>
    </xf>
    <xf numFmtId="0" fontId="96" fillId="0" borderId="0" xfId="0" applyFont="1" applyAlignment="1">
      <alignment horizontal="right" vertical="top" wrapText="1"/>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98" fillId="0" borderId="0" xfId="0" applyFont="1" applyAlignment="1">
      <alignment horizontal="right" vertical="center"/>
    </xf>
    <xf numFmtId="0" fontId="96" fillId="22" borderId="78" xfId="4" applyFont="1" applyFill="1" applyBorder="1" applyAlignment="1" applyProtection="1">
      <alignment horizontal="left" vertical="center" wrapText="1"/>
      <protection hidden="1"/>
    </xf>
    <xf numFmtId="0" fontId="96" fillId="22" borderId="0" xfId="4" applyFont="1" applyFill="1" applyAlignment="1" applyProtection="1">
      <alignment horizontal="left" vertical="center" wrapText="1"/>
      <protection hidden="1"/>
    </xf>
    <xf numFmtId="0" fontId="91" fillId="22" borderId="0" xfId="6" applyFont="1" applyFill="1" applyAlignment="1">
      <alignment horizontal="center" vertical="center"/>
    </xf>
    <xf numFmtId="0" fontId="79" fillId="0" borderId="0" xfId="6" applyFont="1" applyAlignment="1" applyProtection="1">
      <alignment horizontal="center" wrapText="1"/>
      <protection hidden="1"/>
    </xf>
    <xf numFmtId="0" fontId="13" fillId="0" borderId="0" xfId="6" applyFont="1" applyAlignment="1">
      <alignment horizontal="center" vertical="center"/>
    </xf>
    <xf numFmtId="0" fontId="110" fillId="0" borderId="0" xfId="6" applyFont="1" applyAlignment="1">
      <alignment horizontal="center" vertical="center"/>
    </xf>
    <xf numFmtId="0" fontId="61" fillId="0" borderId="8" xfId="6" applyFont="1" applyBorder="1" applyAlignment="1">
      <alignment horizontal="left" vertical="top" wrapText="1"/>
    </xf>
    <xf numFmtId="0" fontId="61" fillId="0" borderId="5" xfId="6" applyFont="1" applyBorder="1" applyAlignment="1">
      <alignment horizontal="left" vertical="top" wrapText="1"/>
    </xf>
    <xf numFmtId="0" fontId="61" fillId="0" borderId="8" xfId="6" applyFont="1" applyBorder="1" applyAlignment="1">
      <alignment vertical="center" wrapText="1"/>
    </xf>
    <xf numFmtId="0" fontId="61" fillId="0" borderId="5" xfId="6" applyFont="1" applyBorder="1" applyAlignment="1">
      <alignment vertical="center" wrapText="1"/>
    </xf>
    <xf numFmtId="0" fontId="108" fillId="0" borderId="0" xfId="6" applyFont="1" applyAlignment="1">
      <alignment horizontal="center" vertical="center"/>
    </xf>
    <xf numFmtId="49" fontId="133" fillId="9" borderId="126" xfId="4" applyNumberFormat="1" applyFont="1" applyFill="1" applyBorder="1" applyAlignment="1" applyProtection="1">
      <alignment horizontal="center" vertical="center"/>
    </xf>
    <xf numFmtId="49" fontId="133" fillId="9" borderId="128" xfId="4" applyNumberFormat="1" applyFont="1" applyFill="1" applyBorder="1" applyAlignment="1" applyProtection="1">
      <alignment horizontal="center" vertical="center"/>
    </xf>
    <xf numFmtId="0" fontId="117" fillId="22" borderId="0" xfId="0" applyFont="1" applyFill="1" applyAlignment="1" applyProtection="1">
      <alignment horizontal="center" vertical="center"/>
      <protection hidden="1"/>
    </xf>
    <xf numFmtId="1" fontId="38" fillId="19" borderId="0" xfId="10" applyNumberFormat="1" applyFont="1" applyFill="1" applyAlignment="1" applyProtection="1">
      <alignment horizontal="center" vertical="center"/>
      <protection hidden="1"/>
    </xf>
    <xf numFmtId="1" fontId="38" fillId="19" borderId="0" xfId="0" applyNumberFormat="1" applyFont="1" applyFill="1" applyAlignment="1" applyProtection="1">
      <alignment horizontal="center" vertical="center"/>
      <protection hidden="1"/>
    </xf>
    <xf numFmtId="1" fontId="27" fillId="0" borderId="0" xfId="10" applyNumberFormat="1" applyFont="1" applyAlignment="1">
      <alignment horizontal="center" vertical="center"/>
    </xf>
    <xf numFmtId="0" fontId="2" fillId="0" borderId="0" xfId="0" applyFont="1" applyAlignment="1">
      <alignment horizontal="center" vertical="top"/>
    </xf>
    <xf numFmtId="172" fontId="95" fillId="0" borderId="0" xfId="1" applyNumberFormat="1" applyFont="1" applyFill="1" applyBorder="1" applyAlignment="1" applyProtection="1">
      <alignment horizontal="center"/>
      <protection locked="0"/>
    </xf>
    <xf numFmtId="0" fontId="128" fillId="0" borderId="0" xfId="4" applyFont="1" applyFill="1" applyBorder="1" applyAlignment="1" applyProtection="1">
      <alignment horizontal="center" vertical="center"/>
    </xf>
    <xf numFmtId="0" fontId="38" fillId="0" borderId="0" xfId="0" applyFont="1" applyAlignment="1">
      <alignment horizontal="left" vertical="center"/>
    </xf>
    <xf numFmtId="0" fontId="83" fillId="0" borderId="0" xfId="0" applyFont="1" applyAlignment="1" applyProtection="1">
      <alignment horizontal="center" vertical="center"/>
      <protection hidden="1"/>
    </xf>
    <xf numFmtId="0" fontId="38" fillId="0" borderId="0" xfId="0" applyFont="1" applyAlignment="1">
      <alignment horizontal="right" vertical="center"/>
    </xf>
    <xf numFmtId="0" fontId="27" fillId="0" borderId="0" xfId="0" applyFont="1" applyAlignment="1">
      <alignment horizontal="center" vertical="center"/>
    </xf>
    <xf numFmtId="0" fontId="58" fillId="0" borderId="0" xfId="10" applyFont="1" applyAlignment="1">
      <alignment horizontal="center" vertical="center" wrapText="1"/>
    </xf>
    <xf numFmtId="40" fontId="38" fillId="19" borderId="0" xfId="10" applyNumberFormat="1" applyFont="1" applyFill="1" applyAlignment="1" applyProtection="1">
      <alignment horizontal="right" vertical="center"/>
      <protection hidden="1"/>
    </xf>
    <xf numFmtId="49" fontId="100" fillId="9" borderId="134" xfId="4" applyNumberFormat="1" applyFont="1" applyFill="1" applyBorder="1" applyAlignment="1" applyProtection="1">
      <alignment horizontal="center" vertical="center"/>
    </xf>
    <xf numFmtId="49" fontId="100" fillId="9" borderId="127" xfId="4" applyNumberFormat="1" applyFont="1" applyFill="1" applyBorder="1" applyAlignment="1" applyProtection="1">
      <alignment horizontal="center" vertical="center"/>
    </xf>
    <xf numFmtId="49" fontId="100" fillId="9" borderId="128" xfId="4" applyNumberFormat="1" applyFont="1" applyFill="1" applyBorder="1" applyAlignment="1" applyProtection="1">
      <alignment horizontal="center" vertical="center"/>
    </xf>
    <xf numFmtId="177" fontId="38" fillId="19" borderId="0" xfId="10" applyNumberFormat="1" applyFont="1" applyFill="1" applyAlignment="1" applyProtection="1">
      <alignment horizontal="right"/>
      <protection hidden="1"/>
    </xf>
    <xf numFmtId="0" fontId="128" fillId="0" borderId="0" xfId="4" applyFont="1" applyFill="1" applyBorder="1" applyAlignment="1" applyProtection="1">
      <alignment horizontal="left"/>
    </xf>
    <xf numFmtId="175" fontId="38" fillId="19" borderId="0" xfId="1" applyNumberFormat="1" applyFont="1" applyFill="1" applyBorder="1" applyAlignment="1" applyProtection="1">
      <alignment horizontal="center"/>
      <protection hidden="1"/>
    </xf>
    <xf numFmtId="0" fontId="150" fillId="0" borderId="0" xfId="0" applyFont="1" applyAlignment="1" applyProtection="1">
      <alignment horizontal="center"/>
      <protection hidden="1"/>
    </xf>
    <xf numFmtId="38" fontId="38" fillId="19" borderId="0" xfId="1" applyNumberFormat="1" applyFont="1" applyFill="1" applyAlignment="1" applyProtection="1">
      <alignment horizontal="right"/>
      <protection hidden="1"/>
    </xf>
    <xf numFmtId="178" fontId="38" fillId="19" borderId="0" xfId="10" applyNumberFormat="1" applyFont="1" applyFill="1" applyAlignment="1" applyProtection="1">
      <alignment horizontal="right"/>
      <protection hidden="1"/>
    </xf>
    <xf numFmtId="177" fontId="38" fillId="19" borderId="0" xfId="10" applyNumberFormat="1" applyFont="1" applyFill="1" applyAlignment="1" applyProtection="1">
      <alignment horizontal="right" vertical="center"/>
      <protection hidden="1"/>
    </xf>
    <xf numFmtId="0" fontId="143" fillId="0" borderId="0" xfId="0" applyFont="1" applyAlignment="1">
      <alignment horizontal="center"/>
    </xf>
    <xf numFmtId="0" fontId="144" fillId="0" borderId="0" xfId="0" applyFont="1" applyAlignment="1">
      <alignment wrapText="1"/>
    </xf>
    <xf numFmtId="0" fontId="38" fillId="0" borderId="0" xfId="0" applyFont="1" applyAlignment="1">
      <alignment horizontal="center" vertical="center" wrapText="1"/>
    </xf>
    <xf numFmtId="0" fontId="52" fillId="0" borderId="0" xfId="0" applyFont="1" applyAlignment="1">
      <alignment horizontal="center"/>
    </xf>
    <xf numFmtId="177" fontId="38" fillId="19" borderId="0" xfId="1" applyNumberFormat="1" applyFont="1" applyFill="1" applyBorder="1" applyAlignment="1" applyProtection="1">
      <alignment horizontal="right"/>
      <protection hidden="1"/>
    </xf>
    <xf numFmtId="6" fontId="38" fillId="19" borderId="0" xfId="3" applyNumberFormat="1" applyFont="1" applyFill="1" applyBorder="1" applyAlignment="1" applyProtection="1">
      <alignment horizontal="right"/>
      <protection hidden="1"/>
    </xf>
    <xf numFmtId="0" fontId="38" fillId="0" borderId="0" xfId="0" applyFont="1" applyAlignment="1">
      <alignment horizontal="center" vertical="center"/>
    </xf>
    <xf numFmtId="0" fontId="17" fillId="0" borderId="148"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48"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8" fillId="9" borderId="129"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0" fillId="9" borderId="148"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7" fillId="0" borderId="123" xfId="4" applyFont="1" applyFill="1" applyBorder="1" applyAlignment="1" applyProtection="1">
      <alignment horizontal="center" vertical="center" wrapText="1" shrinkToFit="1"/>
    </xf>
    <xf numFmtId="0" fontId="57" fillId="0" borderId="87" xfId="4" applyFont="1" applyFill="1" applyBorder="1" applyAlignment="1" applyProtection="1">
      <alignment horizontal="center" vertical="center" wrapText="1" shrinkToFit="1"/>
    </xf>
    <xf numFmtId="0" fontId="50" fillId="23" borderId="112" xfId="0" applyFont="1" applyFill="1" applyBorder="1" applyAlignment="1">
      <alignment horizontal="left" vertical="top" wrapText="1" indent="2"/>
    </xf>
    <xf numFmtId="0" fontId="50" fillId="23" borderId="103" xfId="0" applyFont="1" applyFill="1" applyBorder="1" applyAlignment="1">
      <alignment horizontal="left" vertical="top" wrapText="1" indent="2"/>
    </xf>
    <xf numFmtId="0" fontId="50" fillId="23" borderId="113" xfId="0" applyFont="1" applyFill="1" applyBorder="1" applyAlignment="1">
      <alignment horizontal="left" vertical="top" wrapText="1" indent="2"/>
    </xf>
    <xf numFmtId="0" fontId="50" fillId="23" borderId="94" xfId="0" applyFont="1" applyFill="1" applyBorder="1" applyAlignment="1">
      <alignment horizontal="left" vertical="top" wrapText="1" indent="2"/>
    </xf>
    <xf numFmtId="0" fontId="50" fillId="23" borderId="0" xfId="0" applyFont="1" applyFill="1" applyAlignment="1">
      <alignment horizontal="left" vertical="top" wrapText="1" indent="2"/>
    </xf>
    <xf numFmtId="0" fontId="50" fillId="23" borderId="114" xfId="0" applyFont="1" applyFill="1" applyBorder="1" applyAlignment="1">
      <alignment horizontal="left" vertical="top" wrapText="1" indent="2"/>
    </xf>
    <xf numFmtId="0" fontId="57" fillId="0" borderId="115" xfId="0" applyFont="1" applyBorder="1" applyAlignment="1">
      <alignment horizontal="center" vertical="center" wrapText="1"/>
    </xf>
    <xf numFmtId="0" fontId="57" fillId="0" borderId="88" xfId="0" applyFont="1" applyBorder="1" applyAlignment="1">
      <alignment horizontal="center" vertical="center" wrapText="1"/>
    </xf>
    <xf numFmtId="0" fontId="57" fillId="0" borderId="6" xfId="0" applyFont="1" applyBorder="1" applyAlignment="1">
      <alignment horizontal="center" vertical="center" wrapText="1"/>
    </xf>
    <xf numFmtId="0" fontId="57" fillId="0" borderId="148" xfId="0" applyFont="1" applyBorder="1" applyAlignment="1">
      <alignment horizontal="center" vertical="center" wrapText="1"/>
    </xf>
    <xf numFmtId="0" fontId="73" fillId="0" borderId="87" xfId="4" applyFont="1" applyFill="1" applyBorder="1" applyAlignment="1" applyProtection="1">
      <alignment horizontal="center" vertical="center" wrapText="1"/>
    </xf>
    <xf numFmtId="0" fontId="57" fillId="0" borderId="87" xfId="4" applyFont="1" applyFill="1" applyBorder="1" applyAlignment="1" applyProtection="1">
      <alignment horizontal="center" vertical="center" wrapText="1"/>
    </xf>
    <xf numFmtId="0" fontId="117" fillId="22" borderId="117" xfId="0" applyFont="1" applyFill="1" applyBorder="1" applyAlignment="1">
      <alignment horizontal="left" vertical="center"/>
    </xf>
    <xf numFmtId="0" fontId="117" fillId="22" borderId="118" xfId="0" applyFont="1" applyFill="1" applyBorder="1" applyAlignment="1">
      <alignment horizontal="left" vertical="center"/>
    </xf>
    <xf numFmtId="0" fontId="57" fillId="0" borderId="102" xfId="0" applyFont="1" applyBorder="1" applyAlignment="1">
      <alignment horizontal="center" vertical="center"/>
    </xf>
    <xf numFmtId="0" fontId="57" fillId="0" borderId="103" xfId="0" applyFont="1" applyBorder="1" applyAlignment="1">
      <alignment horizontal="center" vertical="center"/>
    </xf>
    <xf numFmtId="0" fontId="57" fillId="0" borderId="116" xfId="0" applyFont="1" applyBorder="1" applyAlignment="1">
      <alignment horizontal="center" vertical="center"/>
    </xf>
    <xf numFmtId="0" fontId="57" fillId="0" borderId="124" xfId="0" applyFont="1" applyBorder="1" applyAlignment="1">
      <alignment horizontal="center" vertical="center"/>
    </xf>
    <xf numFmtId="0" fontId="57" fillId="0" borderId="41" xfId="0" applyFont="1" applyBorder="1" applyAlignment="1">
      <alignment horizontal="center" vertical="center"/>
    </xf>
    <xf numFmtId="0" fontId="57" fillId="0" borderId="46" xfId="0" applyFont="1" applyBorder="1" applyAlignment="1">
      <alignment horizontal="center" vertical="center"/>
    </xf>
    <xf numFmtId="0" fontId="57" fillId="0" borderId="6" xfId="4" applyFont="1" applyFill="1" applyBorder="1" applyAlignment="1" applyProtection="1">
      <alignment horizontal="center" vertical="center" wrapText="1" shrinkToFit="1"/>
    </xf>
    <xf numFmtId="0" fontId="15" fillId="23" borderId="35" xfId="0" applyFont="1" applyFill="1" applyBorder="1" applyAlignment="1">
      <alignment horizontal="center" vertical="center" wrapText="1"/>
    </xf>
    <xf numFmtId="0" fontId="15" fillId="23" borderId="48" xfId="0" applyFont="1" applyFill="1" applyBorder="1" applyAlignment="1">
      <alignment horizontal="center" vertical="center" wrapText="1"/>
    </xf>
    <xf numFmtId="0" fontId="15" fillId="23" borderId="34" xfId="0" applyFont="1" applyFill="1" applyBorder="1" applyAlignment="1">
      <alignment horizontal="center" vertical="center" wrapText="1"/>
    </xf>
    <xf numFmtId="0" fontId="24" fillId="0" borderId="72" xfId="0" applyFont="1" applyBorder="1" applyAlignment="1">
      <alignment horizontal="center" vertical="center"/>
    </xf>
    <xf numFmtId="0" fontId="24" fillId="0" borderId="49" xfId="0" applyFont="1" applyBorder="1" applyAlignment="1">
      <alignment horizontal="center" vertical="center"/>
    </xf>
    <xf numFmtId="0" fontId="24" fillId="0" borderId="50" xfId="0" applyFont="1" applyBorder="1" applyAlignment="1">
      <alignment horizontal="center" vertical="center"/>
    </xf>
    <xf numFmtId="0" fontId="11" fillId="20" borderId="67" xfId="0" applyFont="1" applyFill="1" applyBorder="1" applyAlignment="1">
      <alignment horizontal="center" vertical="center" wrapText="1"/>
    </xf>
    <xf numFmtId="0" fontId="11" fillId="20" borderId="68" xfId="0" applyFont="1" applyFill="1" applyBorder="1" applyAlignment="1">
      <alignment horizontal="center" vertical="center" wrapText="1"/>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0" borderId="70"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64"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5" xfId="0" applyFont="1" applyBorder="1" applyAlignment="1">
      <alignment horizontal="center" vertical="center" wrapText="1"/>
    </xf>
    <xf numFmtId="0" fontId="17" fillId="0" borderId="59" xfId="0" applyFont="1" applyBorder="1" applyAlignment="1">
      <alignment horizontal="center" vertical="center"/>
    </xf>
    <xf numFmtId="0" fontId="17" fillId="0" borderId="60" xfId="0" applyFont="1" applyBorder="1" applyAlignment="1">
      <alignment horizontal="center" vertical="center"/>
    </xf>
    <xf numFmtId="0" fontId="17" fillId="0" borderId="61" xfId="0" applyFont="1" applyBorder="1" applyAlignment="1">
      <alignment horizontal="center" vertical="center"/>
    </xf>
    <xf numFmtId="0" fontId="17" fillId="0" borderId="65" xfId="0" applyFont="1" applyBorder="1" applyAlignment="1">
      <alignment horizontal="center" vertical="center"/>
    </xf>
    <xf numFmtId="0" fontId="11" fillId="0" borderId="56" xfId="0" applyFont="1" applyBorder="1" applyAlignment="1">
      <alignment horizontal="center" vertical="center" wrapText="1"/>
    </xf>
    <xf numFmtId="0" fontId="11" fillId="0" borderId="57"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7" xfId="0" applyFont="1" applyBorder="1" applyAlignment="1">
      <alignment horizontal="center" vertical="center" wrapText="1"/>
    </xf>
    <xf numFmtId="0" fontId="11" fillId="0" borderId="62" xfId="0" applyFont="1" applyBorder="1" applyAlignment="1">
      <alignment horizontal="center" vertical="center" wrapText="1"/>
    </xf>
    <xf numFmtId="0" fontId="11" fillId="20" borderId="64" xfId="0" applyFont="1" applyFill="1" applyBorder="1" applyAlignment="1">
      <alignment horizontal="center" vertical="center" wrapText="1"/>
    </xf>
    <xf numFmtId="0" fontId="11" fillId="20" borderId="8"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1" fillId="0" borderId="84" xfId="0" applyFont="1" applyBorder="1" applyAlignment="1" applyProtection="1">
      <alignment horizontal="left" vertical="center"/>
      <protection hidden="1"/>
    </xf>
    <xf numFmtId="0" fontId="41" fillId="0" borderId="85" xfId="0" applyFont="1" applyBorder="1" applyAlignment="1" applyProtection="1">
      <alignment horizontal="left" vertical="center"/>
      <protection hidden="1"/>
    </xf>
    <xf numFmtId="0" fontId="41" fillId="0" borderId="86" xfId="0" applyFont="1" applyBorder="1" applyAlignment="1" applyProtection="1">
      <alignment horizontal="left" vertical="center"/>
      <protection hidden="1"/>
    </xf>
    <xf numFmtId="0" fontId="22" fillId="0" borderId="53" xfId="0" applyFont="1" applyBorder="1" applyAlignment="1">
      <alignment horizontal="center" vertical="center"/>
    </xf>
    <xf numFmtId="0" fontId="22" fillId="0" borderId="54" xfId="0" applyFont="1" applyBorder="1" applyAlignment="1">
      <alignment horizontal="center" vertical="center"/>
    </xf>
    <xf numFmtId="0" fontId="22" fillId="0" borderId="55" xfId="0" applyFont="1" applyBorder="1" applyAlignment="1">
      <alignment horizontal="center" vertical="center"/>
    </xf>
    <xf numFmtId="0" fontId="11" fillId="0" borderId="58" xfId="0" applyFont="1" applyBorder="1" applyAlignment="1">
      <alignment horizontal="center" vertical="center" wrapText="1"/>
    </xf>
    <xf numFmtId="0" fontId="23" fillId="0" borderId="62" xfId="0" applyFont="1" applyBorder="1" applyAlignment="1">
      <alignment horizontal="center" vertical="center"/>
    </xf>
    <xf numFmtId="0" fontId="23" fillId="0" borderId="57" xfId="0" applyFont="1" applyBorder="1" applyAlignment="1">
      <alignment horizontal="center" vertical="center"/>
    </xf>
    <xf numFmtId="0" fontId="23" fillId="0" borderId="58" xfId="0" applyFont="1" applyBorder="1" applyAlignment="1">
      <alignment horizontal="center" vertical="center"/>
    </xf>
    <xf numFmtId="0" fontId="17" fillId="0" borderId="63" xfId="0" applyFont="1" applyBorder="1" applyAlignment="1">
      <alignment horizontal="center" vertical="center"/>
    </xf>
    <xf numFmtId="0" fontId="42" fillId="0" borderId="126" xfId="0" applyFont="1" applyBorder="1" applyAlignment="1" applyProtection="1">
      <alignment horizontal="center" vertical="center"/>
      <protection hidden="1"/>
    </xf>
    <xf numFmtId="0" fontId="42" fillId="0" borderId="135" xfId="0" applyFont="1" applyBorder="1" applyAlignment="1" applyProtection="1">
      <alignment horizontal="center" vertical="center"/>
      <protection hidden="1"/>
    </xf>
    <xf numFmtId="0" fontId="42" fillId="0" borderId="136" xfId="0" applyFont="1" applyBorder="1" applyAlignment="1" applyProtection="1">
      <alignment horizontal="center" vertical="center"/>
      <protection hidden="1"/>
    </xf>
    <xf numFmtId="0" fontId="41" fillId="0" borderId="84" xfId="0" applyFont="1" applyBorder="1" applyAlignment="1" applyProtection="1">
      <alignment horizontal="center" vertical="center"/>
      <protection hidden="1"/>
    </xf>
    <xf numFmtId="0" fontId="41" fillId="0" borderId="85" xfId="0" applyFont="1" applyBorder="1" applyAlignment="1" applyProtection="1">
      <alignment horizontal="center" vertical="center"/>
      <protection hidden="1"/>
    </xf>
    <xf numFmtId="0" fontId="41" fillId="0" borderId="86" xfId="0" applyFont="1" applyBorder="1" applyAlignment="1" applyProtection="1">
      <alignment horizontal="center" vertical="center"/>
      <protection hidden="1"/>
    </xf>
    <xf numFmtId="0" fontId="2" fillId="0" borderId="30" xfId="0" quotePrefix="1" applyFont="1" applyBorder="1" applyAlignment="1">
      <alignment horizontal="left" vertical="center" wrapText="1"/>
    </xf>
    <xf numFmtId="0" fontId="2" fillId="0" borderId="52" xfId="0" quotePrefix="1" applyFont="1" applyBorder="1" applyAlignment="1">
      <alignment horizontal="left" vertical="center" wrapText="1"/>
    </xf>
    <xf numFmtId="0" fontId="2" fillId="0" borderId="45" xfId="0" quotePrefix="1" applyFont="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0" xfId="0" applyFont="1" applyBorder="1" applyAlignment="1">
      <alignment horizontal="left" vertical="center" wrapText="1"/>
    </xf>
    <xf numFmtId="0" fontId="2" fillId="0" borderId="52" xfId="0" applyFont="1" applyBorder="1" applyAlignment="1">
      <alignment horizontal="left" vertical="center" wrapText="1"/>
    </xf>
    <xf numFmtId="0" fontId="2" fillId="0" borderId="45" xfId="0" applyFont="1" applyBorder="1" applyAlignment="1">
      <alignment horizontal="left" vertical="center" wrapText="1"/>
    </xf>
    <xf numFmtId="0" fontId="2" fillId="0" borderId="21" xfId="0" applyFont="1" applyBorder="1" applyAlignment="1">
      <alignment horizontal="left" vertical="top" wrapText="1"/>
    </xf>
    <xf numFmtId="0" fontId="2" fillId="0" borderId="25" xfId="0" applyFont="1" applyBorder="1" applyAlignment="1">
      <alignment horizontal="left" vertical="top" wrapText="1"/>
    </xf>
    <xf numFmtId="0" fontId="2" fillId="0" borderId="27" xfId="0" applyFont="1" applyBorder="1" applyAlignment="1">
      <alignment horizontal="left" vertical="top" wrapText="1"/>
    </xf>
    <xf numFmtId="0" fontId="2" fillId="0" borderId="24" xfId="0" applyFont="1" applyBorder="1" applyAlignment="1">
      <alignment horizontal="left" vertical="top" wrapText="1"/>
    </xf>
    <xf numFmtId="0" fontId="2" fillId="0" borderId="26" xfId="0" applyFont="1" applyBorder="1" applyAlignment="1">
      <alignment horizontal="left" vertical="top" wrapText="1"/>
    </xf>
    <xf numFmtId="0" fontId="2" fillId="0" borderId="29" xfId="0" applyFont="1" applyBorder="1" applyAlignment="1">
      <alignment horizontal="left" vertical="top" wrapText="1"/>
    </xf>
    <xf numFmtId="0" fontId="17" fillId="0" borderId="12" xfId="0" applyFont="1" applyBorder="1" applyAlignment="1">
      <alignment horizontal="center" vertical="center" wrapText="1"/>
    </xf>
    <xf numFmtId="0" fontId="17" fillId="0" borderId="33" xfId="0" applyFont="1" applyBorder="1" applyAlignment="1">
      <alignment horizontal="center" vertical="center" wrapText="1"/>
    </xf>
    <xf numFmtId="0" fontId="2" fillId="0" borderId="21" xfId="0" applyFont="1" applyBorder="1" applyAlignment="1">
      <alignment horizontal="left" vertical="center" wrapText="1"/>
    </xf>
    <xf numFmtId="0" fontId="2" fillId="0" borderId="25" xfId="0" applyFont="1" applyBorder="1" applyAlignment="1">
      <alignment horizontal="left" vertical="center" wrapText="1"/>
    </xf>
    <xf numFmtId="0" fontId="2" fillId="0" borderId="27" xfId="0" applyFont="1" applyBorder="1" applyAlignment="1">
      <alignment horizontal="left" vertical="center" wrapText="1"/>
    </xf>
    <xf numFmtId="0" fontId="2" fillId="0" borderId="24" xfId="0" applyFont="1" applyBorder="1" applyAlignment="1">
      <alignment horizontal="left" vertical="center" wrapText="1"/>
    </xf>
    <xf numFmtId="0" fontId="2" fillId="0" borderId="26" xfId="0" applyFont="1" applyBorder="1" applyAlignment="1">
      <alignment horizontal="left" vertical="center" wrapText="1"/>
    </xf>
    <xf numFmtId="0" fontId="2" fillId="0" borderId="29" xfId="0" applyFont="1" applyBorder="1" applyAlignment="1">
      <alignment horizontal="left" vertical="center" wrapText="1"/>
    </xf>
    <xf numFmtId="0" fontId="2" fillId="0" borderId="0" xfId="0" applyFont="1" applyAlignment="1" applyProtection="1">
      <alignment horizontal="center" vertical="center"/>
      <protection hidden="1"/>
    </xf>
    <xf numFmtId="0" fontId="17" fillId="0" borderId="31" xfId="0" applyFont="1" applyBorder="1" applyAlignment="1">
      <alignment horizontal="center" vertical="center" wrapText="1"/>
    </xf>
    <xf numFmtId="0" fontId="17" fillId="0" borderId="14" xfId="0" applyFont="1" applyBorder="1" applyAlignment="1" applyProtection="1">
      <alignment horizontal="center" vertical="center"/>
      <protection hidden="1"/>
    </xf>
    <xf numFmtId="0" fontId="17" fillId="0" borderId="12" xfId="0" applyFont="1" applyBorder="1" applyAlignment="1">
      <alignment horizontal="center" vertical="top" wrapText="1"/>
    </xf>
    <xf numFmtId="0" fontId="17" fillId="0" borderId="33" xfId="0" applyFont="1" applyBorder="1" applyAlignment="1">
      <alignment horizontal="center" vertical="top" wrapText="1"/>
    </xf>
    <xf numFmtId="0" fontId="15" fillId="23" borderId="18"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5" xfId="0" applyFont="1" applyFill="1" applyBorder="1" applyAlignment="1">
      <alignment horizontal="center" vertical="center" wrapText="1"/>
    </xf>
    <xf numFmtId="0" fontId="17" fillId="0" borderId="30" xfId="0" applyFont="1" applyBorder="1" applyAlignment="1">
      <alignment horizontal="center" wrapText="1"/>
    </xf>
    <xf numFmtId="0" fontId="17" fillId="0" borderId="52" xfId="0" applyFont="1" applyBorder="1" applyAlignment="1">
      <alignment horizontal="center" wrapText="1"/>
    </xf>
    <xf numFmtId="0" fontId="17" fillId="0" borderId="45" xfId="0" applyFont="1" applyBorder="1" applyAlignment="1">
      <alignment horizontal="center" wrapText="1"/>
    </xf>
    <xf numFmtId="0" fontId="2" fillId="0" borderId="52" xfId="0" applyFont="1" applyBorder="1" applyAlignment="1">
      <alignment horizontal="left" vertical="center"/>
    </xf>
    <xf numFmtId="0" fontId="2" fillId="0" borderId="45" xfId="0" applyFont="1" applyBorder="1" applyAlignment="1">
      <alignment horizontal="left" vertical="center"/>
    </xf>
    <xf numFmtId="0" fontId="15" fillId="23" borderId="112" xfId="0" applyFont="1" applyFill="1" applyBorder="1" applyAlignment="1">
      <alignment horizontal="center" vertical="center" wrapText="1"/>
    </xf>
    <xf numFmtId="0" fontId="15" fillId="23" borderId="103" xfId="0" applyFont="1" applyFill="1" applyBorder="1" applyAlignment="1">
      <alignment horizontal="center" vertical="center" wrapText="1"/>
    </xf>
    <xf numFmtId="0" fontId="15" fillId="23" borderId="113" xfId="0" applyFont="1" applyFill="1" applyBorder="1" applyAlignment="1">
      <alignment horizontal="center" vertical="center" wrapText="1"/>
    </xf>
    <xf numFmtId="0" fontId="15" fillId="23" borderId="96" xfId="0" applyFont="1" applyFill="1" applyBorder="1" applyAlignment="1">
      <alignment horizontal="center" vertical="center" wrapText="1"/>
    </xf>
    <xf numFmtId="0" fontId="15" fillId="23" borderId="92" xfId="0" applyFont="1" applyFill="1" applyBorder="1" applyAlignment="1">
      <alignment horizontal="center" vertical="center" wrapText="1"/>
    </xf>
    <xf numFmtId="0" fontId="15" fillId="23" borderId="119" xfId="0" applyFont="1" applyFill="1" applyBorder="1" applyAlignment="1">
      <alignment horizontal="center" vertical="center" wrapText="1"/>
    </xf>
    <xf numFmtId="0" fontId="52" fillId="0" borderId="0" xfId="0" applyFont="1" applyAlignment="1">
      <alignment horizontal="left" vertical="center" wrapText="1"/>
    </xf>
    <xf numFmtId="0" fontId="52" fillId="0" borderId="26" xfId="0" applyFont="1" applyBorder="1" applyAlignment="1">
      <alignment horizontal="left" vertical="center" wrapText="1"/>
    </xf>
    <xf numFmtId="0" fontId="2" fillId="0" borderId="23" xfId="0" applyFont="1" applyBorder="1" applyAlignment="1">
      <alignment vertical="center" wrapText="1"/>
    </xf>
    <xf numFmtId="0" fontId="2" fillId="0" borderId="0" xfId="0" applyFont="1" applyAlignment="1">
      <alignment vertical="center" wrapText="1"/>
    </xf>
    <xf numFmtId="0" fontId="2" fillId="0" borderId="28" xfId="0" applyFont="1" applyBorder="1" applyAlignment="1">
      <alignment vertical="center" wrapText="1"/>
    </xf>
    <xf numFmtId="0" fontId="2" fillId="0" borderId="73" xfId="0" applyFont="1" applyBorder="1" applyAlignment="1">
      <alignment horizontal="left" vertical="top" wrapText="1"/>
    </xf>
    <xf numFmtId="0" fontId="2" fillId="0" borderId="74" xfId="0" applyFont="1" applyBorder="1" applyAlignment="1">
      <alignment horizontal="left" vertical="top" wrapText="1"/>
    </xf>
    <xf numFmtId="0" fontId="2" fillId="0" borderId="51" xfId="0" applyFont="1" applyBorder="1" applyAlignment="1">
      <alignment horizontal="left" vertical="top" wrapText="1"/>
    </xf>
    <xf numFmtId="0" fontId="42" fillId="0" borderId="75" xfId="0" quotePrefix="1" applyFont="1" applyBorder="1" applyAlignment="1">
      <alignment horizontal="center" vertical="center" wrapText="1"/>
    </xf>
    <xf numFmtId="0" fontId="42" fillId="0" borderId="14" xfId="0" quotePrefix="1" applyFont="1" applyBorder="1" applyAlignment="1">
      <alignment horizontal="center" vertical="center" wrapText="1"/>
    </xf>
    <xf numFmtId="0" fontId="42" fillId="0" borderId="76" xfId="0" quotePrefix="1" applyFont="1" applyBorder="1" applyAlignment="1">
      <alignment horizontal="center" vertical="center" wrapText="1"/>
    </xf>
    <xf numFmtId="0" fontId="2" fillId="0" borderId="4" xfId="0" quotePrefix="1" applyFont="1" applyBorder="1" applyAlignment="1">
      <alignment horizontal="left" vertical="top" wrapText="1"/>
    </xf>
    <xf numFmtId="0" fontId="2" fillId="0" borderId="8" xfId="0" quotePrefix="1" applyFont="1" applyBorder="1" applyAlignment="1">
      <alignment horizontal="left" vertical="top" wrapText="1"/>
    </xf>
    <xf numFmtId="0" fontId="2" fillId="0" borderId="47" xfId="0" quotePrefix="1" applyFont="1" applyBorder="1" applyAlignment="1">
      <alignment horizontal="left" vertical="top"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25" fillId="0" borderId="30" xfId="0" applyFont="1" applyBorder="1" applyAlignment="1">
      <alignment horizontal="center" vertical="center" wrapText="1"/>
    </xf>
    <xf numFmtId="0" fontId="25" fillId="0" borderId="52" xfId="0" applyFont="1" applyBorder="1" applyAlignment="1">
      <alignment horizontal="center" vertical="center" wrapText="1"/>
    </xf>
    <xf numFmtId="0" fontId="25" fillId="0" borderId="45" xfId="0" applyFont="1" applyBorder="1" applyAlignment="1">
      <alignment horizontal="center" vertical="center" wrapText="1"/>
    </xf>
    <xf numFmtId="0" fontId="52" fillId="0" borderId="30" xfId="0" applyFont="1" applyBorder="1" applyAlignment="1">
      <alignment horizontal="center" vertical="center" wrapText="1"/>
    </xf>
    <xf numFmtId="0" fontId="52" fillId="0" borderId="52" xfId="0" applyFont="1" applyBorder="1" applyAlignment="1">
      <alignment horizontal="center" vertical="center" wrapText="1"/>
    </xf>
    <xf numFmtId="0" fontId="52" fillId="0" borderId="45" xfId="0" applyFont="1" applyBorder="1" applyAlignment="1">
      <alignment horizontal="center" vertical="center" wrapText="1"/>
    </xf>
    <xf numFmtId="0" fontId="2" fillId="0" borderId="24" xfId="0" applyFont="1" applyBorder="1" applyAlignment="1">
      <alignment vertical="center" wrapText="1"/>
    </xf>
    <xf numFmtId="0" fontId="2" fillId="0" borderId="26" xfId="0" applyFont="1" applyBorder="1" applyAlignment="1">
      <alignment vertical="center" wrapText="1"/>
    </xf>
    <xf numFmtId="0" fontId="2" fillId="0" borderId="29" xfId="0" applyFont="1" applyBorder="1" applyAlignment="1">
      <alignmen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36.216771730603099</c:v>
                </c:pt>
                <c:pt idx="1">
                  <c:v>2.0024160337996988</c:v>
                </c:pt>
                <c:pt idx="2">
                  <c:v>212.08281646055954</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4.367745732182903</c:v>
                </c:pt>
                <c:pt idx="1">
                  <c:v>0.26113598867139654</c:v>
                </c:pt>
                <c:pt idx="2">
                  <c:v>28.01311686307027</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31.660258574983956</c:v>
                </c:pt>
                <c:pt idx="1">
                  <c:v>0.92482240795754933</c:v>
                </c:pt>
                <c:pt idx="2">
                  <c:v>83.017720011752161</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22.025778520039651</c:v>
                </c:pt>
                <c:pt idx="1">
                  <c:v>0.38772920688421864</c:v>
                </c:pt>
                <c:pt idx="2">
                  <c:v>26.052643133603457</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9.6344800549443015</c:v>
                </c:pt>
                <c:pt idx="1">
                  <c:v>0.56875750335916142</c:v>
                </c:pt>
                <c:pt idx="2">
                  <c:v>60.891450361591716</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86</c:v>
                </c:pt>
                <c:pt idx="1">
                  <c:v>1.2666666666666666</c:v>
                </c:pt>
                <c:pt idx="2" formatCode="General">
                  <c:v>112.73333333333333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175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3.899</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11.961</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1.8815700000000002</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15.43932653061225</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1.8815700000000002</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140.02185412510451</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$394,492/Yr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3231.4132199999999</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9913.0375800000002</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26097.375899999999</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213105.75047387759</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26097.375899999999</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116047.31226180411</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10.06580852642751</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1.9007442116002589</c:v>
                </c:pt>
                <c:pt idx="1">
                  <c:v>9.0856271993300333E-2</c:v>
                </c:pt>
                <c:pt idx="2">
                  <c:v>9.3654335155689825</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31.849025998420196</c:v>
                </c:pt>
                <c:pt idx="1">
                  <c:v>1.8469276802355887</c:v>
                </c:pt>
                <c:pt idx="2">
                  <c:v>197.17000635079279</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1977.4305059328417</c:v>
                </c:pt>
                <c:pt idx="1">
                  <c:v>97.186039594358903</c:v>
                </c:pt>
                <c:pt idx="2" formatCode="_(* #,##0_);_(* \(#,##0\);_(* &quot;-&quot;??_);_(@_)">
                  <c:v>10073.638403767662</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0.jpeg"/><Relationship Id="rId2" Type="http://schemas.openxmlformats.org/officeDocument/2006/relationships/image" Target="../media/image29.jpeg"/><Relationship Id="rId1" Type="http://schemas.openxmlformats.org/officeDocument/2006/relationships/image" Target="../media/image28.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2.png"/><Relationship Id="rId1" Type="http://schemas.openxmlformats.org/officeDocument/2006/relationships/image" Target="../media/image3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image" Target="../media/image6.emf"/><Relationship Id="rId13" Type="http://schemas.openxmlformats.org/officeDocument/2006/relationships/hyperlink" Target="#'Interactive Data Grading'!WEEA"/><Relationship Id="rId18" Type="http://schemas.openxmlformats.org/officeDocument/2006/relationships/hyperlink" Target="#'Interactive Data Grading'!VOSEA"/><Relationship Id="rId26" Type="http://schemas.openxmlformats.org/officeDocument/2006/relationships/image" Target="../media/image11.emf"/><Relationship Id="rId3" Type="http://schemas.openxmlformats.org/officeDocument/2006/relationships/image" Target="../media/image4.emf"/><Relationship Id="rId21" Type="http://schemas.openxmlformats.org/officeDocument/2006/relationships/hyperlink" Target="#'Interactive Data Grading'!AOP"/><Relationship Id="rId7" Type="http://schemas.openxmlformats.org/officeDocument/2006/relationships/hyperlink" Target="#'Interactive Data Grading'!BMAC"/><Relationship Id="rId12" Type="http://schemas.openxmlformats.org/officeDocument/2006/relationships/image" Target="../media/image8.emf"/><Relationship Id="rId17" Type="http://schemas.openxmlformats.org/officeDocument/2006/relationships/hyperlink" Target="#'Interactive Data Grading'!VOS"/><Relationship Id="rId25" Type="http://schemas.openxmlformats.org/officeDocument/2006/relationships/hyperlink" Target="#'Interactive Data Grading'!CRUC"/><Relationship Id="rId2" Type="http://schemas.openxmlformats.org/officeDocument/2006/relationships/hyperlink" Target="#'Interactive Data Grading'!CMI"/><Relationship Id="rId16" Type="http://schemas.openxmlformats.org/officeDocument/2006/relationships/hyperlink" Target="#'Interactive Data Grading'!WIEA"/><Relationship Id="rId20" Type="http://schemas.openxmlformats.org/officeDocument/2006/relationships/image" Target="../media/image10.emf"/><Relationship Id="rId29" Type="http://schemas.openxmlformats.org/officeDocument/2006/relationships/image" Target="../media/image1.png"/><Relationship Id="rId1" Type="http://schemas.openxmlformats.org/officeDocument/2006/relationships/image" Target="../media/image3.emf"/><Relationship Id="rId6" Type="http://schemas.openxmlformats.org/officeDocument/2006/relationships/image" Target="../media/image5.emf"/><Relationship Id="rId11" Type="http://schemas.openxmlformats.org/officeDocument/2006/relationships/hyperlink" Target="#'Interactive Data Grading'!BUAC"/><Relationship Id="rId24" Type="http://schemas.openxmlformats.org/officeDocument/2006/relationships/hyperlink" Target="#'Interactive Data Grading'!Lp"/><Relationship Id="rId5" Type="http://schemas.openxmlformats.org/officeDocument/2006/relationships/hyperlink" Target="#'Interactive Data Grading'!UC"/><Relationship Id="rId15" Type="http://schemas.openxmlformats.org/officeDocument/2006/relationships/hyperlink" Target="#'Interactive Data Grading'!WE"/><Relationship Id="rId23" Type="http://schemas.openxmlformats.org/officeDocument/2006/relationships/hyperlink" Target="#'Interactive Data Grading'!Nc"/><Relationship Id="rId28" Type="http://schemas.openxmlformats.org/officeDocument/2006/relationships/hyperlink" Target="#'Interactive Data Grading'!UUAC"/><Relationship Id="rId10" Type="http://schemas.openxmlformats.org/officeDocument/2006/relationships/image" Target="../media/image7.emf"/><Relationship Id="rId19" Type="http://schemas.openxmlformats.org/officeDocument/2006/relationships/hyperlink" Target="#'Interactive Data Grading'!WI"/><Relationship Id="rId4" Type="http://schemas.openxmlformats.org/officeDocument/2006/relationships/hyperlink" Target="#'Interactive Data Grading'!SDHE"/><Relationship Id="rId9" Type="http://schemas.openxmlformats.org/officeDocument/2006/relationships/hyperlink" Target="#'Interactive Data Grading'!UMAC"/><Relationship Id="rId14" Type="http://schemas.openxmlformats.org/officeDocument/2006/relationships/image" Target="../media/image9.emf"/><Relationship Id="rId22" Type="http://schemas.openxmlformats.org/officeDocument/2006/relationships/hyperlink" Target="#'Interactive Data Grading'!Lm"/><Relationship Id="rId27" Type="http://schemas.openxmlformats.org/officeDocument/2006/relationships/hyperlink" Target="#'Interactive Data Grading'!VP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2.png"/><Relationship Id="rId3" Type="http://schemas.openxmlformats.org/officeDocument/2006/relationships/chart" Target="../charts/chart4.xml"/><Relationship Id="rId21" Type="http://schemas.openxmlformats.org/officeDocument/2006/relationships/image" Target="../media/image24.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1.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3.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5.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19.emf"/><Relationship Id="rId3" Type="http://schemas.openxmlformats.org/officeDocument/2006/relationships/image" Target="../media/image14.emf"/><Relationship Id="rId7" Type="http://schemas.openxmlformats.org/officeDocument/2006/relationships/image" Target="../media/image18.emf"/><Relationship Id="rId2" Type="http://schemas.openxmlformats.org/officeDocument/2006/relationships/image" Target="../media/image13.emf"/><Relationship Id="rId1" Type="http://schemas.openxmlformats.org/officeDocument/2006/relationships/image" Target="../media/image12.emf"/><Relationship Id="rId6" Type="http://schemas.openxmlformats.org/officeDocument/2006/relationships/image" Target="../media/image17.emf"/><Relationship Id="rId5" Type="http://schemas.openxmlformats.org/officeDocument/2006/relationships/image" Target="../media/image16.emf"/><Relationship Id="rId4" Type="http://schemas.openxmlformats.org/officeDocument/2006/relationships/image" Target="../media/image15.emf"/><Relationship Id="rId9" Type="http://schemas.openxmlformats.org/officeDocument/2006/relationships/image" Target="../media/image20.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6.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98765"/>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98766"/>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98767"/>
                  </a:ext>
                </a:extLst>
              </xdr:cNvPicPr>
            </xdr:nvPicPr>
            <xdr:blipFill rotWithShape="1">
              <a:blip xmlns:r="http://schemas.openxmlformats.org/officeDocument/2006/relationships" r:embed="rId3"/>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5"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98768"/>
                  </a:ext>
                </a:extLst>
              </xdr:cNvPicPr>
            </xdr:nvPicPr>
            <xdr:blipFill rotWithShape="1">
              <a:blip xmlns:r="http://schemas.openxmlformats.org/officeDocument/2006/relationships" r:embed="rId6"/>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7"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98769"/>
                  </a:ext>
                </a:extLst>
              </xdr:cNvPicPr>
            </xdr:nvPicPr>
            <xdr:blipFill rotWithShape="1">
              <a:blip xmlns:r="http://schemas.openxmlformats.org/officeDocument/2006/relationships" r:embed="rId8"/>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9"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98770"/>
                  </a:ext>
                </a:extLst>
              </xdr:cNvPicPr>
            </xdr:nvPicPr>
            <xdr:blipFill rotWithShape="1">
              <a:blip xmlns:r="http://schemas.openxmlformats.org/officeDocument/2006/relationships" r:embed="rId10"/>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98771"/>
                  </a:ext>
                </a:extLst>
              </xdr:cNvPicPr>
            </xdr:nvPicPr>
            <xdr:blipFill rotWithShape="1">
              <a:blip xmlns:r="http://schemas.openxmlformats.org/officeDocument/2006/relationships" r:embed="rId12"/>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3"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98772"/>
                  </a:ext>
                </a:extLst>
              </xdr:cNvPicPr>
            </xdr:nvPicPr>
            <xdr:blipFill rotWithShape="1">
              <a:blip xmlns:r="http://schemas.openxmlformats.org/officeDocument/2006/relationships" r:embed="rId14"/>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5"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98773"/>
                  </a:ext>
                </a:extLst>
              </xdr:cNvPicPr>
            </xdr:nvPicPr>
            <xdr:blipFill rotWithShape="1">
              <a:blip xmlns:r="http://schemas.openxmlformats.org/officeDocument/2006/relationships" r:embed="rId10"/>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6"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98774"/>
                  </a:ext>
                </a:extLst>
              </xdr:cNvPicPr>
            </xdr:nvPicPr>
            <xdr:blipFill rotWithShape="1">
              <a:blip xmlns:r="http://schemas.openxmlformats.org/officeDocument/2006/relationships" r:embed="rId8"/>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7"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98775"/>
                  </a:ext>
                </a:extLst>
              </xdr:cNvPicPr>
            </xdr:nvPicPr>
            <xdr:blipFill rotWithShape="1">
              <a:blip xmlns:r="http://schemas.openxmlformats.org/officeDocument/2006/relationships" r:embed="rId8"/>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8"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98776"/>
                  </a:ext>
                </a:extLst>
              </xdr:cNvPicPr>
            </xdr:nvPicPr>
            <xdr:blipFill rotWithShape="1">
              <a:blip xmlns:r="http://schemas.openxmlformats.org/officeDocument/2006/relationships" r:embed="rId10"/>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9"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98777"/>
                  </a:ext>
                </a:extLst>
              </xdr:cNvPicPr>
            </xdr:nvPicPr>
            <xdr:blipFill rotWithShape="1">
              <a:blip xmlns:r="http://schemas.openxmlformats.org/officeDocument/2006/relationships" r:embed="rId20"/>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1"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98778"/>
                  </a:ext>
                </a:extLst>
              </xdr:cNvPicPr>
            </xdr:nvPicPr>
            <xdr:blipFill rotWithShape="1">
              <a:blip xmlns:r="http://schemas.openxmlformats.org/officeDocument/2006/relationships" r:embed="rId8"/>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2"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98779"/>
                  </a:ext>
                </a:extLst>
              </xdr:cNvPicPr>
            </xdr:nvPicPr>
            <xdr:blipFill rotWithShape="1">
              <a:blip xmlns:r="http://schemas.openxmlformats.org/officeDocument/2006/relationships" r:embed="rId8"/>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3"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98780"/>
                  </a:ext>
                </a:extLst>
              </xdr:cNvPicPr>
            </xdr:nvPicPr>
            <xdr:blipFill rotWithShape="1">
              <a:blip xmlns:r="http://schemas.openxmlformats.org/officeDocument/2006/relationships" r:embed="rId8"/>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4"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98781"/>
                  </a:ext>
                </a:extLst>
              </xdr:cNvPicPr>
            </xdr:nvPicPr>
            <xdr:blipFill rotWithShape="1">
              <a:blip xmlns:r="http://schemas.openxmlformats.org/officeDocument/2006/relationships" r:embed="rId8"/>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5"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98782"/>
                  </a:ext>
                </a:extLst>
              </xdr:cNvPicPr>
            </xdr:nvPicPr>
            <xdr:blipFill rotWithShape="1">
              <a:blip xmlns:r="http://schemas.openxmlformats.org/officeDocument/2006/relationships" r:embed="rId26"/>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7"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98783"/>
                  </a:ext>
                </a:extLst>
              </xdr:cNvPicPr>
            </xdr:nvPicPr>
            <xdr:blipFill rotWithShape="1">
              <a:blip xmlns:r="http://schemas.openxmlformats.org/officeDocument/2006/relationships" r:embed="rId8"/>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8"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77"/>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22.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0</v>
      </c>
      <c r="C1" s="107"/>
      <c r="D1" s="126" t="s">
        <v>1</v>
      </c>
      <c r="E1" s="126"/>
      <c r="F1" s="120"/>
      <c r="G1" s="107"/>
      <c r="H1" s="107"/>
      <c r="I1" s="132" t="s">
        <v>2</v>
      </c>
      <c r="J1" s="107"/>
      <c r="K1" s="107"/>
      <c r="L1" s="107"/>
      <c r="M1" s="107"/>
      <c r="N1" s="107"/>
      <c r="O1" s="107"/>
      <c r="P1" s="107"/>
      <c r="Q1" s="107"/>
      <c r="R1" s="107"/>
    </row>
    <row r="2" spans="2:18">
      <c r="B2" s="119" t="s">
        <v>3</v>
      </c>
      <c r="C2" s="107" t="s">
        <v>4</v>
      </c>
      <c r="D2" s="107"/>
      <c r="E2" s="107"/>
      <c r="F2" s="107"/>
      <c r="G2" s="107"/>
      <c r="H2" s="107"/>
      <c r="I2" s="107"/>
      <c r="J2" s="107"/>
      <c r="K2" s="107"/>
      <c r="L2" s="107"/>
      <c r="M2" s="107"/>
      <c r="N2" s="107"/>
      <c r="O2" s="107"/>
      <c r="P2" s="107"/>
      <c r="Q2" s="107"/>
      <c r="R2" s="107"/>
    </row>
    <row r="3" spans="2:18">
      <c r="B3" s="108" t="s">
        <v>5</v>
      </c>
      <c r="C3" s="108" t="s">
        <v>6</v>
      </c>
      <c r="D3" s="108" t="s">
        <v>7</v>
      </c>
      <c r="E3" s="108" t="s">
        <v>8</v>
      </c>
      <c r="F3" s="108" t="s">
        <v>9</v>
      </c>
      <c r="G3" s="108" t="s">
        <v>10</v>
      </c>
      <c r="H3" s="108" t="s">
        <v>11</v>
      </c>
      <c r="I3" s="108" t="s">
        <v>12</v>
      </c>
      <c r="J3" s="108" t="s">
        <v>13</v>
      </c>
      <c r="K3" s="108" t="s">
        <v>14</v>
      </c>
      <c r="L3" s="108" t="s">
        <v>15</v>
      </c>
      <c r="M3" s="108"/>
      <c r="N3" s="108"/>
      <c r="O3" s="108"/>
      <c r="P3" s="108"/>
      <c r="Q3" s="108"/>
      <c r="R3" s="108"/>
    </row>
    <row r="4" spans="2:18" ht="38.25">
      <c r="B4" s="122" t="s">
        <v>16</v>
      </c>
      <c r="C4" s="122" t="s">
        <v>17</v>
      </c>
      <c r="D4" s="122" t="s">
        <v>18</v>
      </c>
      <c r="E4" s="122" t="s">
        <v>19</v>
      </c>
      <c r="F4" s="122" t="s">
        <v>20</v>
      </c>
      <c r="G4" s="122" t="s">
        <v>21</v>
      </c>
      <c r="H4" s="122" t="s">
        <v>22</v>
      </c>
      <c r="I4" s="122" t="s">
        <v>23</v>
      </c>
      <c r="J4" s="122" t="s">
        <v>24</v>
      </c>
      <c r="K4" s="122" t="s">
        <v>25</v>
      </c>
      <c r="L4" s="122" t="s">
        <v>26</v>
      </c>
      <c r="M4" s="122"/>
      <c r="N4" s="122"/>
      <c r="O4" s="122"/>
      <c r="P4" s="122"/>
      <c r="Q4" s="122"/>
      <c r="R4" s="122"/>
    </row>
    <row r="5" spans="2:18" ht="127.5">
      <c r="B5" s="109" t="s">
        <v>27</v>
      </c>
      <c r="C5" s="109" t="s">
        <v>28</v>
      </c>
      <c r="D5" s="109" t="s">
        <v>29</v>
      </c>
      <c r="E5" s="109" t="s">
        <v>30</v>
      </c>
      <c r="F5" s="109" t="s">
        <v>31</v>
      </c>
      <c r="G5" s="109" t="s">
        <v>32</v>
      </c>
      <c r="H5" s="109" t="s">
        <v>33</v>
      </c>
      <c r="I5" s="109" t="s">
        <v>34</v>
      </c>
      <c r="J5" s="109" t="s">
        <v>35</v>
      </c>
      <c r="K5" s="109" t="s">
        <v>36</v>
      </c>
      <c r="L5" s="109" t="s">
        <v>37</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23">
        <v>10</v>
      </c>
      <c r="N16" s="124"/>
      <c r="O16" s="124"/>
      <c r="P16" s="124"/>
      <c r="Q16" s="124"/>
      <c r="R16" s="124"/>
    </row>
    <row r="17" spans="2:18" ht="63.75">
      <c r="B17" s="125"/>
      <c r="C17" s="124"/>
      <c r="D17" s="127" t="s">
        <v>67</v>
      </c>
      <c r="E17" s="127"/>
      <c r="F17" s="127" t="s">
        <v>68</v>
      </c>
      <c r="G17" s="127" t="s">
        <v>67</v>
      </c>
      <c r="H17" s="127" t="s">
        <v>69</v>
      </c>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M32" s="124"/>
      <c r="N32" s="124"/>
      <c r="O32" s="124"/>
      <c r="P32" s="124"/>
      <c r="Q32" s="124"/>
      <c r="R32" s="124"/>
    </row>
    <row r="33" spans="1:18">
      <c r="B33" s="119" t="s">
        <v>71</v>
      </c>
      <c r="C33" s="124"/>
      <c r="D33" s="124"/>
      <c r="E33" s="124"/>
      <c r="F33" s="124"/>
      <c r="G33" s="124"/>
      <c r="H33" s="124"/>
      <c r="I33" s="124"/>
      <c r="J33" s="124"/>
      <c r="K33" s="124"/>
      <c r="M33" s="124"/>
      <c r="N33" s="124"/>
      <c r="O33" s="124"/>
      <c r="P33" s="124"/>
      <c r="Q33" s="124"/>
      <c r="R33" s="124"/>
    </row>
    <row r="34" spans="1:18">
      <c r="B34" s="121" t="s">
        <v>4</v>
      </c>
      <c r="C34" s="124"/>
      <c r="D34" s="124"/>
      <c r="E34" s="124"/>
      <c r="F34" s="124"/>
      <c r="G34" s="124"/>
      <c r="H34" s="124"/>
      <c r="I34" s="124"/>
      <c r="J34" s="124"/>
      <c r="K34" s="124"/>
      <c r="M34" s="124"/>
      <c r="N34" s="124"/>
      <c r="O34" s="124"/>
      <c r="P34" s="124"/>
      <c r="Q34" s="124"/>
      <c r="R34" s="124"/>
    </row>
    <row r="35" spans="1:18">
      <c r="A35" s="121" t="s">
        <v>6</v>
      </c>
      <c r="B35" s="136" t="s">
        <v>28</v>
      </c>
      <c r="C35" s="124"/>
      <c r="D35" s="124"/>
      <c r="E35" s="124"/>
      <c r="F35" s="124"/>
      <c r="G35" s="124"/>
      <c r="H35" s="124"/>
      <c r="I35" s="124"/>
      <c r="J35" s="124"/>
      <c r="K35" s="124"/>
      <c r="M35" s="124"/>
      <c r="N35" s="124"/>
      <c r="O35" s="124"/>
      <c r="P35" s="124"/>
      <c r="Q35" s="124"/>
      <c r="R35" s="124"/>
    </row>
    <row r="36" spans="1:18">
      <c r="A36" s="121" t="s">
        <v>7</v>
      </c>
      <c r="B36" s="136" t="s">
        <v>29</v>
      </c>
      <c r="C36" s="124"/>
      <c r="D36" s="124"/>
      <c r="E36" s="124"/>
      <c r="F36" s="124"/>
      <c r="G36" s="124"/>
      <c r="H36" s="124"/>
      <c r="I36" s="124"/>
      <c r="J36" s="124"/>
      <c r="K36" s="124"/>
      <c r="L36" s="124"/>
      <c r="M36" s="124"/>
      <c r="N36" s="124"/>
      <c r="O36" s="124"/>
      <c r="P36" s="124"/>
      <c r="Q36" s="124"/>
      <c r="R36" s="124"/>
    </row>
    <row r="37" spans="1:18">
      <c r="A37" s="121" t="s">
        <v>8</v>
      </c>
      <c r="B37" s="136" t="s">
        <v>30</v>
      </c>
      <c r="C37" s="124"/>
      <c r="D37" s="124"/>
      <c r="E37" s="124"/>
      <c r="F37" s="124"/>
      <c r="G37" s="124"/>
      <c r="H37" s="124"/>
      <c r="I37" s="124"/>
      <c r="J37" s="124"/>
      <c r="K37" s="124"/>
      <c r="L37" s="124"/>
      <c r="M37" s="124"/>
      <c r="N37" s="124"/>
      <c r="O37" s="124"/>
      <c r="P37" s="124"/>
      <c r="Q37" s="124"/>
      <c r="R37" s="124"/>
    </row>
    <row r="38" spans="1:18">
      <c r="A38" s="121" t="s">
        <v>9</v>
      </c>
      <c r="B38" s="136" t="s">
        <v>31</v>
      </c>
      <c r="C38" s="124"/>
      <c r="D38" s="124"/>
      <c r="E38" s="124"/>
      <c r="F38" s="124"/>
      <c r="G38" s="124"/>
      <c r="H38" s="124"/>
      <c r="I38" s="124"/>
      <c r="J38" s="124"/>
      <c r="K38" s="124"/>
      <c r="L38" s="124"/>
      <c r="M38" s="124"/>
      <c r="N38" s="124"/>
      <c r="O38" s="124"/>
      <c r="P38" s="124"/>
      <c r="Q38" s="124"/>
      <c r="R38" s="124"/>
    </row>
    <row r="39" spans="1:18">
      <c r="A39" s="121" t="s">
        <v>10</v>
      </c>
      <c r="B39" s="136" t="s">
        <v>32</v>
      </c>
      <c r="C39" s="124"/>
      <c r="D39" s="124"/>
      <c r="E39" s="124"/>
      <c r="F39" s="124"/>
      <c r="G39" s="124"/>
      <c r="H39" s="124"/>
      <c r="I39" s="124"/>
      <c r="J39" s="124"/>
      <c r="K39" s="124"/>
      <c r="L39" s="124"/>
      <c r="M39" s="124"/>
      <c r="N39" s="124"/>
      <c r="O39" s="124"/>
      <c r="P39" s="124"/>
      <c r="Q39" s="124"/>
      <c r="R39" s="124"/>
    </row>
    <row r="40" spans="1:18">
      <c r="A40" s="121" t="s">
        <v>11</v>
      </c>
      <c r="B40" s="136" t="s">
        <v>33</v>
      </c>
      <c r="C40" s="124"/>
      <c r="D40" s="124"/>
      <c r="E40" s="124"/>
      <c r="F40" s="124"/>
      <c r="G40" s="124"/>
      <c r="H40" s="124"/>
      <c r="I40" s="124"/>
      <c r="J40" s="124"/>
      <c r="K40" s="124"/>
      <c r="L40" s="124"/>
      <c r="M40" s="124"/>
      <c r="N40" s="124"/>
      <c r="O40" s="124"/>
      <c r="P40" s="124"/>
      <c r="Q40" s="124"/>
      <c r="R40" s="124"/>
    </row>
    <row r="41" spans="1:18">
      <c r="A41" s="121" t="s">
        <v>12</v>
      </c>
      <c r="B41" s="136" t="s">
        <v>34</v>
      </c>
      <c r="C41" s="124"/>
      <c r="D41" s="124"/>
      <c r="E41" s="124"/>
      <c r="F41" s="124"/>
      <c r="G41" s="124"/>
      <c r="H41" s="124"/>
      <c r="I41" s="124"/>
      <c r="J41" s="124"/>
      <c r="K41" s="124"/>
      <c r="L41" s="124"/>
      <c r="M41" s="124"/>
      <c r="N41" s="124"/>
      <c r="O41" s="124"/>
      <c r="P41" s="124"/>
      <c r="Q41" s="124"/>
      <c r="R41" s="124"/>
    </row>
    <row r="42" spans="1:18">
      <c r="A42" s="121" t="s">
        <v>13</v>
      </c>
      <c r="B42" s="136" t="s">
        <v>35</v>
      </c>
      <c r="C42" s="124"/>
      <c r="D42" s="124"/>
      <c r="E42" s="124"/>
      <c r="F42" s="124"/>
      <c r="G42" s="124"/>
      <c r="H42" s="124"/>
      <c r="I42" s="124"/>
      <c r="J42" s="124"/>
      <c r="K42" s="124"/>
      <c r="L42" s="124"/>
      <c r="M42" s="124"/>
      <c r="N42" s="124"/>
      <c r="O42" s="124"/>
      <c r="P42" s="124"/>
      <c r="Q42" s="124"/>
      <c r="R42" s="124"/>
    </row>
    <row r="43" spans="1:18">
      <c r="A43" s="121" t="s">
        <v>14</v>
      </c>
      <c r="B43" s="136" t="s">
        <v>36</v>
      </c>
      <c r="C43" s="124"/>
      <c r="D43" s="124"/>
      <c r="E43" s="124"/>
      <c r="F43" s="124"/>
      <c r="G43" s="124"/>
      <c r="H43" s="124"/>
      <c r="I43" s="124"/>
      <c r="J43" s="124"/>
      <c r="K43" s="124"/>
      <c r="L43" s="124">
        <f>COUNTA(L23:L27)</f>
        <v>5</v>
      </c>
      <c r="M43" s="124"/>
      <c r="N43" s="124"/>
      <c r="O43" s="124"/>
      <c r="P43" s="124"/>
      <c r="Q43" s="124"/>
      <c r="R43" s="124"/>
    </row>
    <row r="44" spans="1:18">
      <c r="A44" s="121" t="s">
        <v>15</v>
      </c>
      <c r="B44" s="136" t="s">
        <v>37</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C48*D48*F48*G48*H48*I48*J48*K48*L43</f>
        <v>84000</v>
      </c>
      <c r="B48" s="125"/>
      <c r="C48" s="124">
        <f>COUNTA(C23:C29)</f>
        <v>7</v>
      </c>
      <c r="D48" s="124">
        <f>COUNTA(D23:D27)</f>
        <v>5</v>
      </c>
      <c r="E48" s="124"/>
      <c r="F48" s="124">
        <f t="shared" ref="F48:J48" si="1">COUNTA(F23:F28)</f>
        <v>2</v>
      </c>
      <c r="G48" s="124">
        <f t="shared" si="1"/>
        <v>4</v>
      </c>
      <c r="H48" s="124">
        <f t="shared" si="1"/>
        <v>2</v>
      </c>
      <c r="I48" s="124">
        <f>COUNTA(I24:I28)</f>
        <v>3</v>
      </c>
      <c r="J48" s="124">
        <f t="shared" si="1"/>
        <v>2</v>
      </c>
      <c r="K48" s="124">
        <f>COUNTA(K23:K28)</f>
        <v>5</v>
      </c>
      <c r="L48" s="124"/>
      <c r="M48" s="124"/>
      <c r="N48" s="124"/>
      <c r="O48" s="124"/>
      <c r="P48" s="124"/>
      <c r="Q48" s="124"/>
      <c r="R48" s="124"/>
    </row>
    <row r="49" spans="1:18">
      <c r="A49" s="128">
        <f>C48*D48*F48*G48*H48*I48*J48</f>
        <v>3360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F61" s="124"/>
      <c r="H61" s="124"/>
      <c r="J61" s="124"/>
      <c r="K61" s="124"/>
      <c r="L61" s="124"/>
      <c r="M61" s="124"/>
      <c r="N61" s="124"/>
      <c r="O61" s="124"/>
      <c r="P61" s="124"/>
      <c r="Q61" s="124"/>
      <c r="R61" s="124"/>
    </row>
    <row r="62" spans="1:18">
      <c r="B62" s="125"/>
      <c r="C62" s="124"/>
      <c r="F62" s="124"/>
      <c r="H62" s="124"/>
      <c r="J62" s="124"/>
      <c r="K62" s="124"/>
      <c r="L62" s="124"/>
      <c r="M62" s="124"/>
      <c r="N62" s="124"/>
      <c r="O62" s="124"/>
      <c r="P62" s="124"/>
      <c r="Q62" s="124"/>
      <c r="R62" s="124"/>
    </row>
    <row r="63" spans="1:18">
      <c r="B63" s="125"/>
      <c r="C63" s="124"/>
      <c r="J63" s="124"/>
      <c r="K63" s="124"/>
      <c r="L63" s="124"/>
      <c r="M63" s="124"/>
      <c r="N63" s="124"/>
      <c r="O63" s="124"/>
      <c r="P63" s="124"/>
      <c r="Q63" s="124"/>
      <c r="R63" s="124"/>
    </row>
    <row r="64" spans="1:18">
      <c r="B64" s="125"/>
      <c r="J64" s="124"/>
      <c r="K64" s="124"/>
      <c r="L64" s="124"/>
      <c r="M64" s="124"/>
      <c r="N64" s="124"/>
      <c r="O64" s="124"/>
      <c r="P64" s="124"/>
      <c r="Q64" s="124"/>
      <c r="R64" s="124"/>
    </row>
    <row r="65" spans="13:18">
      <c r="M65" s="124"/>
      <c r="N65" s="124"/>
      <c r="O65" s="124"/>
      <c r="P65" s="124"/>
      <c r="Q65" s="124"/>
      <c r="R65" s="124"/>
    </row>
    <row r="66" spans="13:18">
      <c r="M66" s="124"/>
      <c r="N66" s="124"/>
      <c r="O66" s="124"/>
      <c r="P66" s="124"/>
      <c r="Q66" s="124"/>
      <c r="R66" s="124"/>
    </row>
    <row r="67" spans="13:18">
      <c r="M67" s="124"/>
      <c r="N67" s="124"/>
      <c r="O67" s="124"/>
      <c r="P67" s="124"/>
      <c r="Q67" s="124"/>
      <c r="R67" s="124"/>
    </row>
    <row r="68" spans="13:18">
      <c r="M68" s="124"/>
      <c r="N68" s="124"/>
      <c r="O68" s="124"/>
      <c r="P68" s="124"/>
      <c r="Q68" s="124"/>
      <c r="R68" s="124"/>
    </row>
    <row r="69" spans="13:18">
      <c r="M69" s="124"/>
      <c r="N69" s="124"/>
      <c r="O69" s="124"/>
      <c r="P69" s="124"/>
      <c r="Q69" s="124"/>
      <c r="R69" s="12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47" t="s">
        <v>248</v>
      </c>
      <c r="C1" s="141"/>
      <c r="D1" s="147"/>
      <c r="E1" s="118"/>
      <c r="F1" s="118"/>
      <c r="G1" s="118"/>
    </row>
    <row r="2" spans="1:7">
      <c r="A2" s="118" t="s">
        <v>249</v>
      </c>
      <c r="B2" s="47" t="s">
        <v>250</v>
      </c>
      <c r="C2" s="118" t="s">
        <v>251</v>
      </c>
      <c r="D2" s="118"/>
      <c r="E2" s="118"/>
      <c r="F2" s="118"/>
      <c r="G2" s="118"/>
    </row>
    <row r="3" spans="1:7">
      <c r="A3" s="118" t="s">
        <v>252</v>
      </c>
      <c r="B3" s="144" t="s">
        <v>5</v>
      </c>
      <c r="C3" s="144" t="s">
        <v>253</v>
      </c>
      <c r="D3" s="144" t="s">
        <v>254</v>
      </c>
      <c r="E3" s="144" t="s">
        <v>255</v>
      </c>
      <c r="F3" s="144"/>
      <c r="G3" s="144"/>
    </row>
    <row r="4" spans="1:7" ht="25.5">
      <c r="B4" s="148" t="s">
        <v>16</v>
      </c>
      <c r="C4" s="639" t="s">
        <v>256</v>
      </c>
      <c r="D4" s="639" t="s">
        <v>257</v>
      </c>
      <c r="E4" s="148" t="s">
        <v>213</v>
      </c>
      <c r="F4" s="150"/>
    </row>
    <row r="5" spans="1:7" ht="51">
      <c r="B5" s="148" t="s">
        <v>27</v>
      </c>
      <c r="C5" s="470" t="s">
        <v>258</v>
      </c>
      <c r="D5" s="470" t="s">
        <v>259</v>
      </c>
      <c r="E5" s="817" t="s">
        <v>260</v>
      </c>
      <c r="F5" s="144"/>
      <c r="G5" s="144"/>
    </row>
    <row r="6" spans="1:7">
      <c r="B6" s="149">
        <v>1</v>
      </c>
      <c r="C6" s="637" t="s">
        <v>238</v>
      </c>
      <c r="D6" s="637" t="s">
        <v>261</v>
      </c>
      <c r="E6" s="637" t="s">
        <v>262</v>
      </c>
      <c r="F6" s="149">
        <v>1</v>
      </c>
    </row>
    <row r="7" spans="1:7">
      <c r="B7" s="149">
        <v>2</v>
      </c>
      <c r="C7" s="637"/>
      <c r="D7" s="637"/>
      <c r="E7" s="637"/>
      <c r="F7" s="149">
        <v>2</v>
      </c>
      <c r="G7" s="144"/>
    </row>
    <row r="8" spans="1:7">
      <c r="B8" s="149">
        <v>3</v>
      </c>
      <c r="C8" s="640"/>
      <c r="D8" s="637"/>
      <c r="E8" s="637"/>
      <c r="F8" s="149">
        <v>3</v>
      </c>
    </row>
    <row r="9" spans="1:7" ht="25.5">
      <c r="B9" s="149">
        <v>4</v>
      </c>
      <c r="C9" s="637" t="s">
        <v>263</v>
      </c>
      <c r="D9" s="637"/>
      <c r="E9" s="637"/>
      <c r="F9" s="149">
        <v>4</v>
      </c>
      <c r="G9" s="144"/>
    </row>
    <row r="10" spans="1:7" ht="38.25">
      <c r="B10" s="149">
        <v>5</v>
      </c>
      <c r="C10" s="820"/>
      <c r="D10" s="641"/>
      <c r="E10" s="637" t="s">
        <v>264</v>
      </c>
      <c r="F10" s="149">
        <v>5</v>
      </c>
    </row>
    <row r="11" spans="1:7" ht="25.5">
      <c r="B11" s="149">
        <v>6</v>
      </c>
      <c r="C11" s="817"/>
      <c r="D11" s="637" t="s">
        <v>265</v>
      </c>
      <c r="E11" s="637"/>
      <c r="F11" s="149">
        <v>6</v>
      </c>
      <c r="G11" s="144"/>
    </row>
    <row r="12" spans="1:7">
      <c r="B12" s="149">
        <v>7</v>
      </c>
      <c r="C12" s="820"/>
      <c r="D12" s="642"/>
      <c r="E12" s="637"/>
      <c r="F12" s="149">
        <v>7</v>
      </c>
    </row>
    <row r="13" spans="1:7" ht="38.25">
      <c r="B13" s="149">
        <v>8</v>
      </c>
      <c r="C13" s="637" t="s">
        <v>266</v>
      </c>
      <c r="D13" s="637"/>
      <c r="E13" s="637" t="s">
        <v>267</v>
      </c>
      <c r="F13" s="149">
        <v>8</v>
      </c>
      <c r="G13" s="144"/>
    </row>
    <row r="14" spans="1:7">
      <c r="B14" s="149">
        <v>9</v>
      </c>
      <c r="C14" s="637"/>
      <c r="D14" s="637"/>
      <c r="E14" s="637"/>
      <c r="F14" s="149">
        <v>9</v>
      </c>
    </row>
    <row r="15" spans="1:7" ht="25.5">
      <c r="B15" s="149">
        <v>10</v>
      </c>
      <c r="C15" s="637" t="s">
        <v>268</v>
      </c>
      <c r="D15" s="637" t="s">
        <v>269</v>
      </c>
      <c r="E15" s="637" t="s">
        <v>270</v>
      </c>
      <c r="F15" s="149">
        <v>10</v>
      </c>
      <c r="G15" s="144"/>
    </row>
    <row r="16" spans="1:7">
      <c r="B16" s="47"/>
      <c r="C16" s="118"/>
      <c r="D16" s="118"/>
      <c r="E16" s="150"/>
      <c r="F16" s="150"/>
    </row>
    <row r="17" spans="2:13" ht="38.25">
      <c r="B17" s="47" t="s">
        <v>271</v>
      </c>
      <c r="C17" s="640" t="s">
        <v>272</v>
      </c>
      <c r="D17" s="118"/>
      <c r="E17" s="144"/>
      <c r="F17" s="144"/>
      <c r="G17" s="144"/>
    </row>
    <row r="18" spans="2:13">
      <c r="B18" s="47"/>
      <c r="C18" s="118"/>
      <c r="D18" s="118"/>
      <c r="E18" s="150"/>
      <c r="F18" s="150"/>
    </row>
    <row r="19" spans="2:13">
      <c r="B19" s="47"/>
      <c r="C19" s="118"/>
      <c r="D19" s="118"/>
      <c r="E19" s="118"/>
      <c r="F19" s="118"/>
      <c r="G19" s="118"/>
    </row>
    <row r="20" spans="2:13">
      <c r="B20" s="47"/>
      <c r="C20" s="118"/>
      <c r="D20" s="118"/>
      <c r="E20" s="118"/>
      <c r="F20" s="118"/>
      <c r="G20" s="118"/>
    </row>
    <row r="21" spans="2:13">
      <c r="B21" s="47"/>
      <c r="C21" s="118"/>
      <c r="D21" s="118"/>
      <c r="E21" s="118"/>
      <c r="F21" s="118"/>
      <c r="G21" s="118"/>
    </row>
    <row r="22" spans="2:13">
      <c r="B22" s="47"/>
      <c r="C22" s="118"/>
      <c r="D22" s="118"/>
      <c r="E22" s="118"/>
      <c r="F22" s="118"/>
      <c r="G22" s="118"/>
    </row>
    <row r="23" spans="2:13">
      <c r="B23" s="119" t="s">
        <v>70</v>
      </c>
      <c r="C23" s="118" t="str">
        <f>C6</f>
        <v>Unknown</v>
      </c>
      <c r="D23" s="118" t="str">
        <f>D6</f>
        <v>No documentation</v>
      </c>
      <c r="E23" s="118" t="str">
        <f>E6</f>
        <v>Guesstimation</v>
      </c>
      <c r="F23" s="118"/>
      <c r="G23" s="118"/>
    </row>
    <row r="24" spans="2:13">
      <c r="B24" s="119"/>
      <c r="C24" s="118" t="str">
        <f>C9</f>
        <v>Examples known, but no complete inventory</v>
      </c>
      <c r="D24" s="118" t="str">
        <f>D11</f>
        <v>Documentation exists, but not specific to each event</v>
      </c>
      <c r="E24" s="118" t="str">
        <f>E10</f>
        <v>By a mix of some guesstimation and some event-specific estimates</v>
      </c>
      <c r="F24" s="118"/>
      <c r="G24" s="118"/>
    </row>
    <row r="25" spans="2:13">
      <c r="B25" s="119"/>
      <c r="C25" s="118" t="str">
        <f>C13</f>
        <v>Majority identified and tracked</v>
      </c>
      <c r="D25" s="118" t="str">
        <f>D15</f>
        <v>Each event is documented</v>
      </c>
      <c r="E25" t="str">
        <f>E13</f>
        <v>By number of events multiplied by typical use estimates</v>
      </c>
      <c r="F25" s="118"/>
      <c r="G25" s="118"/>
    </row>
    <row r="26" spans="2:13">
      <c r="B26" s="119"/>
      <c r="C26" s="118" t="str">
        <f>C15</f>
        <v>Complete inventory exists</v>
      </c>
      <c r="D26" s="118"/>
      <c r="E26" s="118" t="str">
        <f>E15</f>
        <v>Entirely from event-specific estimates</v>
      </c>
      <c r="G26" s="118"/>
      <c r="K26" s="118"/>
      <c r="M26" s="118"/>
    </row>
    <row r="27" spans="2:13">
      <c r="B27" s="119"/>
      <c r="C27" s="118"/>
      <c r="D27" s="118"/>
      <c r="E27" s="118"/>
      <c r="G27" s="118"/>
      <c r="M27" s="118"/>
    </row>
    <row r="28" spans="2:13">
      <c r="B28" s="119"/>
      <c r="C28" s="118"/>
      <c r="D28" s="118"/>
      <c r="E28" s="118"/>
      <c r="F28" s="118"/>
      <c r="G28" s="118"/>
    </row>
    <row r="29" spans="2:13">
      <c r="B29" s="119"/>
      <c r="C29" s="118"/>
      <c r="D29" s="118"/>
      <c r="E29" s="118"/>
      <c r="F29" s="118"/>
      <c r="G29" s="118"/>
    </row>
    <row r="30" spans="2:13">
      <c r="B30" s="121"/>
      <c r="C30" s="118"/>
      <c r="D30" s="118"/>
      <c r="E30" s="118"/>
      <c r="F30" s="118"/>
      <c r="G30" s="118"/>
    </row>
    <row r="31" spans="2:13">
      <c r="B31" s="121"/>
      <c r="C31" s="118"/>
      <c r="D31" s="118"/>
      <c r="E31" s="118"/>
      <c r="F31" s="118"/>
      <c r="G31" s="118"/>
    </row>
    <row r="32" spans="2:13">
      <c r="B32" s="119"/>
      <c r="C32" s="118"/>
      <c r="D32" s="118"/>
      <c r="E32" s="118"/>
      <c r="F32" s="118"/>
      <c r="G32" s="118"/>
    </row>
    <row r="33" spans="2:7">
      <c r="B33" s="119" t="s">
        <v>71</v>
      </c>
      <c r="C33" s="118"/>
      <c r="D33" s="118"/>
      <c r="E33" s="118"/>
      <c r="F33" s="118"/>
      <c r="G33" s="118"/>
    </row>
    <row r="34" spans="2:7">
      <c r="B34" s="136" t="s">
        <v>273</v>
      </c>
      <c r="C34" s="118"/>
      <c r="D34" s="118"/>
      <c r="E34" s="118"/>
      <c r="F34" s="118"/>
      <c r="G34" s="118"/>
    </row>
    <row r="35" spans="2:7">
      <c r="B35" s="136" t="s">
        <v>258</v>
      </c>
      <c r="C35" s="118"/>
      <c r="D35" s="118"/>
      <c r="E35" s="118"/>
      <c r="F35" s="118"/>
      <c r="G35" s="118"/>
    </row>
    <row r="36" spans="2:7">
      <c r="B36" s="136" t="s">
        <v>259</v>
      </c>
      <c r="C36" s="118"/>
      <c r="D36" s="118"/>
      <c r="E36" s="118"/>
      <c r="F36" s="118"/>
      <c r="G36" s="118"/>
    </row>
    <row r="37" spans="2:7">
      <c r="B37" s="136" t="s">
        <v>260</v>
      </c>
      <c r="C37" s="118"/>
      <c r="D37" s="118"/>
      <c r="E37" s="118"/>
      <c r="F37" s="118"/>
      <c r="G37" s="118"/>
    </row>
    <row r="38" spans="2:7">
      <c r="B38" s="136"/>
      <c r="C38" s="118"/>
      <c r="D38" s="118"/>
      <c r="E38" s="118"/>
      <c r="F38" s="118"/>
      <c r="G38" s="118"/>
    </row>
    <row r="39" spans="2:7">
      <c r="B39" s="136"/>
      <c r="C39" s="118"/>
      <c r="D39" s="118"/>
      <c r="E39" s="118"/>
      <c r="F39" s="118"/>
      <c r="G39" s="118"/>
    </row>
    <row r="40" spans="2:7">
      <c r="B40" s="136"/>
      <c r="C40" s="118"/>
      <c r="D40" s="118"/>
      <c r="E40" s="118"/>
      <c r="F40" s="118"/>
      <c r="G40" s="118"/>
    </row>
    <row r="41" spans="2:7">
      <c r="B41" s="136"/>
      <c r="C41" s="118"/>
      <c r="D41" s="118"/>
      <c r="E41" s="118"/>
      <c r="F41" s="118"/>
      <c r="G41" s="118"/>
    </row>
    <row r="42" spans="2:7">
      <c r="B42" s="136"/>
      <c r="C42" s="118"/>
      <c r="D42" s="118"/>
      <c r="E42" s="118"/>
      <c r="F42" s="118"/>
      <c r="G42" s="118"/>
    </row>
    <row r="43" spans="2:7">
      <c r="B43" s="47"/>
      <c r="C43" s="118"/>
      <c r="D43" s="118"/>
      <c r="E43" s="118"/>
      <c r="F43" s="118"/>
      <c r="G43" s="118"/>
    </row>
    <row r="44" spans="2:7">
      <c r="B44" s="47"/>
      <c r="C44" s="118"/>
      <c r="D44" s="118"/>
      <c r="E44" s="118"/>
      <c r="F44" s="118"/>
      <c r="G44" s="118"/>
    </row>
    <row r="45" spans="2:7">
      <c r="B45" s="47"/>
      <c r="C45" s="118"/>
      <c r="D45" s="118"/>
      <c r="E45" s="118"/>
      <c r="F45" s="118"/>
      <c r="G45" s="118"/>
    </row>
    <row r="46" spans="2:7">
      <c r="B46" s="47"/>
      <c r="C46" s="118"/>
      <c r="D46" s="118"/>
      <c r="E46" s="118"/>
      <c r="F46" s="118"/>
      <c r="G46" s="118"/>
    </row>
    <row r="47" spans="2:7">
      <c r="B47" s="47"/>
      <c r="C47" s="118"/>
      <c r="D47" s="118"/>
      <c r="E47" s="118"/>
      <c r="F47" s="118"/>
      <c r="G47" s="118"/>
    </row>
    <row r="48" spans="2:7">
      <c r="B48" s="47"/>
      <c r="C48" s="118"/>
      <c r="D48" s="118"/>
      <c r="E48" s="118"/>
      <c r="F48" s="118"/>
      <c r="G48" s="118"/>
    </row>
    <row r="49" spans="2:7">
      <c r="B49" s="47"/>
      <c r="C49" s="118"/>
      <c r="D49" s="118"/>
      <c r="E49" s="118"/>
      <c r="F49" s="118"/>
      <c r="G49" s="118"/>
    </row>
    <row r="50" spans="2:7">
      <c r="B50" s="47"/>
      <c r="C50" s="118"/>
      <c r="D50" s="118"/>
      <c r="E50" s="118"/>
      <c r="F50" s="118"/>
      <c r="G50" s="118"/>
    </row>
    <row r="51" spans="2:7">
      <c r="B51" s="47"/>
      <c r="C51" s="118"/>
      <c r="D51" s="118"/>
      <c r="E51" s="118"/>
      <c r="F51" s="118"/>
      <c r="G51" s="118"/>
    </row>
    <row r="52" spans="2:7">
      <c r="B52" s="47"/>
      <c r="C52" s="118"/>
      <c r="D52" s="118"/>
      <c r="E52" s="118"/>
      <c r="F52" s="118"/>
      <c r="G52" s="118"/>
    </row>
    <row r="53" spans="2:7">
      <c r="B53" s="47"/>
      <c r="C53" s="118"/>
      <c r="D53" s="118"/>
      <c r="E53" s="118"/>
      <c r="F53" s="118"/>
      <c r="G53" s="118"/>
    </row>
    <row r="54" spans="2:7">
      <c r="B54" s="47"/>
      <c r="C54" s="118"/>
      <c r="D54" s="118"/>
      <c r="E54" s="118"/>
      <c r="F54" s="118"/>
      <c r="G54" s="118"/>
    </row>
    <row r="55" spans="2:7">
      <c r="B55" s="47"/>
      <c r="C55" s="118"/>
      <c r="D55" s="118"/>
      <c r="E55" s="118"/>
      <c r="F55" s="118"/>
      <c r="G55" s="118"/>
    </row>
    <row r="56" spans="2:7">
      <c r="B56" s="47"/>
      <c r="C56" s="118"/>
      <c r="D56" s="118"/>
      <c r="E56" s="118"/>
      <c r="F56" s="118"/>
      <c r="G56" s="118"/>
    </row>
    <row r="57" spans="2:7">
      <c r="B57" s="47"/>
      <c r="C57" s="118"/>
      <c r="D57" s="118"/>
      <c r="E57" s="118"/>
      <c r="F57" s="118"/>
      <c r="G57" s="118"/>
    </row>
    <row r="58" spans="2:7">
      <c r="B58" s="47"/>
      <c r="C58" s="118"/>
      <c r="D58" s="118"/>
      <c r="E58" s="118"/>
      <c r="F58" s="118"/>
      <c r="G58" s="118"/>
    </row>
    <row r="59" spans="2:7">
      <c r="B59" s="47"/>
      <c r="C59" s="118"/>
      <c r="D59" s="118"/>
      <c r="E59" s="118"/>
      <c r="F59" s="118"/>
      <c r="G59" s="118"/>
    </row>
    <row r="60" spans="2:7">
      <c r="B60" s="47"/>
      <c r="C60" s="118"/>
      <c r="D60" s="118"/>
      <c r="E60" s="118"/>
      <c r="F60" s="118"/>
      <c r="G60" s="118"/>
    </row>
    <row r="61" spans="2:7">
      <c r="B61" s="47"/>
      <c r="C61" s="118"/>
      <c r="D61" s="118"/>
      <c r="E61" s="118"/>
      <c r="F61" s="118"/>
      <c r="G61" s="118"/>
    </row>
    <row r="62" spans="2:7">
      <c r="B62" s="47"/>
      <c r="C62" s="118"/>
      <c r="D62" s="118"/>
      <c r="E62" s="118"/>
      <c r="F62" s="118"/>
      <c r="G62" s="118"/>
    </row>
    <row r="63" spans="2:7">
      <c r="B63" s="47"/>
      <c r="C63" s="118"/>
      <c r="D63" s="118"/>
      <c r="E63" s="118"/>
      <c r="F63" s="118"/>
      <c r="G63" s="118"/>
    </row>
    <row r="64" spans="2:7">
      <c r="B64" s="47"/>
      <c r="C64" s="118"/>
      <c r="D64" s="118"/>
      <c r="E64" s="118"/>
      <c r="F64" s="118"/>
      <c r="G64" s="118"/>
    </row>
    <row r="65" spans="2:7">
      <c r="B65" s="47"/>
      <c r="C65" s="118"/>
      <c r="D65" s="118"/>
      <c r="E65" s="118"/>
      <c r="F65" s="118"/>
      <c r="G65" s="118"/>
    </row>
    <row r="66" spans="2:7">
      <c r="B66" s="47"/>
      <c r="C66" s="118"/>
      <c r="D66" s="118"/>
      <c r="E66" s="118"/>
      <c r="F66" s="118"/>
      <c r="G66" s="118"/>
    </row>
    <row r="67" spans="2:7">
      <c r="B67" s="47"/>
      <c r="C67" s="118"/>
      <c r="D67" s="118"/>
      <c r="E67" s="118"/>
      <c r="F67" s="118"/>
      <c r="G67" s="118"/>
    </row>
    <row r="68" spans="2:7">
      <c r="B68" s="47"/>
      <c r="C68" s="118"/>
      <c r="D68" s="118"/>
      <c r="E68" s="118"/>
      <c r="F68" s="118"/>
      <c r="G68" s="118"/>
    </row>
    <row r="69" spans="2:7">
      <c r="B69" s="47"/>
      <c r="C69" s="118"/>
      <c r="D69" s="118"/>
      <c r="E69" s="118"/>
      <c r="F69" s="118"/>
      <c r="G69" s="118"/>
    </row>
    <row r="70" spans="2:7">
      <c r="B70" s="47"/>
      <c r="C70" s="118"/>
      <c r="D70" s="118"/>
      <c r="E70" s="118"/>
      <c r="F70" s="118"/>
      <c r="G70" s="118"/>
    </row>
    <row r="71" spans="2:7">
      <c r="B71" s="47"/>
      <c r="C71" s="118"/>
      <c r="D71" s="118"/>
      <c r="E71" s="118"/>
      <c r="F71" s="118"/>
      <c r="G71" s="118"/>
    </row>
    <row r="72" spans="2:7">
      <c r="B72" s="47"/>
      <c r="C72" s="118"/>
      <c r="D72" s="118"/>
      <c r="E72" s="118"/>
      <c r="F72" s="118"/>
      <c r="G72" s="118"/>
    </row>
    <row r="73" spans="2:7">
      <c r="B73" s="47"/>
      <c r="C73" s="118"/>
      <c r="D73" s="118"/>
      <c r="E73" s="118"/>
      <c r="F73" s="118"/>
      <c r="G73" s="118"/>
    </row>
    <row r="74" spans="2:7">
      <c r="B74" s="47"/>
      <c r="C74" s="118"/>
      <c r="D74" s="118"/>
      <c r="E74" s="118"/>
      <c r="F74" s="118"/>
      <c r="G74" s="118"/>
    </row>
    <row r="75" spans="2:7">
      <c r="B75" s="47"/>
      <c r="C75" s="118"/>
      <c r="D75" s="118"/>
      <c r="E75" s="118"/>
      <c r="F75" s="118"/>
      <c r="G75" s="118"/>
    </row>
    <row r="76" spans="2:7">
      <c r="B76" s="47"/>
      <c r="C76" s="118"/>
      <c r="D76" s="118"/>
      <c r="E76" s="118"/>
      <c r="F76" s="118"/>
      <c r="G76" s="118"/>
    </row>
    <row r="77" spans="2:7">
      <c r="B77" s="47"/>
      <c r="C77" s="118"/>
      <c r="D77" s="118"/>
      <c r="E77" s="118"/>
      <c r="F77" s="118"/>
      <c r="G77" s="118"/>
    </row>
    <row r="78" spans="2:7">
      <c r="B78" s="47"/>
      <c r="C78" s="118"/>
      <c r="D78" s="118"/>
      <c r="E78" s="118"/>
      <c r="F78" s="118"/>
      <c r="G78" s="118"/>
    </row>
    <row r="79" spans="2:7">
      <c r="B79" s="47"/>
      <c r="C79" s="118"/>
      <c r="D79" s="118"/>
      <c r="E79" s="118"/>
      <c r="F79" s="118"/>
      <c r="G79" s="118"/>
    </row>
    <row r="80" spans="2:7">
      <c r="B80" s="47"/>
      <c r="C80" s="118"/>
      <c r="D80" s="118"/>
      <c r="E80" s="118"/>
      <c r="F80" s="118"/>
      <c r="G80" s="118"/>
    </row>
    <row r="81" spans="2:7">
      <c r="B81" s="47"/>
      <c r="C81" s="118"/>
      <c r="D81" s="118"/>
      <c r="E81" s="118"/>
      <c r="F81" s="118"/>
      <c r="G81" s="118"/>
    </row>
    <row r="82" spans="2:7">
      <c r="B82" s="47"/>
      <c r="C82" s="118"/>
      <c r="D82" s="118"/>
      <c r="E82" s="118"/>
      <c r="F82" s="118"/>
      <c r="G82" s="118"/>
    </row>
    <row r="83" spans="2:7">
      <c r="B83" s="47"/>
      <c r="C83" s="118"/>
      <c r="D83" s="118"/>
      <c r="E83" s="118"/>
      <c r="F83" s="118"/>
      <c r="G83" s="118"/>
    </row>
    <row r="84" spans="2:7">
      <c r="B84" s="47"/>
      <c r="C84" s="118"/>
      <c r="D84" s="118"/>
      <c r="E84" s="118"/>
      <c r="F84" s="118"/>
      <c r="G84" s="118"/>
    </row>
    <row r="85" spans="2:7">
      <c r="B85" s="47"/>
      <c r="C85" s="118"/>
      <c r="D85" s="118"/>
      <c r="E85" s="118"/>
      <c r="F85" s="118"/>
      <c r="G85" s="118"/>
    </row>
    <row r="86" spans="2:7">
      <c r="B86" s="47"/>
      <c r="C86" s="118"/>
      <c r="D86" s="118"/>
      <c r="E86" s="118"/>
      <c r="F86" s="118"/>
      <c r="G86" s="118"/>
    </row>
    <row r="87" spans="2:7">
      <c r="B87" s="47"/>
      <c r="C87" s="118"/>
      <c r="D87" s="118"/>
      <c r="E87" s="118"/>
      <c r="F87" s="118"/>
      <c r="G87" s="118"/>
    </row>
    <row r="88" spans="2:7">
      <c r="B88" s="47"/>
      <c r="C88" s="118"/>
      <c r="D88" s="118"/>
      <c r="E88" s="118"/>
      <c r="F88" s="118"/>
      <c r="G88" s="118"/>
    </row>
    <row r="89" spans="2:7">
      <c r="B89" s="47"/>
      <c r="C89" s="118"/>
      <c r="D89" s="118"/>
      <c r="E89" s="118"/>
      <c r="F89" s="118"/>
      <c r="G89" s="118"/>
    </row>
    <row r="90" spans="2:7">
      <c r="B90" s="47"/>
      <c r="C90" s="118"/>
      <c r="D90" s="118"/>
      <c r="E90" s="118"/>
      <c r="F90" s="118"/>
      <c r="G90" s="118"/>
    </row>
    <row r="91" spans="2:7">
      <c r="B91" s="47"/>
      <c r="C91" s="118"/>
      <c r="D91" s="118"/>
      <c r="E91" s="118"/>
      <c r="F91" s="118"/>
      <c r="G91" s="118"/>
    </row>
    <row r="92" spans="2:7">
      <c r="B92" s="47"/>
      <c r="C92" s="118"/>
      <c r="D92" s="118"/>
      <c r="E92" s="118"/>
      <c r="F92" s="118"/>
      <c r="G92" s="118"/>
    </row>
    <row r="93" spans="2:7">
      <c r="B93" s="47"/>
      <c r="C93" s="118"/>
      <c r="D93" s="118"/>
      <c r="E93" s="118"/>
      <c r="F93" s="118"/>
      <c r="G93" s="118"/>
    </row>
    <row r="94" spans="2:7">
      <c r="B94" s="47"/>
      <c r="C94" s="118"/>
      <c r="D94" s="118"/>
      <c r="E94" s="118"/>
      <c r="F94" s="118"/>
      <c r="G94" s="118"/>
    </row>
    <row r="95" spans="2:7">
      <c r="B95" s="47"/>
      <c r="C95" s="118"/>
      <c r="D95" s="118"/>
      <c r="E95" s="118"/>
      <c r="F95" s="118"/>
      <c r="G95" s="118"/>
    </row>
    <row r="96" spans="2:7">
      <c r="B96" s="47"/>
      <c r="C96" s="118"/>
      <c r="D96" s="118"/>
      <c r="E96" s="118"/>
      <c r="F96" s="118"/>
      <c r="G96" s="118"/>
    </row>
    <row r="97" spans="2:7">
      <c r="B97" s="47"/>
      <c r="C97" s="118"/>
      <c r="D97" s="118"/>
      <c r="E97" s="118"/>
      <c r="F97" s="118"/>
      <c r="G97" s="118"/>
    </row>
    <row r="98" spans="2:7">
      <c r="B98" s="47"/>
      <c r="C98" s="118"/>
      <c r="D98" s="118"/>
      <c r="E98" s="118"/>
      <c r="F98" s="118"/>
      <c r="G98" s="118"/>
    </row>
    <row r="99" spans="2:7">
      <c r="B99" s="47"/>
      <c r="C99" s="118"/>
      <c r="D99" s="118"/>
      <c r="E99" s="118"/>
      <c r="F99" s="118"/>
      <c r="G99" s="118"/>
    </row>
    <row r="100" spans="2:7">
      <c r="B100" s="47"/>
      <c r="C100" s="118"/>
      <c r="D100" s="118"/>
      <c r="E100" s="118"/>
      <c r="F100" s="118"/>
      <c r="G100" s="118"/>
    </row>
    <row r="101" spans="2:7">
      <c r="B101" s="47"/>
      <c r="C101" s="118"/>
      <c r="D101" s="118"/>
      <c r="E101" s="118"/>
      <c r="F101" s="118"/>
      <c r="G101" s="118"/>
    </row>
    <row r="102" spans="2:7">
      <c r="B102" s="47"/>
      <c r="C102" s="118"/>
      <c r="D102" s="118"/>
      <c r="E102" s="118"/>
      <c r="F102" s="118"/>
      <c r="G102" s="118"/>
    </row>
    <row r="103" spans="2:7">
      <c r="B103" s="47"/>
      <c r="C103" s="118"/>
      <c r="D103" s="118"/>
      <c r="E103" s="118"/>
      <c r="F103" s="118"/>
      <c r="G103" s="118"/>
    </row>
    <row r="104" spans="2:7">
      <c r="B104" s="47"/>
      <c r="C104" s="118"/>
      <c r="D104" s="118"/>
      <c r="E104" s="118"/>
      <c r="F104" s="118"/>
      <c r="G104" s="118"/>
    </row>
    <row r="105" spans="2:7">
      <c r="B105" s="47"/>
      <c r="C105" s="118"/>
      <c r="D105" s="118"/>
      <c r="E105" s="118"/>
      <c r="F105" s="118"/>
      <c r="G105" s="118"/>
    </row>
    <row r="106" spans="2:7">
      <c r="B106" s="47"/>
      <c r="C106" s="118"/>
      <c r="D106" s="118"/>
      <c r="E106" s="118"/>
      <c r="F106" s="118"/>
      <c r="G106" s="118"/>
    </row>
    <row r="107" spans="2:7">
      <c r="B107" s="47"/>
      <c r="C107" s="118"/>
      <c r="D107" s="118"/>
      <c r="E107" s="118"/>
      <c r="F107" s="118"/>
      <c r="G107" s="118"/>
    </row>
    <row r="108" spans="2:7">
      <c r="B108" s="47"/>
      <c r="C108" s="118"/>
      <c r="D108" s="118"/>
      <c r="E108" s="118"/>
      <c r="F108" s="118"/>
      <c r="G108" s="118"/>
    </row>
    <row r="109" spans="2:7">
      <c r="B109" s="47"/>
      <c r="C109" s="118"/>
      <c r="D109" s="118"/>
      <c r="E109" s="118"/>
      <c r="F109" s="118"/>
      <c r="G109" s="118"/>
    </row>
    <row r="110" spans="2:7">
      <c r="B110" s="47"/>
      <c r="C110" s="118"/>
      <c r="D110" s="118"/>
      <c r="E110" s="118"/>
      <c r="F110" s="118"/>
      <c r="G110" s="118"/>
    </row>
    <row r="111" spans="2:7">
      <c r="B111" s="47"/>
      <c r="C111" s="118"/>
      <c r="D111" s="118"/>
      <c r="E111" s="118"/>
      <c r="F111" s="118"/>
      <c r="G111" s="118"/>
    </row>
    <row r="112" spans="2:7">
      <c r="B112" s="47"/>
      <c r="C112" s="118"/>
      <c r="D112" s="118"/>
      <c r="E112" s="118"/>
      <c r="F112" s="118"/>
      <c r="G112" s="118"/>
    </row>
    <row r="113" spans="2:7">
      <c r="B113" s="47"/>
      <c r="C113" s="118"/>
      <c r="D113" s="118"/>
      <c r="E113" s="118"/>
      <c r="F113" s="118"/>
      <c r="G113" s="118"/>
    </row>
    <row r="114" spans="2:7">
      <c r="B114" s="47"/>
      <c r="C114" s="118"/>
      <c r="D114" s="118"/>
      <c r="E114" s="118"/>
      <c r="F114" s="118"/>
      <c r="G114" s="118"/>
    </row>
    <row r="115" spans="2:7">
      <c r="B115" s="47"/>
      <c r="C115" s="118"/>
      <c r="D115" s="118"/>
      <c r="E115" s="118"/>
      <c r="F115" s="118"/>
      <c r="G115" s="118"/>
    </row>
    <row r="116" spans="2:7">
      <c r="B116" s="47"/>
      <c r="C116" s="118"/>
      <c r="D116" s="118"/>
      <c r="E116" s="118"/>
      <c r="F116" s="118"/>
      <c r="G116" s="118"/>
    </row>
    <row r="117" spans="2:7">
      <c r="B117" s="47"/>
      <c r="C117" s="118"/>
      <c r="D117" s="118"/>
      <c r="E117" s="118"/>
      <c r="F117" s="118"/>
      <c r="G117" s="118"/>
    </row>
    <row r="118" spans="2:7">
      <c r="B118" s="47"/>
      <c r="C118" s="118"/>
      <c r="D118" s="118"/>
      <c r="E118" s="118"/>
      <c r="F118" s="118"/>
      <c r="G118" s="118"/>
    </row>
    <row r="119" spans="2:7">
      <c r="B119" s="47"/>
      <c r="C119" s="118"/>
      <c r="D119" s="118"/>
      <c r="E119" s="118"/>
      <c r="F119" s="118"/>
      <c r="G119" s="118"/>
    </row>
    <row r="120" spans="2:7">
      <c r="B120" s="47"/>
      <c r="C120" s="118"/>
      <c r="D120" s="118"/>
      <c r="E120" s="118"/>
      <c r="F120" s="118"/>
      <c r="G120" s="118"/>
    </row>
    <row r="121" spans="2:7">
      <c r="B121" s="47"/>
      <c r="C121" s="118"/>
      <c r="D121" s="118"/>
      <c r="E121" s="118"/>
      <c r="F121" s="118"/>
      <c r="G121" s="118"/>
    </row>
    <row r="122" spans="2:7">
      <c r="B122" s="47"/>
      <c r="C122" s="118"/>
      <c r="D122" s="118"/>
      <c r="E122" s="118"/>
      <c r="F122" s="118"/>
      <c r="G122" s="118"/>
    </row>
    <row r="123" spans="2:7">
      <c r="B123" s="47"/>
      <c r="C123" s="118"/>
      <c r="D123" s="118"/>
      <c r="E123" s="118"/>
      <c r="F123" s="118"/>
      <c r="G123" s="118"/>
    </row>
    <row r="124" spans="2:7">
      <c r="B124" s="47"/>
      <c r="C124" s="118"/>
      <c r="D124" s="118"/>
      <c r="E124" s="118"/>
      <c r="F124" s="118"/>
      <c r="G124" s="118"/>
    </row>
    <row r="125" spans="2:7">
      <c r="B125" s="47"/>
      <c r="C125" s="118"/>
      <c r="D125" s="118"/>
      <c r="E125" s="118"/>
      <c r="F125" s="118"/>
      <c r="G125" s="118"/>
    </row>
    <row r="126" spans="2:7">
      <c r="B126" s="47"/>
      <c r="C126" s="118"/>
      <c r="D126" s="118"/>
      <c r="E126" s="118"/>
      <c r="F126" s="118"/>
      <c r="G126" s="118"/>
    </row>
    <row r="127" spans="2:7">
      <c r="B127" s="47"/>
      <c r="C127" s="118"/>
      <c r="D127" s="118"/>
      <c r="E127" s="118"/>
      <c r="F127" s="118"/>
      <c r="G127" s="118"/>
    </row>
    <row r="128" spans="2:7">
      <c r="B128" s="47"/>
      <c r="C128" s="118"/>
      <c r="D128" s="118"/>
      <c r="E128" s="118"/>
      <c r="F128" s="118"/>
      <c r="G128" s="118"/>
    </row>
    <row r="129" spans="2:7">
      <c r="B129" s="47"/>
      <c r="C129" s="118"/>
      <c r="D129" s="118"/>
      <c r="E129" s="118"/>
      <c r="F129" s="118"/>
      <c r="G129" s="118"/>
    </row>
    <row r="130" spans="2:7">
      <c r="B130" s="47"/>
      <c r="C130" s="118"/>
      <c r="D130" s="118"/>
      <c r="E130" s="118"/>
      <c r="F130" s="118"/>
      <c r="G130" s="118"/>
    </row>
    <row r="131" spans="2:7">
      <c r="B131" s="47"/>
      <c r="C131" s="118"/>
      <c r="D131" s="118"/>
      <c r="E131" s="118"/>
      <c r="F131" s="118"/>
      <c r="G131" s="118"/>
    </row>
    <row r="132" spans="2:7">
      <c r="B132" s="47"/>
      <c r="C132" s="118"/>
      <c r="D132" s="118"/>
      <c r="E132" s="118"/>
      <c r="F132" s="118"/>
      <c r="G132" s="118"/>
    </row>
    <row r="133" spans="2:7">
      <c r="B133" s="47"/>
      <c r="C133" s="118"/>
      <c r="D133" s="118"/>
      <c r="E133" s="118"/>
      <c r="F133" s="118"/>
      <c r="G133" s="118"/>
    </row>
    <row r="134" spans="2:7">
      <c r="B134" s="47"/>
      <c r="C134" s="118"/>
      <c r="D134" s="118"/>
      <c r="E134" s="118"/>
      <c r="F134" s="118"/>
      <c r="G134" s="118"/>
    </row>
    <row r="135" spans="2:7">
      <c r="B135" s="47"/>
      <c r="C135" s="118"/>
      <c r="D135" s="118"/>
      <c r="E135" s="118"/>
      <c r="F135" s="118"/>
      <c r="G135" s="118"/>
    </row>
    <row r="136" spans="2:7">
      <c r="B136" s="47"/>
      <c r="C136" s="118"/>
      <c r="D136" s="118"/>
      <c r="E136" s="118"/>
      <c r="F136" s="118"/>
      <c r="G136" s="118"/>
    </row>
    <row r="137" spans="2:7">
      <c r="B137" s="47"/>
      <c r="C137" s="118"/>
      <c r="D137" s="118"/>
      <c r="E137" s="118"/>
      <c r="F137" s="118"/>
      <c r="G137" s="118"/>
    </row>
    <row r="138" spans="2:7">
      <c r="B138" s="47"/>
      <c r="C138" s="118"/>
      <c r="D138" s="118"/>
      <c r="E138" s="118"/>
      <c r="F138" s="118"/>
      <c r="G138" s="118"/>
    </row>
    <row r="139" spans="2:7">
      <c r="B139" s="47"/>
      <c r="C139" s="118"/>
      <c r="D139" s="118"/>
      <c r="E139" s="118"/>
      <c r="F139" s="118"/>
      <c r="G139" s="118"/>
    </row>
    <row r="140" spans="2:7">
      <c r="B140" s="47"/>
      <c r="C140" s="118"/>
      <c r="D140" s="118"/>
      <c r="E140" s="118"/>
      <c r="F140" s="118"/>
      <c r="G140" s="118"/>
    </row>
    <row r="141" spans="2:7">
      <c r="B141" s="47"/>
      <c r="C141" s="118"/>
      <c r="D141" s="118"/>
      <c r="E141" s="118"/>
      <c r="F141" s="118"/>
      <c r="G141" s="118"/>
    </row>
    <row r="142" spans="2:7">
      <c r="B142" s="47"/>
      <c r="C142" s="118"/>
      <c r="D142" s="118"/>
      <c r="E142" s="118"/>
      <c r="F142" s="118"/>
      <c r="G142" s="118"/>
    </row>
    <row r="143" spans="2:7">
      <c r="B143" s="47"/>
      <c r="C143" s="118"/>
      <c r="D143" s="118"/>
      <c r="E143" s="118"/>
      <c r="F143" s="118"/>
      <c r="G143" s="118"/>
    </row>
    <row r="144" spans="2:7">
      <c r="B144" s="47"/>
      <c r="C144" s="118"/>
      <c r="D144" s="118"/>
      <c r="E144" s="118"/>
      <c r="F144" s="118"/>
      <c r="G144" s="118"/>
    </row>
    <row r="145" spans="2:7">
      <c r="B145" s="47"/>
      <c r="C145" s="118"/>
      <c r="D145" s="118"/>
      <c r="E145" s="118"/>
      <c r="F145" s="118"/>
      <c r="G145" s="118"/>
    </row>
    <row r="146" spans="2:7">
      <c r="B146" s="47"/>
      <c r="C146" s="118"/>
      <c r="D146" s="118"/>
      <c r="E146" s="118"/>
      <c r="F146" s="118"/>
      <c r="G146" s="118"/>
    </row>
    <row r="147" spans="2:7">
      <c r="B147" s="47"/>
      <c r="C147" s="118"/>
      <c r="D147" s="118"/>
      <c r="E147" s="118"/>
      <c r="F147" s="118"/>
      <c r="G147" s="118"/>
    </row>
    <row r="148" spans="2:7">
      <c r="B148" s="47"/>
      <c r="C148" s="118"/>
      <c r="D148" s="118"/>
      <c r="E148" s="118"/>
      <c r="F148" s="118"/>
      <c r="G148" s="118"/>
    </row>
    <row r="149" spans="2:7">
      <c r="B149" s="47"/>
      <c r="C149" s="118"/>
      <c r="D149" s="118"/>
      <c r="E149" s="118"/>
      <c r="F149" s="118"/>
      <c r="G149" s="118"/>
    </row>
    <row r="150" spans="2:7">
      <c r="B150" s="47"/>
      <c r="C150" s="118"/>
      <c r="D150" s="118"/>
      <c r="E150" s="118"/>
      <c r="F150" s="118"/>
      <c r="G150" s="118"/>
    </row>
    <row r="151" spans="2:7">
      <c r="B151" s="47"/>
      <c r="C151" s="118"/>
      <c r="D151" s="118"/>
      <c r="E151" s="118"/>
      <c r="F151" s="118"/>
      <c r="G151" s="118"/>
    </row>
    <row r="152" spans="2:7">
      <c r="B152" s="47"/>
      <c r="C152" s="118"/>
      <c r="D152" s="118"/>
      <c r="E152" s="118"/>
      <c r="F152" s="118"/>
      <c r="G152" s="118"/>
    </row>
    <row r="153" spans="2:7">
      <c r="B153" s="47"/>
      <c r="C153" s="118"/>
      <c r="D153" s="118"/>
      <c r="E153" s="118"/>
      <c r="F153" s="118"/>
      <c r="G153" s="118"/>
    </row>
    <row r="154" spans="2:7">
      <c r="B154" s="47"/>
      <c r="C154" s="118"/>
      <c r="D154" s="118"/>
      <c r="E154" s="118"/>
      <c r="F154" s="118"/>
      <c r="G154" s="118"/>
    </row>
    <row r="155" spans="2:7">
      <c r="B155" s="47"/>
      <c r="C155" s="118"/>
      <c r="D155" s="118"/>
      <c r="E155" s="118"/>
      <c r="F155" s="118"/>
      <c r="G155" s="118"/>
    </row>
    <row r="156" spans="2:7">
      <c r="B156" s="47"/>
      <c r="C156" s="118"/>
      <c r="D156" s="118"/>
      <c r="E156" s="118"/>
      <c r="F156" s="118"/>
      <c r="G156" s="118"/>
    </row>
    <row r="157" spans="2:7">
      <c r="B157" s="47"/>
      <c r="C157" s="118"/>
      <c r="D157" s="118"/>
      <c r="E157" s="118"/>
      <c r="F157" s="118"/>
      <c r="G157" s="118"/>
    </row>
    <row r="158" spans="2:7">
      <c r="B158" s="47"/>
      <c r="C158" s="118"/>
      <c r="D158" s="118"/>
      <c r="E158" s="118"/>
      <c r="F158" s="118"/>
      <c r="G158" s="118"/>
    </row>
    <row r="159" spans="2:7">
      <c r="B159" s="47"/>
      <c r="C159" s="118"/>
      <c r="D159" s="118"/>
      <c r="E159" s="118"/>
      <c r="F159" s="118"/>
      <c r="G159" s="118"/>
    </row>
    <row r="160" spans="2:7">
      <c r="B160" s="47"/>
      <c r="C160" s="118"/>
      <c r="D160" s="118"/>
      <c r="E160" s="118"/>
      <c r="F160" s="118"/>
      <c r="G160" s="118"/>
    </row>
    <row r="161" spans="2:7">
      <c r="B161" s="47"/>
      <c r="C161" s="118"/>
      <c r="D161" s="118"/>
      <c r="E161" s="118"/>
      <c r="F161" s="118"/>
      <c r="G161" s="118"/>
    </row>
    <row r="162" spans="2:7">
      <c r="B162" s="47"/>
      <c r="C162" s="118"/>
      <c r="D162" s="118"/>
      <c r="E162" s="118"/>
      <c r="F162" s="118"/>
      <c r="G162" s="118"/>
    </row>
    <row r="163" spans="2:7">
      <c r="B163" s="47"/>
      <c r="C163" s="118"/>
      <c r="D163" s="118"/>
      <c r="E163" s="118"/>
      <c r="F163" s="118"/>
      <c r="G163" s="118"/>
    </row>
    <row r="164" spans="2:7">
      <c r="B164" s="47"/>
      <c r="C164" s="118"/>
      <c r="D164" s="118"/>
      <c r="E164" s="118"/>
      <c r="F164" s="118"/>
      <c r="G164" s="118"/>
    </row>
    <row r="165" spans="2:7">
      <c r="B165" s="47"/>
      <c r="C165" s="118"/>
      <c r="D165" s="118"/>
      <c r="E165" s="118"/>
      <c r="F165" s="118"/>
      <c r="G165" s="118"/>
    </row>
    <row r="166" spans="2:7">
      <c r="B166" s="47"/>
      <c r="C166" s="118"/>
      <c r="D166" s="118"/>
      <c r="E166" s="118"/>
      <c r="F166" s="118"/>
      <c r="G166" s="118"/>
    </row>
    <row r="167" spans="2:7">
      <c r="B167" s="47"/>
      <c r="C167" s="118"/>
      <c r="D167" s="118"/>
      <c r="E167" s="118"/>
      <c r="F167" s="118"/>
      <c r="G167" s="118"/>
    </row>
    <row r="168" spans="2:7">
      <c r="B168" s="47"/>
      <c r="C168" s="118"/>
      <c r="D168" s="118"/>
      <c r="E168" s="118"/>
      <c r="F168" s="118"/>
      <c r="G168" s="118"/>
    </row>
    <row r="169" spans="2:7">
      <c r="B169" s="47"/>
      <c r="C169" s="118"/>
      <c r="D169" s="118"/>
      <c r="E169" s="118"/>
      <c r="F169" s="118"/>
      <c r="G169" s="118"/>
    </row>
    <row r="170" spans="2:7">
      <c r="B170" s="47"/>
      <c r="C170" s="118"/>
      <c r="D170" s="118"/>
      <c r="E170" s="118"/>
      <c r="F170" s="118"/>
      <c r="G170" s="118"/>
    </row>
    <row r="171" spans="2:7">
      <c r="B171" s="47"/>
      <c r="C171" s="118"/>
      <c r="D171" s="118"/>
      <c r="E171" s="118"/>
      <c r="F171" s="118"/>
      <c r="G171" s="118"/>
    </row>
    <row r="172" spans="2:7">
      <c r="B172" s="47"/>
      <c r="C172" s="118"/>
      <c r="D172" s="118"/>
      <c r="E172" s="118"/>
      <c r="F172" s="118"/>
      <c r="G172" s="118"/>
    </row>
    <row r="173" spans="2:7">
      <c r="B173" s="47"/>
      <c r="C173" s="118"/>
      <c r="D173" s="118"/>
      <c r="E173" s="118"/>
      <c r="F173" s="118"/>
      <c r="G173" s="118"/>
    </row>
    <row r="174" spans="2:7">
      <c r="B174" s="47"/>
      <c r="C174" s="118"/>
      <c r="D174" s="118"/>
      <c r="E174" s="118"/>
      <c r="F174" s="118"/>
      <c r="G174" s="118"/>
    </row>
    <row r="175" spans="2:7">
      <c r="B175" s="47"/>
      <c r="C175" s="118"/>
      <c r="D175" s="118"/>
      <c r="E175" s="118"/>
      <c r="F175" s="118"/>
      <c r="G175" s="118"/>
    </row>
    <row r="176" spans="2:7">
      <c r="B176" s="47"/>
      <c r="C176" s="118"/>
      <c r="D176" s="118"/>
      <c r="E176" s="118"/>
      <c r="F176" s="118"/>
      <c r="G176" s="118"/>
    </row>
    <row r="177" spans="2:7">
      <c r="B177" s="47"/>
      <c r="C177" s="118"/>
      <c r="D177" s="118"/>
      <c r="E177" s="118"/>
      <c r="F177" s="118"/>
      <c r="G177" s="118"/>
    </row>
    <row r="178" spans="2:7">
      <c r="B178" s="47"/>
      <c r="C178" s="118"/>
      <c r="D178" s="118"/>
      <c r="E178" s="118"/>
      <c r="F178" s="118"/>
      <c r="G178" s="118"/>
    </row>
    <row r="179" spans="2:7">
      <c r="B179" s="47"/>
      <c r="C179" s="118"/>
      <c r="D179" s="118"/>
      <c r="E179" s="118"/>
      <c r="F179" s="118"/>
      <c r="G179" s="118"/>
    </row>
    <row r="180" spans="2:7">
      <c r="B180" s="47"/>
      <c r="C180" s="118"/>
      <c r="D180" s="118"/>
      <c r="E180" s="118"/>
      <c r="F180" s="118"/>
      <c r="G180" s="118"/>
    </row>
    <row r="181" spans="2:7">
      <c r="B181" s="47"/>
      <c r="C181" s="118"/>
      <c r="D181" s="118"/>
      <c r="E181" s="118"/>
      <c r="F181" s="118"/>
      <c r="G181" s="118"/>
    </row>
    <row r="182" spans="2:7">
      <c r="B182" s="47"/>
      <c r="C182" s="118"/>
      <c r="D182" s="118"/>
      <c r="E182" s="118"/>
      <c r="F182" s="118"/>
      <c r="G182" s="118"/>
    </row>
    <row r="183" spans="2:7">
      <c r="B183" s="47"/>
      <c r="C183" s="118"/>
      <c r="D183" s="118"/>
      <c r="E183" s="118"/>
      <c r="F183" s="118"/>
      <c r="G183" s="118"/>
    </row>
    <row r="184" spans="2:7">
      <c r="B184" s="47"/>
      <c r="C184" s="118"/>
      <c r="D184" s="118"/>
      <c r="E184" s="118"/>
      <c r="F184" s="118"/>
      <c r="G184" s="118"/>
    </row>
    <row r="185" spans="2:7">
      <c r="B185" s="47"/>
      <c r="C185" s="118"/>
      <c r="D185" s="118"/>
      <c r="E185" s="118"/>
      <c r="F185" s="118"/>
      <c r="G185" s="118"/>
    </row>
    <row r="186" spans="2:7">
      <c r="B186" s="47"/>
      <c r="C186" s="118"/>
      <c r="D186" s="118"/>
      <c r="E186" s="118"/>
      <c r="F186" s="118"/>
      <c r="G186" s="118"/>
    </row>
    <row r="187" spans="2:7">
      <c r="B187" s="47"/>
      <c r="C187" s="118"/>
      <c r="D187" s="118"/>
      <c r="E187" s="118"/>
      <c r="F187" s="118"/>
      <c r="G187" s="118"/>
    </row>
    <row r="188" spans="2:7">
      <c r="B188" s="47"/>
      <c r="C188" s="118"/>
      <c r="D188" s="118"/>
      <c r="E188" s="118"/>
      <c r="F188" s="118"/>
      <c r="G188" s="118"/>
    </row>
    <row r="189" spans="2:7">
      <c r="B189" s="47"/>
      <c r="C189" s="118"/>
      <c r="D189" s="118"/>
      <c r="E189" s="118"/>
      <c r="F189" s="118"/>
      <c r="G189" s="118"/>
    </row>
    <row r="190" spans="2:7">
      <c r="B190" s="47"/>
      <c r="C190" s="118"/>
      <c r="D190" s="118"/>
      <c r="E190" s="118"/>
      <c r="F190" s="118"/>
      <c r="G190" s="118"/>
    </row>
    <row r="191" spans="2:7">
      <c r="B191" s="47"/>
      <c r="C191" s="118"/>
      <c r="D191" s="118"/>
      <c r="E191" s="118"/>
      <c r="F191" s="118"/>
      <c r="G191" s="118"/>
    </row>
    <row r="192" spans="2:7">
      <c r="B192" s="47"/>
      <c r="C192" s="118"/>
      <c r="D192" s="118"/>
      <c r="E192" s="118"/>
      <c r="F192" s="118"/>
      <c r="G192" s="118"/>
    </row>
    <row r="193" spans="2:7">
      <c r="B193" s="47"/>
      <c r="C193" s="118"/>
      <c r="D193" s="118"/>
      <c r="E193" s="118"/>
      <c r="F193" s="118"/>
      <c r="G193" s="118"/>
    </row>
    <row r="194" spans="2:7">
      <c r="B194" s="47"/>
      <c r="C194" s="118"/>
      <c r="D194" s="118"/>
      <c r="E194" s="118"/>
      <c r="F194" s="118"/>
      <c r="G194" s="118"/>
    </row>
    <row r="195" spans="2:7">
      <c r="B195" s="47"/>
      <c r="C195" s="118"/>
      <c r="D195" s="118"/>
      <c r="E195" s="118"/>
      <c r="F195" s="118"/>
      <c r="G195" s="118"/>
    </row>
    <row r="196" spans="2:7">
      <c r="B196" s="47"/>
      <c r="C196" s="118"/>
      <c r="D196" s="118"/>
      <c r="E196" s="118"/>
      <c r="F196" s="118"/>
      <c r="G196" s="118"/>
    </row>
    <row r="197" spans="2:7">
      <c r="B197" s="47"/>
      <c r="C197" s="118"/>
      <c r="D197" s="118"/>
      <c r="E197" s="118"/>
      <c r="F197" s="118"/>
      <c r="G197" s="118"/>
    </row>
    <row r="198" spans="2:7">
      <c r="B198" s="47"/>
      <c r="C198" s="118"/>
      <c r="D198" s="118"/>
      <c r="E198" s="118"/>
      <c r="F198" s="118"/>
      <c r="G198" s="118"/>
    </row>
    <row r="199" spans="2:7">
      <c r="B199" s="47"/>
      <c r="C199" s="118"/>
      <c r="D199" s="118"/>
      <c r="E199" s="118"/>
      <c r="F199" s="118"/>
      <c r="G199" s="118"/>
    </row>
    <row r="200" spans="2:7">
      <c r="B200" s="47"/>
      <c r="C200" s="118"/>
      <c r="D200" s="118"/>
      <c r="E200" s="118"/>
      <c r="F200" s="118"/>
      <c r="G200" s="118"/>
    </row>
    <row r="201" spans="2:7">
      <c r="B201" s="47"/>
      <c r="C201" s="118"/>
      <c r="D201" s="118"/>
      <c r="E201" s="118"/>
      <c r="F201" s="118"/>
      <c r="G201" s="118"/>
    </row>
    <row r="202" spans="2:7">
      <c r="B202" s="47"/>
      <c r="C202" s="118"/>
      <c r="D202" s="118"/>
      <c r="E202" s="118"/>
      <c r="F202" s="118"/>
      <c r="G202" s="118"/>
    </row>
    <row r="203" spans="2:7">
      <c r="B203" s="47"/>
      <c r="C203" s="118"/>
      <c r="D203" s="118"/>
      <c r="E203" s="118"/>
      <c r="F203" s="118"/>
      <c r="G203" s="118"/>
    </row>
    <row r="204" spans="2:7">
      <c r="B204" s="47"/>
      <c r="C204" s="118"/>
      <c r="D204" s="118"/>
      <c r="E204" s="118"/>
      <c r="F204" s="118"/>
      <c r="G204" s="118"/>
    </row>
    <row r="205" spans="2:7">
      <c r="B205" s="47"/>
      <c r="C205" s="118"/>
      <c r="D205" s="118"/>
      <c r="E205" s="118"/>
      <c r="F205" s="118"/>
      <c r="G205" s="118"/>
    </row>
    <row r="206" spans="2:7">
      <c r="B206" s="47"/>
      <c r="C206" s="118"/>
      <c r="D206" s="118"/>
      <c r="E206" s="118"/>
      <c r="F206" s="118"/>
      <c r="G206" s="118"/>
    </row>
    <row r="207" spans="2:7">
      <c r="B207" s="47"/>
      <c r="C207" s="118"/>
      <c r="D207" s="118"/>
      <c r="E207" s="118"/>
      <c r="F207" s="118"/>
      <c r="G207" s="118"/>
    </row>
    <row r="208" spans="2:7">
      <c r="B208" s="47"/>
      <c r="C208" s="118"/>
      <c r="D208" s="118"/>
      <c r="E208" s="118"/>
      <c r="F208" s="118"/>
      <c r="G208" s="118"/>
    </row>
    <row r="209" spans="2:7">
      <c r="B209" s="47"/>
      <c r="C209" s="118"/>
      <c r="D209" s="118"/>
      <c r="E209" s="118"/>
      <c r="F209" s="118"/>
      <c r="G209" s="118"/>
    </row>
    <row r="210" spans="2:7">
      <c r="B210" s="47"/>
      <c r="C210" s="118"/>
      <c r="D210" s="118"/>
      <c r="E210" s="118"/>
      <c r="F210" s="118"/>
      <c r="G210" s="118"/>
    </row>
    <row r="211" spans="2:7">
      <c r="B211" s="47"/>
      <c r="C211" s="118"/>
      <c r="D211" s="118"/>
      <c r="E211" s="118"/>
      <c r="F211" s="118"/>
      <c r="G211" s="118"/>
    </row>
    <row r="212" spans="2:7">
      <c r="B212" s="47"/>
      <c r="C212" s="118"/>
      <c r="D212" s="118"/>
      <c r="E212" s="118"/>
      <c r="F212" s="118"/>
      <c r="G212" s="118"/>
    </row>
    <row r="213" spans="2:7">
      <c r="B213" s="47"/>
      <c r="C213" s="118"/>
      <c r="D213" s="118"/>
      <c r="E213" s="118"/>
      <c r="F213" s="118"/>
      <c r="G213" s="118"/>
    </row>
    <row r="214" spans="2:7">
      <c r="B214" s="47"/>
      <c r="C214" s="118"/>
      <c r="D214" s="118"/>
      <c r="E214" s="118"/>
      <c r="F214" s="118"/>
      <c r="G214" s="118"/>
    </row>
    <row r="215" spans="2:7">
      <c r="B215" s="47"/>
      <c r="C215" s="118"/>
      <c r="D215" s="118"/>
      <c r="E215" s="118"/>
      <c r="F215" s="118"/>
      <c r="G215" s="118"/>
    </row>
    <row r="216" spans="2:7">
      <c r="B216" s="47"/>
      <c r="C216" s="118"/>
      <c r="D216" s="118"/>
      <c r="E216" s="118"/>
      <c r="F216" s="118"/>
      <c r="G216" s="118"/>
    </row>
    <row r="217" spans="2:7">
      <c r="B217" s="47"/>
      <c r="C217" s="118"/>
      <c r="D217" s="118"/>
      <c r="E217" s="118"/>
      <c r="F217" s="118"/>
      <c r="G217" s="118"/>
    </row>
    <row r="218" spans="2:7">
      <c r="B218" s="47"/>
      <c r="C218" s="118"/>
      <c r="D218" s="118"/>
      <c r="E218" s="118"/>
      <c r="F218" s="118"/>
      <c r="G218" s="118"/>
    </row>
    <row r="219" spans="2:7">
      <c r="B219" s="47"/>
      <c r="C219" s="118"/>
      <c r="D219" s="118"/>
      <c r="E219" s="118"/>
      <c r="F219" s="118"/>
      <c r="G219" s="118"/>
    </row>
    <row r="220" spans="2:7">
      <c r="B220" s="47"/>
      <c r="C220" s="118"/>
      <c r="D220" s="118"/>
      <c r="E220" s="118"/>
      <c r="F220" s="118"/>
      <c r="G220" s="118"/>
    </row>
    <row r="221" spans="2:7">
      <c r="B221" s="47"/>
      <c r="C221" s="118"/>
      <c r="D221" s="118"/>
      <c r="E221" s="118"/>
      <c r="F221" s="118"/>
      <c r="G221" s="118"/>
    </row>
    <row r="222" spans="2:7">
      <c r="B222" s="47"/>
      <c r="C222" s="118"/>
      <c r="D222" s="118"/>
      <c r="E222" s="118"/>
      <c r="F222" s="118"/>
      <c r="G222" s="118"/>
    </row>
    <row r="223" spans="2:7">
      <c r="B223" s="47"/>
      <c r="C223" s="118"/>
      <c r="D223" s="118"/>
      <c r="E223" s="118"/>
      <c r="F223" s="118"/>
      <c r="G223" s="118"/>
    </row>
    <row r="224" spans="2:7">
      <c r="B224" s="47"/>
      <c r="C224" s="118"/>
      <c r="D224" s="118"/>
      <c r="E224" s="118"/>
      <c r="F224" s="118"/>
      <c r="G224" s="118"/>
    </row>
    <row r="225" spans="2:7">
      <c r="B225" s="47"/>
      <c r="C225" s="118"/>
      <c r="D225" s="118"/>
      <c r="E225" s="118"/>
      <c r="F225" s="118"/>
      <c r="G225" s="118"/>
    </row>
    <row r="226" spans="2:7">
      <c r="B226" s="47"/>
      <c r="C226" s="118"/>
      <c r="D226" s="118"/>
      <c r="E226" s="118"/>
      <c r="F226" s="118"/>
      <c r="G226" s="118"/>
    </row>
    <row r="227" spans="2:7">
      <c r="B227" s="47"/>
      <c r="C227" s="118"/>
      <c r="D227" s="118"/>
      <c r="E227" s="118"/>
      <c r="F227" s="118"/>
      <c r="G227" s="118"/>
    </row>
    <row r="228" spans="2:7">
      <c r="B228" s="47"/>
      <c r="C228" s="118"/>
      <c r="D228" s="118"/>
      <c r="E228" s="118"/>
      <c r="F228" s="118"/>
      <c r="G228" s="118"/>
    </row>
    <row r="229" spans="2:7">
      <c r="B229" s="47"/>
      <c r="C229" s="118"/>
      <c r="D229" s="118"/>
      <c r="E229" s="118"/>
      <c r="F229" s="118"/>
      <c r="G229" s="118"/>
    </row>
    <row r="230" spans="2:7">
      <c r="B230" s="47"/>
      <c r="C230" s="118"/>
      <c r="D230" s="118"/>
      <c r="E230" s="118"/>
      <c r="F230" s="118"/>
      <c r="G230" s="118"/>
    </row>
    <row r="231" spans="2:7">
      <c r="B231" s="47"/>
      <c r="C231" s="118"/>
      <c r="D231" s="118"/>
      <c r="E231" s="118"/>
      <c r="F231" s="118"/>
      <c r="G231" s="118"/>
    </row>
    <row r="232" spans="2:7">
      <c r="B232" s="47"/>
      <c r="C232" s="118"/>
      <c r="D232" s="118"/>
      <c r="E232" s="118"/>
      <c r="F232" s="118"/>
      <c r="G232" s="118"/>
    </row>
    <row r="233" spans="2:7">
      <c r="B233" s="47"/>
      <c r="C233" s="118"/>
      <c r="D233" s="118"/>
      <c r="E233" s="118"/>
      <c r="F233" s="118"/>
      <c r="G233" s="118"/>
    </row>
    <row r="234" spans="2:7">
      <c r="B234" s="47"/>
      <c r="C234" s="118"/>
      <c r="D234" s="118"/>
      <c r="E234" s="118"/>
      <c r="F234" s="118"/>
      <c r="G234" s="118"/>
    </row>
    <row r="235" spans="2:7">
      <c r="B235" s="47"/>
      <c r="C235" s="118"/>
      <c r="D235" s="118"/>
      <c r="E235" s="118"/>
      <c r="F235" s="118"/>
      <c r="G235" s="118"/>
    </row>
    <row r="236" spans="2:7">
      <c r="B236" s="47"/>
      <c r="C236" s="118"/>
      <c r="D236" s="118"/>
      <c r="E236" s="118"/>
      <c r="F236" s="118"/>
      <c r="G236" s="118"/>
    </row>
    <row r="237" spans="2:7">
      <c r="B237" s="47"/>
      <c r="C237" s="118"/>
      <c r="D237" s="118"/>
      <c r="E237" s="118"/>
      <c r="F237" s="118"/>
      <c r="G237" s="118"/>
    </row>
    <row r="238" spans="2:7">
      <c r="B238" s="47"/>
      <c r="C238" s="118"/>
      <c r="D238" s="118"/>
      <c r="E238" s="118"/>
      <c r="F238" s="118"/>
      <c r="G238" s="118"/>
    </row>
    <row r="239" spans="2:7">
      <c r="B239" s="47"/>
      <c r="C239" s="118"/>
      <c r="D239" s="118"/>
      <c r="E239" s="118"/>
      <c r="F239" s="118"/>
      <c r="G239" s="118"/>
    </row>
    <row r="240" spans="2:7">
      <c r="B240" s="47"/>
      <c r="C240" s="118"/>
      <c r="D240" s="118"/>
      <c r="E240" s="118"/>
      <c r="F240" s="118"/>
      <c r="G240" s="118"/>
    </row>
    <row r="241" spans="2:7">
      <c r="B241" s="47"/>
      <c r="C241" s="118"/>
      <c r="D241" s="118"/>
      <c r="E241" s="118"/>
      <c r="F241" s="118"/>
      <c r="G241" s="118"/>
    </row>
    <row r="242" spans="2:7">
      <c r="B242" s="47"/>
      <c r="C242" s="118"/>
      <c r="D242" s="118"/>
      <c r="E242" s="118"/>
      <c r="F242" s="118"/>
      <c r="G242" s="118"/>
    </row>
    <row r="243" spans="2:7">
      <c r="B243" s="47"/>
      <c r="C243" s="118"/>
      <c r="D243" s="118"/>
      <c r="E243" s="118"/>
      <c r="F243" s="118"/>
      <c r="G243" s="118"/>
    </row>
    <row r="244" spans="2:7">
      <c r="B244" s="47"/>
      <c r="C244" s="118"/>
      <c r="D244" s="118"/>
      <c r="E244" s="118"/>
      <c r="F244" s="118"/>
      <c r="G244" s="118"/>
    </row>
    <row r="245" spans="2:7">
      <c r="B245" s="47"/>
      <c r="C245" s="118"/>
      <c r="D245" s="118"/>
      <c r="E245" s="118"/>
      <c r="F245" s="118"/>
      <c r="G245" s="118"/>
    </row>
    <row r="246" spans="2:7">
      <c r="B246" s="47"/>
      <c r="C246" s="118"/>
      <c r="D246" s="118"/>
      <c r="E246" s="118"/>
      <c r="F246" s="118"/>
      <c r="G246" s="118"/>
    </row>
    <row r="247" spans="2:7">
      <c r="B247" s="47"/>
      <c r="C247" s="118"/>
      <c r="D247" s="118"/>
      <c r="E247" s="118"/>
      <c r="F247" s="118"/>
      <c r="G247" s="118"/>
    </row>
    <row r="248" spans="2:7">
      <c r="B248" s="47"/>
      <c r="C248" s="118"/>
      <c r="D248" s="118"/>
      <c r="E248" s="118"/>
      <c r="F248" s="118"/>
      <c r="G248" s="118"/>
    </row>
    <row r="249" spans="2:7">
      <c r="B249" s="47"/>
      <c r="C249" s="118"/>
      <c r="D249" s="118"/>
      <c r="E249" s="118"/>
      <c r="F249" s="118"/>
      <c r="G249" s="118"/>
    </row>
    <row r="250" spans="2:7">
      <c r="B250" s="47"/>
      <c r="C250" s="118"/>
      <c r="D250" s="118"/>
      <c r="E250" s="118"/>
      <c r="F250" s="118"/>
      <c r="G250" s="118"/>
    </row>
    <row r="251" spans="2:7">
      <c r="B251" s="47"/>
      <c r="C251" s="118"/>
      <c r="D251" s="118"/>
      <c r="E251" s="118"/>
      <c r="F251" s="118"/>
      <c r="G251" s="118"/>
    </row>
    <row r="252" spans="2:7">
      <c r="B252" s="47"/>
      <c r="C252" s="118"/>
      <c r="D252" s="118"/>
      <c r="E252" s="118"/>
      <c r="F252" s="118"/>
      <c r="G252" s="118"/>
    </row>
    <row r="253" spans="2:7">
      <c r="B253" s="47"/>
      <c r="C253" s="118"/>
      <c r="D253" s="118"/>
      <c r="E253" s="118"/>
      <c r="F253" s="118"/>
      <c r="G253" s="118"/>
    </row>
    <row r="254" spans="2:7">
      <c r="B254" s="47"/>
      <c r="C254" s="118"/>
      <c r="D254" s="118"/>
      <c r="E254" s="118"/>
      <c r="F254" s="118"/>
      <c r="G254" s="118"/>
    </row>
    <row r="255" spans="2:7">
      <c r="B255" s="47"/>
      <c r="C255" s="118"/>
      <c r="D255" s="118"/>
      <c r="E255" s="118"/>
      <c r="F255" s="118"/>
      <c r="G255" s="118"/>
    </row>
    <row r="256" spans="2:7">
      <c r="B256" s="47"/>
      <c r="C256" s="118"/>
      <c r="D256" s="118"/>
      <c r="E256" s="118"/>
      <c r="F256" s="118"/>
      <c r="G256" s="118"/>
    </row>
    <row r="257" spans="2:7">
      <c r="B257" s="47"/>
      <c r="C257" s="118"/>
      <c r="D257" s="118"/>
      <c r="E257" s="118"/>
      <c r="F257" s="118"/>
      <c r="G257" s="118"/>
    </row>
    <row r="258" spans="2:7">
      <c r="B258" s="47"/>
      <c r="C258" s="118"/>
      <c r="D258" s="118"/>
      <c r="E258" s="118"/>
      <c r="F258" s="118"/>
      <c r="G258" s="118"/>
    </row>
    <row r="259" spans="2:7">
      <c r="B259" s="47"/>
      <c r="C259" s="118"/>
      <c r="D259" s="118"/>
      <c r="E259" s="118"/>
      <c r="F259" s="118"/>
      <c r="G259" s="118"/>
    </row>
    <row r="260" spans="2:7">
      <c r="B260" s="47"/>
      <c r="C260" s="118"/>
      <c r="D260" s="118"/>
      <c r="E260" s="118"/>
      <c r="F260" s="118"/>
      <c r="G260" s="118"/>
    </row>
    <row r="261" spans="2:7">
      <c r="B261" s="47"/>
      <c r="C261" s="118"/>
      <c r="D261" s="118"/>
      <c r="E261" s="118"/>
      <c r="F261" s="118"/>
      <c r="G261" s="118"/>
    </row>
    <row r="262" spans="2:7">
      <c r="B262" s="47"/>
      <c r="C262" s="118"/>
      <c r="D262" s="118"/>
      <c r="E262" s="118"/>
      <c r="F262" s="118"/>
      <c r="G262" s="118"/>
    </row>
    <row r="263" spans="2:7">
      <c r="B263" s="47"/>
      <c r="C263" s="118"/>
      <c r="D263" s="118"/>
      <c r="E263" s="118"/>
      <c r="F263" s="118"/>
      <c r="G263" s="118"/>
    </row>
    <row r="264" spans="2:7">
      <c r="B264" s="47"/>
      <c r="C264" s="118"/>
      <c r="D264" s="118"/>
      <c r="E264" s="118"/>
      <c r="F264" s="118"/>
      <c r="G264" s="118"/>
    </row>
    <row r="265" spans="2:7">
      <c r="B265" s="47"/>
      <c r="C265" s="118"/>
      <c r="D265" s="118"/>
      <c r="E265" s="118"/>
      <c r="F265" s="118"/>
      <c r="G265" s="118"/>
    </row>
    <row r="266" spans="2:7">
      <c r="B266" s="47"/>
      <c r="C266" s="118"/>
      <c r="D266" s="118"/>
      <c r="E266" s="118"/>
      <c r="F266" s="118"/>
      <c r="G266" s="118"/>
    </row>
    <row r="267" spans="2:7">
      <c r="B267" s="47"/>
      <c r="C267" s="118"/>
      <c r="D267" s="118"/>
      <c r="E267" s="118"/>
      <c r="F267" s="118"/>
      <c r="G267" s="118"/>
    </row>
    <row r="268" spans="2:7">
      <c r="B268" s="47"/>
      <c r="C268" s="118"/>
      <c r="D268" s="118"/>
      <c r="E268" s="118"/>
      <c r="F268" s="118"/>
      <c r="G268" s="118"/>
    </row>
    <row r="269" spans="2:7">
      <c r="B269" s="47"/>
      <c r="C269" s="118"/>
      <c r="D269" s="118"/>
      <c r="E269" s="118"/>
      <c r="F269" s="118"/>
      <c r="G269" s="118"/>
    </row>
    <row r="270" spans="2:7">
      <c r="B270" s="47"/>
      <c r="C270" s="118"/>
      <c r="D270" s="118"/>
      <c r="E270" s="118"/>
      <c r="F270" s="118"/>
      <c r="G270" s="118"/>
    </row>
    <row r="271" spans="2:7">
      <c r="B271" s="47"/>
      <c r="C271" s="118"/>
      <c r="D271" s="118"/>
      <c r="E271" s="118"/>
      <c r="F271" s="118"/>
      <c r="G271" s="118"/>
    </row>
    <row r="272" spans="2:7">
      <c r="B272" s="47"/>
      <c r="C272" s="118"/>
      <c r="D272" s="118"/>
      <c r="E272" s="118"/>
      <c r="F272" s="118"/>
      <c r="G272" s="118"/>
    </row>
    <row r="273" spans="2:7">
      <c r="B273" s="47"/>
      <c r="C273" s="118"/>
      <c r="D273" s="118"/>
      <c r="E273" s="118"/>
      <c r="F273" s="118"/>
      <c r="G273" s="118"/>
    </row>
    <row r="274" spans="2:7">
      <c r="B274" s="47"/>
      <c r="C274" s="118"/>
      <c r="D274" s="118"/>
      <c r="E274" s="118"/>
      <c r="F274" s="118"/>
      <c r="G274" s="118"/>
    </row>
    <row r="275" spans="2:7">
      <c r="B275" s="47"/>
      <c r="C275" s="118"/>
      <c r="D275" s="118"/>
      <c r="E275" s="118"/>
      <c r="F275" s="118"/>
      <c r="G275" s="118"/>
    </row>
    <row r="276" spans="2:7">
      <c r="B276" s="47"/>
      <c r="C276" s="118"/>
      <c r="D276" s="118"/>
      <c r="E276" s="118"/>
      <c r="F276" s="118"/>
      <c r="G276" s="118"/>
    </row>
    <row r="277" spans="2:7">
      <c r="B277" s="47"/>
      <c r="C277" s="118"/>
      <c r="D277" s="118"/>
      <c r="E277" s="118"/>
      <c r="F277" s="118"/>
      <c r="G277" s="118"/>
    </row>
    <row r="278" spans="2:7">
      <c r="B278" s="47"/>
      <c r="C278" s="118"/>
      <c r="D278" s="118"/>
      <c r="E278" s="118"/>
      <c r="F278" s="118"/>
      <c r="G278" s="118"/>
    </row>
    <row r="279" spans="2:7">
      <c r="B279" s="47"/>
      <c r="C279" s="118"/>
      <c r="D279" s="118"/>
      <c r="E279" s="118"/>
      <c r="F279" s="118"/>
      <c r="G279" s="118"/>
    </row>
    <row r="280" spans="2:7">
      <c r="B280" s="47"/>
      <c r="C280" s="118"/>
      <c r="D280" s="118"/>
      <c r="E280" s="118"/>
      <c r="F280" s="118"/>
      <c r="G280" s="118"/>
    </row>
    <row r="281" spans="2:7">
      <c r="B281" s="47"/>
      <c r="C281" s="118"/>
      <c r="D281" s="118"/>
      <c r="E281" s="118"/>
      <c r="F281" s="118"/>
      <c r="G281" s="118"/>
    </row>
    <row r="282" spans="2:7">
      <c r="B282" s="47"/>
      <c r="C282" s="118"/>
      <c r="D282" s="118"/>
      <c r="E282" s="118"/>
      <c r="F282" s="118"/>
      <c r="G282" s="118"/>
    </row>
    <row r="283" spans="2:7">
      <c r="B283" s="47"/>
      <c r="C283" s="118"/>
      <c r="D283" s="118"/>
      <c r="E283" s="118"/>
      <c r="F283" s="118"/>
      <c r="G283" s="118"/>
    </row>
    <row r="284" spans="2:7">
      <c r="B284" s="47"/>
      <c r="C284" s="118"/>
      <c r="D284" s="118"/>
      <c r="E284" s="118"/>
      <c r="F284" s="118"/>
      <c r="G284" s="118"/>
    </row>
    <row r="285" spans="2:7">
      <c r="B285" s="47"/>
      <c r="C285" s="118"/>
      <c r="D285" s="118"/>
      <c r="E285" s="118"/>
      <c r="F285" s="118"/>
      <c r="G285" s="118"/>
    </row>
    <row r="286" spans="2:7">
      <c r="B286" s="47"/>
      <c r="C286" s="118"/>
      <c r="D286" s="118"/>
      <c r="E286" s="118"/>
      <c r="F286" s="118"/>
      <c r="G286" s="118"/>
    </row>
    <row r="287" spans="2:7">
      <c r="B287" s="47"/>
      <c r="C287" s="118"/>
      <c r="D287" s="118"/>
      <c r="E287" s="118"/>
      <c r="F287" s="118"/>
      <c r="G287" s="118"/>
    </row>
    <row r="288" spans="2:7">
      <c r="B288" s="47"/>
      <c r="C288" s="118"/>
      <c r="D288" s="118"/>
      <c r="E288" s="118"/>
      <c r="F288" s="118"/>
      <c r="G288" s="118"/>
    </row>
    <row r="289" spans="2:7">
      <c r="B289" s="47"/>
      <c r="C289" s="118"/>
      <c r="D289" s="118"/>
      <c r="E289" s="118"/>
      <c r="F289" s="118"/>
      <c r="G289" s="118"/>
    </row>
    <row r="290" spans="2:7">
      <c r="B290" s="47"/>
      <c r="C290" s="118"/>
      <c r="D290" s="118"/>
      <c r="E290" s="118"/>
      <c r="F290" s="118"/>
      <c r="G290" s="118"/>
    </row>
    <row r="291" spans="2:7">
      <c r="B291" s="47"/>
      <c r="C291" s="118"/>
      <c r="D291" s="118"/>
      <c r="E291" s="118"/>
      <c r="F291" s="118"/>
      <c r="G291" s="118"/>
    </row>
    <row r="292" spans="2:7">
      <c r="B292" s="47"/>
      <c r="C292" s="118"/>
      <c r="D292" s="118"/>
      <c r="E292" s="118"/>
      <c r="F292" s="118"/>
      <c r="G292" s="118"/>
    </row>
    <row r="293" spans="2:7">
      <c r="B293" s="47"/>
      <c r="C293" s="118"/>
      <c r="D293" s="118"/>
      <c r="E293" s="118"/>
      <c r="F293" s="118"/>
      <c r="G293" s="118"/>
    </row>
    <row r="294" spans="2:7">
      <c r="B294" s="47"/>
      <c r="C294" s="118"/>
      <c r="D294" s="118"/>
      <c r="E294" s="118"/>
      <c r="F294" s="118"/>
      <c r="G294" s="118"/>
    </row>
    <row r="295" spans="2:7">
      <c r="B295" s="47"/>
      <c r="C295" s="118"/>
      <c r="D295" s="118"/>
      <c r="E295" s="118"/>
      <c r="F295" s="118"/>
      <c r="G295" s="118"/>
    </row>
    <row r="296" spans="2:7">
      <c r="B296" s="47"/>
      <c r="C296" s="118"/>
      <c r="D296" s="118"/>
      <c r="E296" s="118"/>
      <c r="F296" s="118"/>
      <c r="G296" s="118"/>
    </row>
    <row r="297" spans="2:7">
      <c r="B297" s="47"/>
      <c r="C297" s="118"/>
      <c r="D297" s="118"/>
      <c r="E297" s="118"/>
      <c r="F297" s="118"/>
      <c r="G297" s="118"/>
    </row>
    <row r="298" spans="2:7">
      <c r="B298" s="47"/>
      <c r="C298" s="118"/>
      <c r="D298" s="118"/>
      <c r="E298" s="118"/>
      <c r="F298" s="118"/>
      <c r="G298" s="118"/>
    </row>
    <row r="299" spans="2:7">
      <c r="B299" s="47"/>
      <c r="C299" s="118"/>
      <c r="D299" s="118"/>
      <c r="E299" s="118"/>
      <c r="F299" s="118"/>
      <c r="G299" s="118"/>
    </row>
    <row r="300" spans="2:7">
      <c r="B300" s="47"/>
      <c r="C300" s="118"/>
      <c r="D300" s="118"/>
      <c r="E300" s="118"/>
      <c r="F300" s="118"/>
      <c r="G300" s="118"/>
    </row>
    <row r="301" spans="2:7">
      <c r="B301" s="47"/>
      <c r="C301" s="118"/>
      <c r="D301" s="118"/>
      <c r="E301" s="118"/>
      <c r="F301" s="118"/>
      <c r="G301" s="118"/>
    </row>
    <row r="302" spans="2:7">
      <c r="B302" s="47"/>
      <c r="C302" s="118"/>
      <c r="D302" s="118"/>
      <c r="E302" s="118"/>
      <c r="F302" s="118"/>
      <c r="G302" s="118"/>
    </row>
    <row r="303" spans="2:7">
      <c r="B303" s="47"/>
      <c r="C303" s="118"/>
      <c r="D303" s="118"/>
      <c r="E303" s="118"/>
      <c r="F303" s="118"/>
      <c r="G303" s="118"/>
    </row>
    <row r="304" spans="2:7">
      <c r="B304" s="47"/>
      <c r="C304" s="118"/>
      <c r="D304" s="118"/>
      <c r="E304" s="118"/>
      <c r="F304" s="118"/>
      <c r="G304" s="118"/>
    </row>
    <row r="305" spans="2:7">
      <c r="B305" s="47"/>
      <c r="C305" s="118"/>
      <c r="D305" s="118"/>
      <c r="E305" s="118"/>
      <c r="F305" s="118"/>
      <c r="G305" s="118"/>
    </row>
    <row r="306" spans="2:7">
      <c r="B306" s="47"/>
      <c r="C306" s="118"/>
      <c r="D306" s="118"/>
      <c r="E306" s="118"/>
      <c r="F306" s="118"/>
      <c r="G306" s="118"/>
    </row>
    <row r="307" spans="2:7">
      <c r="B307" s="47"/>
      <c r="C307" s="118"/>
      <c r="D307" s="118"/>
      <c r="E307" s="118"/>
      <c r="F307" s="118"/>
      <c r="G307" s="118"/>
    </row>
    <row r="308" spans="2:7">
      <c r="B308" s="47"/>
      <c r="C308" s="118"/>
      <c r="D308" s="118"/>
      <c r="E308" s="118"/>
      <c r="F308" s="118"/>
      <c r="G308" s="118"/>
    </row>
    <row r="309" spans="2:7">
      <c r="B309" s="47"/>
      <c r="C309" s="118"/>
      <c r="D309" s="118"/>
      <c r="E309" s="118"/>
      <c r="F309" s="118"/>
      <c r="G309" s="118"/>
    </row>
    <row r="310" spans="2:7">
      <c r="B310" s="47"/>
      <c r="C310" s="118"/>
      <c r="D310" s="118"/>
      <c r="E310" s="118"/>
      <c r="F310" s="118"/>
      <c r="G310" s="118"/>
    </row>
    <row r="311" spans="2:7">
      <c r="B311" s="47"/>
      <c r="C311" s="118"/>
      <c r="D311" s="118"/>
      <c r="E311" s="118"/>
      <c r="F311" s="118"/>
      <c r="G311" s="118"/>
    </row>
    <row r="312" spans="2:7">
      <c r="B312" s="47"/>
      <c r="C312" s="118"/>
      <c r="D312" s="118"/>
      <c r="E312" s="118"/>
      <c r="F312" s="118"/>
      <c r="G312" s="118"/>
    </row>
    <row r="313" spans="2:7">
      <c r="B313" s="47"/>
      <c r="C313" s="118"/>
      <c r="D313" s="118"/>
      <c r="E313" s="118"/>
      <c r="F313" s="118"/>
      <c r="G313" s="118"/>
    </row>
    <row r="314" spans="2:7">
      <c r="B314" s="47"/>
      <c r="C314" s="118"/>
      <c r="D314" s="118"/>
      <c r="E314" s="118"/>
      <c r="F314" s="118"/>
      <c r="G314" s="118"/>
    </row>
    <row r="315" spans="2:7">
      <c r="B315" s="47"/>
      <c r="C315" s="118"/>
      <c r="D315" s="118"/>
      <c r="E315" s="118"/>
      <c r="F315" s="118"/>
      <c r="G315" s="118"/>
    </row>
    <row r="316" spans="2:7">
      <c r="B316" s="47"/>
      <c r="C316" s="118"/>
      <c r="D316" s="118"/>
      <c r="E316" s="118"/>
      <c r="F316" s="118"/>
      <c r="G316" s="118"/>
    </row>
    <row r="317" spans="2:7">
      <c r="B317" s="47"/>
      <c r="C317" s="118"/>
      <c r="D317" s="118"/>
      <c r="E317" s="118"/>
      <c r="F317" s="118"/>
      <c r="G317" s="118"/>
    </row>
    <row r="318" spans="2:7">
      <c r="B318" s="47"/>
      <c r="C318" s="118"/>
      <c r="D318" s="118"/>
      <c r="E318" s="118"/>
      <c r="F318" s="118"/>
      <c r="G318" s="118"/>
    </row>
    <row r="319" spans="2:7">
      <c r="B319" s="47"/>
      <c r="C319" s="118"/>
      <c r="D319" s="118"/>
      <c r="E319" s="118"/>
      <c r="F319" s="118"/>
      <c r="G319" s="118"/>
    </row>
    <row r="320" spans="2:7">
      <c r="B320" s="47"/>
      <c r="C320" s="118"/>
      <c r="D320" s="118"/>
      <c r="E320" s="118"/>
      <c r="F320" s="118"/>
      <c r="G320" s="118"/>
    </row>
    <row r="321" spans="2:7">
      <c r="B321" s="47"/>
      <c r="C321" s="118"/>
      <c r="D321" s="118"/>
      <c r="E321" s="118"/>
      <c r="F321" s="118"/>
      <c r="G321" s="118"/>
    </row>
    <row r="322" spans="2:7">
      <c r="B322" s="47"/>
      <c r="C322" s="118"/>
      <c r="D322" s="118"/>
      <c r="E322" s="118"/>
      <c r="F322" s="118"/>
      <c r="G322" s="118"/>
    </row>
    <row r="323" spans="2:7">
      <c r="B323" s="47"/>
      <c r="C323" s="118"/>
      <c r="D323" s="118"/>
      <c r="E323" s="118"/>
      <c r="F323" s="118"/>
      <c r="G323" s="118"/>
    </row>
    <row r="324" spans="2:7">
      <c r="B324" s="47"/>
      <c r="C324" s="118"/>
      <c r="D324" s="118"/>
      <c r="E324" s="118"/>
      <c r="F324" s="118"/>
      <c r="G324" s="118"/>
    </row>
    <row r="325" spans="2:7">
      <c r="B325" s="47"/>
      <c r="C325" s="118"/>
      <c r="D325" s="118"/>
      <c r="E325" s="118"/>
      <c r="F325" s="118"/>
      <c r="G325" s="118"/>
    </row>
    <row r="326" spans="2:7">
      <c r="B326" s="47"/>
      <c r="C326" s="118"/>
      <c r="D326" s="118"/>
      <c r="E326" s="118"/>
      <c r="F326" s="118"/>
      <c r="G326" s="118"/>
    </row>
    <row r="327" spans="2:7">
      <c r="B327" s="47"/>
      <c r="C327" s="118"/>
      <c r="D327" s="118"/>
      <c r="E327" s="118"/>
      <c r="F327" s="118"/>
      <c r="G327" s="118"/>
    </row>
    <row r="328" spans="2:7">
      <c r="B328" s="47"/>
      <c r="C328" s="118"/>
      <c r="D328" s="118"/>
      <c r="E328" s="118"/>
      <c r="F328" s="118"/>
      <c r="G328" s="118"/>
    </row>
    <row r="329" spans="2:7">
      <c r="B329" s="47"/>
      <c r="C329" s="118"/>
      <c r="D329" s="118"/>
      <c r="E329" s="118"/>
      <c r="F329" s="118"/>
      <c r="G329" s="118"/>
    </row>
    <row r="330" spans="2:7">
      <c r="B330" s="47"/>
      <c r="C330" s="118"/>
      <c r="D330" s="118"/>
      <c r="E330" s="118"/>
      <c r="F330" s="118"/>
      <c r="G330" s="118"/>
    </row>
    <row r="331" spans="2:7">
      <c r="B331" s="47"/>
      <c r="C331" s="118"/>
      <c r="D331" s="118"/>
      <c r="E331" s="118"/>
      <c r="F331" s="118"/>
      <c r="G331" s="118"/>
    </row>
    <row r="332" spans="2:7">
      <c r="B332" s="47"/>
      <c r="C332" s="118"/>
      <c r="D332" s="118"/>
      <c r="E332" s="118"/>
      <c r="F332" s="118"/>
      <c r="G332" s="118"/>
    </row>
    <row r="333" spans="2:7">
      <c r="B333" s="47"/>
      <c r="C333" s="118"/>
      <c r="D333" s="118"/>
      <c r="E333" s="118"/>
      <c r="F333" s="118"/>
      <c r="G333" s="118"/>
    </row>
    <row r="334" spans="2:7">
      <c r="B334" s="47"/>
      <c r="C334" s="118"/>
      <c r="D334" s="118"/>
      <c r="E334" s="118"/>
      <c r="F334" s="118"/>
      <c r="G334" s="118"/>
    </row>
    <row r="335" spans="2:7">
      <c r="B335" s="47"/>
      <c r="C335" s="118"/>
      <c r="D335" s="118"/>
      <c r="E335" s="118"/>
      <c r="F335" s="118"/>
      <c r="G335" s="118"/>
    </row>
    <row r="336" spans="2:7">
      <c r="B336" s="47"/>
      <c r="C336" s="118"/>
      <c r="D336" s="118"/>
      <c r="E336" s="118"/>
      <c r="F336" s="118"/>
      <c r="G336" s="118"/>
    </row>
    <row r="337" spans="2:7">
      <c r="B337" s="47"/>
      <c r="C337" s="118"/>
      <c r="D337" s="118"/>
      <c r="E337" s="118"/>
      <c r="F337" s="118"/>
      <c r="G337" s="118"/>
    </row>
    <row r="338" spans="2:7">
      <c r="B338" s="47"/>
      <c r="C338" s="118"/>
      <c r="D338" s="118"/>
      <c r="E338" s="118"/>
      <c r="F338" s="118"/>
      <c r="G338" s="118"/>
    </row>
    <row r="339" spans="2:7">
      <c r="B339" s="47"/>
      <c r="C339" s="118"/>
      <c r="D339" s="118"/>
      <c r="E339" s="118"/>
      <c r="F339" s="118"/>
      <c r="G339" s="118"/>
    </row>
    <row r="340" spans="2:7">
      <c r="B340" s="47"/>
      <c r="C340" s="118"/>
      <c r="D340" s="118"/>
      <c r="E340" s="118"/>
      <c r="F340" s="118"/>
      <c r="G340" s="118"/>
    </row>
    <row r="341" spans="2:7">
      <c r="B341" s="47"/>
      <c r="C341" s="118"/>
      <c r="D341" s="118"/>
      <c r="E341" s="118"/>
      <c r="F341" s="118"/>
      <c r="G341" s="118"/>
    </row>
    <row r="342" spans="2:7">
      <c r="B342" s="47"/>
      <c r="C342" s="118"/>
      <c r="D342" s="118"/>
      <c r="E342" s="118"/>
      <c r="F342" s="118"/>
      <c r="G342" s="118"/>
    </row>
    <row r="343" spans="2:7">
      <c r="B343" s="47"/>
      <c r="C343" s="118"/>
      <c r="D343" s="118"/>
      <c r="E343" s="118"/>
      <c r="F343" s="118"/>
      <c r="G343" s="118"/>
    </row>
    <row r="344" spans="2:7">
      <c r="B344" s="47"/>
      <c r="C344" s="118"/>
      <c r="D344" s="118"/>
      <c r="E344" s="118"/>
      <c r="F344" s="118"/>
      <c r="G344" s="118"/>
    </row>
    <row r="345" spans="2:7">
      <c r="B345" s="47"/>
      <c r="C345" s="118"/>
      <c r="D345" s="118"/>
      <c r="E345" s="118"/>
      <c r="F345" s="118"/>
      <c r="G345" s="118"/>
    </row>
    <row r="346" spans="2:7">
      <c r="B346" s="47"/>
      <c r="C346" s="118"/>
      <c r="D346" s="118"/>
      <c r="E346" s="118"/>
      <c r="F346" s="118"/>
      <c r="G346" s="118"/>
    </row>
    <row r="347" spans="2:7">
      <c r="B347" s="47"/>
      <c r="C347" s="118"/>
      <c r="D347" s="118"/>
      <c r="E347" s="118"/>
      <c r="F347" s="118"/>
      <c r="G347" s="118"/>
    </row>
    <row r="348" spans="2:7">
      <c r="B348" s="47"/>
      <c r="C348" s="118"/>
      <c r="D348" s="118"/>
      <c r="E348" s="118"/>
      <c r="F348" s="118"/>
      <c r="G348" s="118"/>
    </row>
    <row r="349" spans="2:7">
      <c r="B349" s="47"/>
      <c r="C349" s="118"/>
      <c r="D349" s="118"/>
      <c r="E349" s="118"/>
      <c r="F349" s="118"/>
      <c r="G349" s="118"/>
    </row>
    <row r="350" spans="2:7">
      <c r="B350" s="47"/>
      <c r="C350" s="118"/>
      <c r="D350" s="118"/>
      <c r="E350" s="118"/>
      <c r="F350" s="118"/>
      <c r="G350" s="118"/>
    </row>
    <row r="351" spans="2:7">
      <c r="B351" s="47"/>
      <c r="C351" s="118"/>
      <c r="D351" s="118"/>
      <c r="E351" s="118"/>
      <c r="F351" s="118"/>
      <c r="G351" s="118"/>
    </row>
    <row r="352" spans="2:7">
      <c r="B352" s="47"/>
      <c r="C352" s="118"/>
      <c r="D352" s="118"/>
      <c r="E352" s="118"/>
      <c r="F352" s="118"/>
      <c r="G352" s="118"/>
    </row>
    <row r="353" spans="2:7">
      <c r="B353" s="47"/>
      <c r="C353" s="118"/>
      <c r="D353" s="118"/>
      <c r="E353" s="118"/>
      <c r="F353" s="118"/>
      <c r="G353" s="118"/>
    </row>
    <row r="354" spans="2:7">
      <c r="B354" s="47"/>
      <c r="C354" s="118"/>
      <c r="D354" s="118"/>
      <c r="E354" s="118"/>
      <c r="F354" s="118"/>
      <c r="G354" s="118"/>
    </row>
    <row r="355" spans="2:7">
      <c r="B355" s="47"/>
      <c r="C355" s="118"/>
      <c r="D355" s="118"/>
      <c r="E355" s="118"/>
      <c r="F355" s="118"/>
      <c r="G355" s="118"/>
    </row>
    <row r="356" spans="2:7">
      <c r="B356" s="47"/>
      <c r="C356" s="118"/>
      <c r="D356" s="118"/>
      <c r="E356" s="118"/>
      <c r="F356" s="118"/>
      <c r="G356" s="118"/>
    </row>
    <row r="357" spans="2:7">
      <c r="B357" s="47"/>
      <c r="C357" s="118"/>
      <c r="D357" s="118"/>
      <c r="E357" s="118"/>
      <c r="F357" s="118"/>
      <c r="G357" s="118"/>
    </row>
    <row r="358" spans="2:7">
      <c r="B358" s="47"/>
      <c r="C358" s="118"/>
      <c r="D358" s="118"/>
      <c r="E358" s="118"/>
      <c r="F358" s="118"/>
      <c r="G358" s="118"/>
    </row>
    <row r="359" spans="2:7">
      <c r="B359" s="47"/>
      <c r="C359" s="118"/>
      <c r="D359" s="118"/>
      <c r="E359" s="118"/>
      <c r="F359" s="118"/>
      <c r="G359" s="118"/>
    </row>
    <row r="360" spans="2:7">
      <c r="B360" s="47"/>
      <c r="C360" s="118"/>
      <c r="D360" s="118"/>
      <c r="E360" s="118"/>
      <c r="F360" s="118"/>
      <c r="G360" s="118"/>
    </row>
    <row r="361" spans="2:7">
      <c r="B361" s="47"/>
      <c r="C361" s="118"/>
      <c r="D361" s="118"/>
      <c r="E361" s="118"/>
      <c r="F361" s="118"/>
      <c r="G361" s="118"/>
    </row>
    <row r="362" spans="2:7">
      <c r="B362" s="47"/>
      <c r="C362" s="118"/>
      <c r="D362" s="118"/>
      <c r="E362" s="118"/>
      <c r="F362" s="118"/>
      <c r="G362" s="118"/>
    </row>
    <row r="363" spans="2:7">
      <c r="B363" s="47"/>
      <c r="C363" s="118"/>
      <c r="D363" s="118"/>
      <c r="E363" s="118"/>
      <c r="F363" s="118"/>
      <c r="G363" s="118"/>
    </row>
    <row r="364" spans="2:7">
      <c r="B364" s="47"/>
      <c r="C364" s="118"/>
      <c r="D364" s="118"/>
      <c r="E364" s="118"/>
      <c r="F364" s="118"/>
      <c r="G364" s="118"/>
    </row>
    <row r="365" spans="2:7">
      <c r="B365" s="47"/>
      <c r="C365" s="118"/>
      <c r="D365" s="118"/>
      <c r="E365" s="118"/>
      <c r="F365" s="118"/>
      <c r="G365" s="118"/>
    </row>
    <row r="366" spans="2:7">
      <c r="B366" s="47"/>
      <c r="C366" s="118"/>
      <c r="D366" s="118"/>
      <c r="E366" s="118"/>
      <c r="F366" s="118"/>
      <c r="G366" s="118"/>
    </row>
    <row r="367" spans="2:7">
      <c r="B367" s="47"/>
      <c r="C367" s="118"/>
      <c r="D367" s="118"/>
      <c r="E367" s="118"/>
      <c r="F367" s="118"/>
      <c r="G367" s="118"/>
    </row>
    <row r="368" spans="2:7">
      <c r="B368" s="47"/>
      <c r="C368" s="118"/>
      <c r="D368" s="118"/>
      <c r="E368" s="118"/>
      <c r="F368" s="118"/>
      <c r="G368" s="118"/>
    </row>
    <row r="369" spans="2:7">
      <c r="B369" s="47"/>
      <c r="C369" s="118"/>
      <c r="D369" s="118"/>
      <c r="E369" s="118"/>
      <c r="F369" s="118"/>
      <c r="G369" s="118"/>
    </row>
    <row r="370" spans="2:7">
      <c r="B370" s="47"/>
      <c r="C370" s="118"/>
      <c r="D370" s="118"/>
      <c r="E370" s="118"/>
      <c r="F370" s="118"/>
      <c r="G370" s="118"/>
    </row>
    <row r="371" spans="2:7">
      <c r="B371" s="47"/>
      <c r="C371" s="118"/>
      <c r="D371" s="118"/>
      <c r="E371" s="118"/>
      <c r="F371" s="118"/>
      <c r="G371" s="118"/>
    </row>
    <row r="372" spans="2:7">
      <c r="B372" s="47"/>
      <c r="C372" s="118"/>
      <c r="D372" s="118"/>
      <c r="E372" s="118"/>
      <c r="F372" s="118"/>
      <c r="G372" s="118"/>
    </row>
    <row r="373" spans="2:7">
      <c r="B373" s="47"/>
      <c r="C373" s="118"/>
      <c r="D373" s="118"/>
      <c r="E373" s="118"/>
      <c r="F373" s="118"/>
      <c r="G373" s="118"/>
    </row>
    <row r="374" spans="2:7">
      <c r="B374" s="47"/>
      <c r="C374" s="118"/>
      <c r="D374" s="118"/>
      <c r="E374" s="118"/>
      <c r="F374" s="118"/>
      <c r="G374" s="118"/>
    </row>
    <row r="375" spans="2:7">
      <c r="B375" s="47"/>
      <c r="C375" s="118"/>
      <c r="D375" s="118"/>
      <c r="E375" s="118"/>
      <c r="F375" s="118"/>
      <c r="G375" s="118"/>
    </row>
    <row r="376" spans="2:7">
      <c r="B376" s="47"/>
      <c r="C376" s="118"/>
      <c r="D376" s="118"/>
      <c r="E376" s="118"/>
      <c r="F376" s="118"/>
      <c r="G376" s="118"/>
    </row>
    <row r="377" spans="2:7">
      <c r="B377" s="47"/>
      <c r="C377" s="118"/>
      <c r="D377" s="118"/>
      <c r="E377" s="118"/>
      <c r="F377" s="118"/>
      <c r="G377" s="118"/>
    </row>
    <row r="378" spans="2:7">
      <c r="B378" s="47"/>
      <c r="C378" s="118"/>
      <c r="D378" s="118"/>
      <c r="E378" s="118"/>
      <c r="F378" s="118"/>
      <c r="G378" s="118"/>
    </row>
    <row r="379" spans="2:7">
      <c r="B379" s="47"/>
      <c r="C379" s="118"/>
      <c r="D379" s="118"/>
      <c r="E379" s="118"/>
      <c r="F379" s="118"/>
      <c r="G379" s="118"/>
    </row>
    <row r="380" spans="2:7">
      <c r="B380" s="47"/>
      <c r="C380" s="118"/>
      <c r="D380" s="118"/>
      <c r="E380" s="118"/>
      <c r="F380" s="118"/>
      <c r="G380" s="118"/>
    </row>
    <row r="381" spans="2:7">
      <c r="B381" s="47"/>
      <c r="C381" s="118"/>
      <c r="D381" s="118"/>
      <c r="E381" s="118"/>
      <c r="F381" s="118"/>
      <c r="G381" s="118"/>
    </row>
    <row r="382" spans="2:7">
      <c r="B382" s="47"/>
      <c r="C382" s="118"/>
      <c r="D382" s="118"/>
      <c r="E382" s="118"/>
      <c r="F382" s="118"/>
      <c r="G382" s="118"/>
    </row>
    <row r="383" spans="2:7">
      <c r="B383" s="47"/>
      <c r="C383" s="118"/>
      <c r="D383" s="118"/>
      <c r="E383" s="118"/>
      <c r="F383" s="118"/>
      <c r="G383" s="118"/>
    </row>
    <row r="384" spans="2:7">
      <c r="B384" s="47"/>
      <c r="C384" s="118"/>
      <c r="D384" s="118"/>
      <c r="E384" s="118"/>
      <c r="F384" s="118"/>
      <c r="G384" s="118"/>
    </row>
    <row r="385" spans="2:7">
      <c r="B385" s="47"/>
      <c r="C385" s="118"/>
      <c r="D385" s="118"/>
      <c r="E385" s="118"/>
      <c r="F385" s="118"/>
      <c r="G385" s="118"/>
    </row>
    <row r="386" spans="2:7">
      <c r="B386" s="47"/>
      <c r="C386" s="118"/>
      <c r="D386" s="118"/>
      <c r="E386" s="118"/>
      <c r="F386" s="118"/>
      <c r="G386" s="118"/>
    </row>
    <row r="387" spans="2:7">
      <c r="B387" s="47"/>
      <c r="C387" s="118"/>
      <c r="D387" s="118"/>
      <c r="E387" s="118"/>
      <c r="F387" s="118"/>
      <c r="G387" s="118"/>
    </row>
    <row r="388" spans="2:7">
      <c r="B388" s="47"/>
      <c r="C388" s="118"/>
      <c r="D388" s="118"/>
      <c r="E388" s="118"/>
      <c r="F388" s="118"/>
      <c r="G388" s="118"/>
    </row>
    <row r="389" spans="2:7">
      <c r="B389" s="47"/>
      <c r="C389" s="118"/>
      <c r="D389" s="118"/>
      <c r="E389" s="118"/>
      <c r="F389" s="118"/>
      <c r="G389" s="118"/>
    </row>
    <row r="390" spans="2:7">
      <c r="B390" s="47"/>
      <c r="C390" s="118"/>
      <c r="D390" s="118"/>
      <c r="E390" s="118"/>
      <c r="F390" s="118"/>
      <c r="G390" s="118"/>
    </row>
    <row r="391" spans="2:7">
      <c r="B391" s="47"/>
      <c r="C391" s="118"/>
      <c r="D391" s="118"/>
      <c r="E391" s="118"/>
      <c r="F391" s="118"/>
      <c r="G391" s="118"/>
    </row>
    <row r="392" spans="2:7">
      <c r="B392" s="47"/>
      <c r="C392" s="118"/>
      <c r="D392" s="118"/>
      <c r="E392" s="118"/>
      <c r="F392" s="118"/>
      <c r="G392" s="118"/>
    </row>
    <row r="393" spans="2:7">
      <c r="B393" s="47"/>
      <c r="C393" s="118"/>
      <c r="D393" s="118"/>
      <c r="E393" s="118"/>
      <c r="F393" s="118"/>
      <c r="G393" s="118"/>
    </row>
    <row r="394" spans="2:7">
      <c r="B394" s="47"/>
      <c r="C394" s="118"/>
      <c r="D394" s="118"/>
      <c r="E394" s="118"/>
      <c r="F394" s="118"/>
      <c r="G394" s="118"/>
    </row>
    <row r="395" spans="2:7">
      <c r="B395" s="47"/>
      <c r="C395" s="118"/>
      <c r="D395" s="118"/>
      <c r="E395" s="118"/>
      <c r="F395" s="118"/>
      <c r="G395" s="118"/>
    </row>
    <row r="396" spans="2:7">
      <c r="B396" s="47"/>
      <c r="C396" s="118"/>
      <c r="D396" s="118"/>
      <c r="E396" s="118"/>
      <c r="F396" s="118"/>
      <c r="G396" s="118"/>
    </row>
    <row r="397" spans="2:7">
      <c r="B397" s="47"/>
      <c r="C397" s="118"/>
      <c r="D397" s="118"/>
      <c r="E397" s="118"/>
      <c r="F397" s="118"/>
      <c r="G397" s="118"/>
    </row>
    <row r="398" spans="2:7">
      <c r="B398" s="47"/>
      <c r="C398" s="118"/>
      <c r="D398" s="118"/>
      <c r="E398" s="118"/>
      <c r="F398" s="118"/>
      <c r="G398" s="118"/>
    </row>
    <row r="399" spans="2:7">
      <c r="B399" s="47"/>
      <c r="C399" s="118"/>
      <c r="D399" s="118"/>
      <c r="E399" s="118"/>
      <c r="F399" s="118"/>
      <c r="G399" s="118"/>
    </row>
    <row r="400" spans="2:7">
      <c r="B400" s="47"/>
      <c r="C400" s="118"/>
      <c r="D400" s="118"/>
      <c r="E400" s="118"/>
      <c r="F400" s="118"/>
      <c r="G400" s="118"/>
    </row>
    <row r="401" spans="2:7">
      <c r="B401" s="47"/>
      <c r="C401" s="118"/>
      <c r="D401" s="118"/>
      <c r="E401" s="118"/>
      <c r="F401" s="118"/>
      <c r="G401" s="118"/>
    </row>
    <row r="402" spans="2:7">
      <c r="B402" s="47"/>
      <c r="C402" s="118"/>
      <c r="D402" s="118"/>
      <c r="E402" s="118"/>
      <c r="F402" s="118"/>
      <c r="G402" s="118"/>
    </row>
    <row r="403" spans="2:7">
      <c r="B403" s="47"/>
      <c r="C403" s="118"/>
      <c r="D403" s="118"/>
      <c r="E403" s="118"/>
      <c r="F403" s="118"/>
      <c r="G403" s="118"/>
    </row>
    <row r="404" spans="2:7">
      <c r="B404" s="47"/>
      <c r="C404" s="118"/>
      <c r="D404" s="118"/>
      <c r="E404" s="118"/>
      <c r="F404" s="118"/>
      <c r="G404" s="118"/>
    </row>
    <row r="405" spans="2:7">
      <c r="B405" s="47"/>
      <c r="C405" s="118"/>
      <c r="D405" s="118"/>
      <c r="E405" s="118"/>
      <c r="F405" s="118"/>
      <c r="G405" s="118"/>
    </row>
    <row r="406" spans="2:7">
      <c r="B406" s="47"/>
      <c r="C406" s="118"/>
      <c r="D406" s="118"/>
      <c r="E406" s="118"/>
      <c r="F406" s="118"/>
      <c r="G406" s="118"/>
    </row>
    <row r="407" spans="2:7">
      <c r="B407" s="47"/>
      <c r="C407" s="118"/>
      <c r="D407" s="118"/>
      <c r="E407" s="118"/>
      <c r="F407" s="118"/>
      <c r="G407" s="118"/>
    </row>
    <row r="408" spans="2:7">
      <c r="B408" s="47"/>
      <c r="C408" s="118"/>
      <c r="D408" s="118"/>
      <c r="E408" s="118"/>
      <c r="F408" s="118"/>
      <c r="G408" s="118"/>
    </row>
    <row r="409" spans="2:7">
      <c r="B409" s="47"/>
      <c r="C409" s="118"/>
      <c r="D409" s="118"/>
      <c r="E409" s="118"/>
      <c r="F409" s="118"/>
      <c r="G409" s="118"/>
    </row>
    <row r="410" spans="2:7">
      <c r="B410" s="47"/>
      <c r="C410" s="118"/>
      <c r="D410" s="118"/>
      <c r="E410" s="118"/>
      <c r="F410" s="118"/>
      <c r="G410" s="118"/>
    </row>
    <row r="411" spans="2:7">
      <c r="B411" s="47"/>
      <c r="C411" s="118"/>
      <c r="D411" s="118"/>
      <c r="E411" s="118"/>
      <c r="F411" s="118"/>
      <c r="G411" s="118"/>
    </row>
    <row r="412" spans="2:7">
      <c r="B412" s="47"/>
      <c r="C412" s="118"/>
      <c r="D412" s="118"/>
      <c r="E412" s="118"/>
      <c r="F412" s="118"/>
      <c r="G412" s="118"/>
    </row>
    <row r="413" spans="2:7">
      <c r="B413" s="47"/>
      <c r="C413" s="118"/>
      <c r="D413" s="118"/>
      <c r="E413" s="118"/>
      <c r="F413" s="118"/>
      <c r="G413" s="118"/>
    </row>
    <row r="414" spans="2:7">
      <c r="B414" s="47"/>
      <c r="C414" s="118"/>
      <c r="D414" s="118"/>
      <c r="E414" s="118"/>
      <c r="F414" s="118"/>
      <c r="G414" s="118"/>
    </row>
    <row r="415" spans="2:7">
      <c r="B415" s="47"/>
      <c r="C415" s="118"/>
      <c r="D415" s="118"/>
      <c r="E415" s="118"/>
      <c r="F415" s="118"/>
      <c r="G415" s="118"/>
    </row>
    <row r="416" spans="2:7">
      <c r="B416" s="47"/>
      <c r="C416" s="118"/>
      <c r="D416" s="118"/>
      <c r="E416" s="118"/>
      <c r="F416" s="118"/>
      <c r="G416" s="118"/>
    </row>
    <row r="417" spans="2:7">
      <c r="B417" s="47"/>
      <c r="C417" s="118"/>
      <c r="D417" s="118"/>
      <c r="E417" s="118"/>
      <c r="F417" s="118"/>
      <c r="G417" s="118"/>
    </row>
    <row r="418" spans="2:7">
      <c r="B418" s="47"/>
      <c r="C418" s="118"/>
      <c r="D418" s="118"/>
      <c r="E418" s="118"/>
      <c r="F418" s="118"/>
      <c r="G418" s="118"/>
    </row>
    <row r="419" spans="2:7">
      <c r="B419" s="47"/>
      <c r="C419" s="118"/>
      <c r="D419" s="118"/>
      <c r="E419" s="118"/>
      <c r="F419" s="118"/>
      <c r="G419" s="118"/>
    </row>
    <row r="420" spans="2:7">
      <c r="B420" s="47"/>
      <c r="C420" s="118"/>
      <c r="D420" s="118"/>
      <c r="E420" s="118"/>
      <c r="F420" s="118"/>
      <c r="G420" s="118"/>
    </row>
    <row r="421" spans="2:7">
      <c r="B421" s="47"/>
      <c r="C421" s="118"/>
      <c r="D421" s="118"/>
      <c r="E421" s="118"/>
      <c r="F421" s="118"/>
      <c r="G421" s="118"/>
    </row>
    <row r="422" spans="2:7">
      <c r="B422" s="47"/>
      <c r="C422" s="118"/>
      <c r="D422" s="118"/>
      <c r="E422" s="118"/>
      <c r="F422" s="118"/>
      <c r="G422" s="118"/>
    </row>
    <row r="423" spans="2:7">
      <c r="B423" s="47"/>
      <c r="C423" s="118"/>
      <c r="D423" s="118"/>
      <c r="E423" s="118"/>
      <c r="F423" s="118"/>
      <c r="G423" s="118"/>
    </row>
    <row r="424" spans="2:7">
      <c r="B424" s="47"/>
      <c r="C424" s="118"/>
      <c r="D424" s="118"/>
      <c r="E424" s="118"/>
      <c r="F424" s="118"/>
      <c r="G424" s="118"/>
    </row>
    <row r="425" spans="2:7">
      <c r="B425" s="47"/>
      <c r="C425" s="118"/>
      <c r="D425" s="118"/>
      <c r="E425" s="118"/>
      <c r="F425" s="118"/>
      <c r="G425" s="118"/>
    </row>
    <row r="426" spans="2:7">
      <c r="B426" s="47"/>
      <c r="C426" s="118"/>
      <c r="D426" s="118"/>
      <c r="E426" s="118"/>
      <c r="F426" s="118"/>
      <c r="G426" s="118"/>
    </row>
    <row r="427" spans="2:7">
      <c r="B427" s="47"/>
      <c r="C427" s="118"/>
      <c r="D427" s="118"/>
      <c r="E427" s="118"/>
      <c r="F427" s="118"/>
      <c r="G427" s="118"/>
    </row>
    <row r="428" spans="2:7">
      <c r="B428" s="47"/>
      <c r="C428" s="118"/>
      <c r="D428" s="118"/>
      <c r="E428" s="118"/>
      <c r="F428" s="118"/>
      <c r="G428" s="118"/>
    </row>
    <row r="429" spans="2:7">
      <c r="B429" s="47"/>
      <c r="C429" s="118"/>
      <c r="D429" s="118"/>
      <c r="E429" s="118"/>
      <c r="F429" s="118"/>
      <c r="G429" s="118"/>
    </row>
    <row r="430" spans="2:7">
      <c r="B430" s="47"/>
      <c r="C430" s="118"/>
      <c r="D430" s="118"/>
      <c r="E430" s="118"/>
      <c r="F430" s="118"/>
      <c r="G430" s="118"/>
    </row>
    <row r="431" spans="2:7">
      <c r="B431" s="47"/>
      <c r="C431" s="118"/>
      <c r="D431" s="118"/>
      <c r="E431" s="118"/>
      <c r="F431" s="118"/>
      <c r="G431" s="118"/>
    </row>
    <row r="432" spans="2:7">
      <c r="B432" s="47"/>
      <c r="C432" s="118"/>
      <c r="D432" s="118"/>
      <c r="E432" s="118"/>
      <c r="F432" s="118"/>
      <c r="G432" s="118"/>
    </row>
    <row r="433" spans="2:7">
      <c r="B433" s="47"/>
      <c r="C433" s="118"/>
      <c r="D433" s="118"/>
      <c r="E433" s="118"/>
      <c r="F433" s="118"/>
      <c r="G433" s="118"/>
    </row>
    <row r="434" spans="2:7">
      <c r="B434" s="47"/>
      <c r="C434" s="118"/>
      <c r="D434" s="118"/>
      <c r="E434" s="118"/>
      <c r="F434" s="118"/>
      <c r="G434" s="118"/>
    </row>
    <row r="435" spans="2:7">
      <c r="B435" s="47"/>
      <c r="C435" s="118"/>
      <c r="D435" s="118"/>
      <c r="E435" s="118"/>
      <c r="F435" s="118"/>
      <c r="G435" s="118"/>
    </row>
    <row r="436" spans="2:7">
      <c r="B436" s="47"/>
      <c r="C436" s="118"/>
      <c r="D436" s="118"/>
      <c r="E436" s="118"/>
      <c r="F436" s="118"/>
      <c r="G436" s="118"/>
    </row>
    <row r="437" spans="2:7">
      <c r="B437" s="47"/>
      <c r="C437" s="118"/>
      <c r="D437" s="118"/>
      <c r="E437" s="118"/>
      <c r="F437" s="118"/>
      <c r="G437" s="118"/>
    </row>
    <row r="438" spans="2:7">
      <c r="B438" s="47"/>
      <c r="C438" s="118"/>
      <c r="D438" s="118"/>
      <c r="E438" s="118"/>
      <c r="F438" s="118"/>
      <c r="G438" s="118"/>
    </row>
    <row r="439" spans="2:7">
      <c r="B439" s="47"/>
      <c r="C439" s="118"/>
      <c r="D439" s="118"/>
      <c r="E439" s="118"/>
      <c r="F439" s="118"/>
      <c r="G439" s="118"/>
    </row>
    <row r="440" spans="2:7">
      <c r="B440" s="47"/>
      <c r="C440" s="118"/>
      <c r="D440" s="118"/>
      <c r="E440" s="118"/>
      <c r="F440" s="118"/>
      <c r="G440" s="118"/>
    </row>
    <row r="441" spans="2:7">
      <c r="B441" s="47"/>
      <c r="C441" s="118"/>
      <c r="D441" s="118"/>
      <c r="E441" s="118"/>
      <c r="F441" s="118"/>
      <c r="G441" s="118"/>
    </row>
    <row r="442" spans="2:7">
      <c r="B442" s="47"/>
      <c r="C442" s="118"/>
      <c r="D442" s="118"/>
      <c r="E442" s="118"/>
      <c r="F442" s="118"/>
      <c r="G442" s="118"/>
    </row>
    <row r="443" spans="2:7">
      <c r="B443" s="47"/>
      <c r="C443" s="118"/>
      <c r="D443" s="118"/>
      <c r="E443" s="118"/>
      <c r="F443" s="118"/>
      <c r="G443" s="118"/>
    </row>
    <row r="444" spans="2:7">
      <c r="B444" s="47"/>
      <c r="C444" s="118"/>
      <c r="D444" s="118"/>
      <c r="E444" s="118"/>
      <c r="F444" s="118"/>
      <c r="G444" s="118"/>
    </row>
    <row r="445" spans="2:7">
      <c r="B445" s="47"/>
      <c r="C445" s="118"/>
      <c r="D445" s="118"/>
      <c r="E445" s="118"/>
      <c r="F445" s="118"/>
      <c r="G445" s="118"/>
    </row>
    <row r="446" spans="2:7">
      <c r="B446" s="47"/>
      <c r="C446" s="118"/>
      <c r="D446" s="118"/>
      <c r="E446" s="118"/>
      <c r="F446" s="118"/>
      <c r="G446" s="118"/>
    </row>
    <row r="447" spans="2:7">
      <c r="B447" s="47"/>
      <c r="C447" s="118"/>
      <c r="D447" s="118"/>
      <c r="E447" s="118"/>
      <c r="F447" s="118"/>
      <c r="G447" s="118"/>
    </row>
    <row r="448" spans="2:7">
      <c r="B448" s="47"/>
      <c r="C448" s="118"/>
      <c r="D448" s="118"/>
      <c r="E448" s="118"/>
      <c r="F448" s="118"/>
      <c r="G448" s="118"/>
    </row>
    <row r="449" spans="2:7">
      <c r="B449" s="47"/>
      <c r="C449" s="118"/>
      <c r="D449" s="118"/>
      <c r="E449" s="118"/>
      <c r="F449" s="118"/>
      <c r="G449" s="118"/>
    </row>
    <row r="450" spans="2:7">
      <c r="B450" s="47"/>
      <c r="C450" s="118"/>
      <c r="D450" s="118"/>
      <c r="E450" s="118"/>
      <c r="F450" s="118"/>
      <c r="G450" s="118"/>
    </row>
    <row r="451" spans="2:7">
      <c r="B451" s="47"/>
      <c r="C451" s="118"/>
      <c r="D451" s="118"/>
      <c r="E451" s="118"/>
      <c r="F451" s="118"/>
      <c r="G451" s="118"/>
    </row>
    <row r="452" spans="2:7">
      <c r="B452" s="47"/>
      <c r="C452" s="118"/>
      <c r="D452" s="118"/>
      <c r="E452" s="118"/>
      <c r="F452" s="118"/>
      <c r="G452" s="118"/>
    </row>
    <row r="453" spans="2:7">
      <c r="B453" s="47"/>
      <c r="C453" s="118"/>
      <c r="D453" s="118"/>
      <c r="E453" s="118"/>
      <c r="F453" s="118"/>
      <c r="G453" s="118"/>
    </row>
    <row r="454" spans="2:7">
      <c r="B454" s="47"/>
      <c r="C454" s="118"/>
      <c r="D454" s="118"/>
      <c r="E454" s="118"/>
      <c r="F454" s="118"/>
      <c r="G454" s="118"/>
    </row>
    <row r="455" spans="2:7">
      <c r="B455" s="47"/>
      <c r="C455" s="118"/>
      <c r="D455" s="118"/>
      <c r="E455" s="118"/>
      <c r="F455" s="118"/>
      <c r="G455" s="118"/>
    </row>
    <row r="456" spans="2:7">
      <c r="B456" s="47"/>
      <c r="C456" s="118"/>
      <c r="D456" s="118"/>
      <c r="E456" s="118"/>
      <c r="F456" s="118"/>
      <c r="G456" s="118"/>
    </row>
    <row r="457" spans="2:7">
      <c r="B457" s="47"/>
      <c r="C457" s="118"/>
      <c r="D457" s="118"/>
      <c r="E457" s="118"/>
      <c r="F457" s="118"/>
      <c r="G457" s="118"/>
    </row>
    <row r="458" spans="2:7">
      <c r="B458" s="47"/>
      <c r="C458" s="118"/>
      <c r="D458" s="118"/>
      <c r="E458" s="118"/>
      <c r="F458" s="118"/>
      <c r="G458" s="118"/>
    </row>
    <row r="459" spans="2:7">
      <c r="B459" s="47"/>
      <c r="C459" s="118"/>
      <c r="D459" s="118"/>
      <c r="E459" s="118"/>
      <c r="F459" s="118"/>
      <c r="G459" s="118"/>
    </row>
    <row r="460" spans="2:7">
      <c r="B460" s="47"/>
      <c r="C460" s="118"/>
      <c r="D460" s="118"/>
      <c r="E460" s="118"/>
      <c r="F460" s="118"/>
      <c r="G460" s="118"/>
    </row>
    <row r="461" spans="2:7">
      <c r="B461" s="47"/>
      <c r="C461" s="118"/>
      <c r="D461" s="118"/>
      <c r="E461" s="118"/>
      <c r="F461" s="118"/>
      <c r="G461" s="118"/>
    </row>
    <row r="462" spans="2:7">
      <c r="B462" s="47"/>
      <c r="C462" s="118"/>
      <c r="D462" s="118"/>
      <c r="E462" s="118"/>
      <c r="F462" s="118"/>
      <c r="G462" s="118"/>
    </row>
    <row r="463" spans="2:7">
      <c r="B463" s="47"/>
      <c r="C463" s="118"/>
      <c r="D463" s="118"/>
      <c r="E463" s="118"/>
      <c r="F463" s="118"/>
      <c r="G463" s="118"/>
    </row>
    <row r="464" spans="2:7">
      <c r="B464" s="47"/>
      <c r="C464" s="118"/>
      <c r="D464" s="118"/>
      <c r="E464" s="118"/>
      <c r="F464" s="118"/>
      <c r="G464" s="118"/>
    </row>
    <row r="465" spans="2:7">
      <c r="B465" s="47"/>
      <c r="C465" s="118"/>
      <c r="D465" s="118"/>
      <c r="E465" s="118"/>
      <c r="F465" s="118"/>
      <c r="G465" s="118"/>
    </row>
    <row r="466" spans="2:7">
      <c r="B466" s="47"/>
      <c r="C466" s="118"/>
      <c r="D466" s="118"/>
      <c r="E466" s="118"/>
      <c r="F466" s="118"/>
      <c r="G466" s="118"/>
    </row>
    <row r="467" spans="2:7">
      <c r="B467" s="47"/>
      <c r="C467" s="118"/>
      <c r="D467" s="118"/>
      <c r="E467" s="118"/>
      <c r="F467" s="118"/>
      <c r="G467" s="118"/>
    </row>
    <row r="468" spans="2:7">
      <c r="B468" s="47"/>
      <c r="C468" s="118"/>
      <c r="D468" s="118"/>
      <c r="E468" s="118"/>
      <c r="F468" s="118"/>
      <c r="G468" s="118"/>
    </row>
    <row r="469" spans="2:7">
      <c r="B469" s="47"/>
      <c r="C469" s="118"/>
      <c r="D469" s="118"/>
      <c r="E469" s="118"/>
      <c r="F469" s="118"/>
      <c r="G469" s="118"/>
    </row>
    <row r="470" spans="2:7">
      <c r="B470" s="47"/>
      <c r="C470" s="118"/>
      <c r="D470" s="118"/>
      <c r="E470" s="118"/>
      <c r="F470" s="118"/>
      <c r="G470" s="118"/>
    </row>
    <row r="471" spans="2:7">
      <c r="B471" s="47"/>
      <c r="C471" s="118"/>
      <c r="D471" s="118"/>
      <c r="E471" s="118"/>
      <c r="F471" s="118"/>
      <c r="G471" s="118"/>
    </row>
    <row r="472" spans="2:7">
      <c r="B472" s="47"/>
      <c r="C472" s="118"/>
      <c r="D472" s="118"/>
      <c r="E472" s="118"/>
      <c r="F472" s="118"/>
      <c r="G472" s="118"/>
    </row>
    <row r="473" spans="2:7">
      <c r="B473" s="47"/>
      <c r="C473" s="118"/>
      <c r="D473" s="118"/>
      <c r="E473" s="118"/>
      <c r="F473" s="118"/>
      <c r="G473" s="118"/>
    </row>
    <row r="474" spans="2:7">
      <c r="B474" s="47"/>
      <c r="C474" s="118"/>
      <c r="D474" s="118"/>
      <c r="E474" s="118"/>
      <c r="F474" s="118"/>
      <c r="G474" s="118"/>
    </row>
    <row r="475" spans="2:7">
      <c r="B475" s="47"/>
      <c r="C475" s="118"/>
      <c r="D475" s="118"/>
      <c r="E475" s="118"/>
      <c r="F475" s="118"/>
      <c r="G475" s="118"/>
    </row>
    <row r="476" spans="2:7">
      <c r="B476" s="47"/>
      <c r="C476" s="118"/>
      <c r="D476" s="118"/>
      <c r="E476" s="118"/>
      <c r="F476" s="118"/>
      <c r="G476" s="118"/>
    </row>
    <row r="477" spans="2:7">
      <c r="B477" s="47"/>
      <c r="C477" s="118"/>
      <c r="D477" s="118"/>
      <c r="E477" s="118"/>
      <c r="F477" s="118"/>
      <c r="G477" s="118"/>
    </row>
    <row r="478" spans="2:7">
      <c r="B478" s="47"/>
      <c r="C478" s="118"/>
      <c r="D478" s="118"/>
      <c r="E478" s="118"/>
      <c r="F478" s="118"/>
      <c r="G478" s="118"/>
    </row>
    <row r="479" spans="2:7">
      <c r="B479" s="47"/>
      <c r="C479" s="118"/>
      <c r="D479" s="118"/>
      <c r="E479" s="118"/>
      <c r="F479" s="118"/>
      <c r="G479" s="118"/>
    </row>
    <row r="480" spans="2:7">
      <c r="B480" s="47"/>
      <c r="C480" s="118"/>
      <c r="D480" s="118"/>
      <c r="E480" s="118"/>
      <c r="F480" s="118"/>
      <c r="G480" s="118"/>
    </row>
    <row r="481" spans="2:7">
      <c r="B481" s="47"/>
      <c r="C481" s="118"/>
      <c r="D481" s="118"/>
      <c r="E481" s="118"/>
      <c r="F481" s="118"/>
      <c r="G481" s="118"/>
    </row>
    <row r="482" spans="2:7">
      <c r="B482" s="47"/>
      <c r="C482" s="118"/>
      <c r="D482" s="118"/>
      <c r="E482" s="118"/>
      <c r="F482" s="118"/>
      <c r="G482" s="118"/>
    </row>
    <row r="483" spans="2:7">
      <c r="B483" s="47"/>
      <c r="C483" s="118"/>
      <c r="D483" s="118"/>
      <c r="E483" s="118"/>
      <c r="F483" s="118"/>
      <c r="G483" s="118"/>
    </row>
    <row r="484" spans="2:7">
      <c r="B484" s="47"/>
      <c r="C484" s="118"/>
      <c r="D484" s="118"/>
      <c r="E484" s="118"/>
      <c r="F484" s="118"/>
      <c r="G484" s="118"/>
    </row>
    <row r="485" spans="2:7">
      <c r="B485" s="47"/>
      <c r="C485" s="118"/>
      <c r="D485" s="118"/>
      <c r="E485" s="118"/>
      <c r="F485" s="118"/>
      <c r="G485" s="118"/>
    </row>
    <row r="486" spans="2:7">
      <c r="B486" s="47"/>
      <c r="C486" s="118"/>
      <c r="D486" s="118"/>
      <c r="E486" s="118"/>
      <c r="F486" s="118"/>
      <c r="G486" s="118"/>
    </row>
    <row r="487" spans="2:7">
      <c r="B487" s="47"/>
      <c r="C487" s="118"/>
      <c r="D487" s="118"/>
      <c r="E487" s="118"/>
      <c r="F487" s="118"/>
      <c r="G487" s="118"/>
    </row>
    <row r="488" spans="2:7">
      <c r="B488" s="47"/>
      <c r="C488" s="118"/>
      <c r="D488" s="118"/>
      <c r="E488" s="118"/>
      <c r="F488" s="118"/>
      <c r="G488" s="118"/>
    </row>
    <row r="489" spans="2:7">
      <c r="B489" s="47"/>
      <c r="C489" s="118"/>
      <c r="D489" s="118"/>
      <c r="E489" s="118"/>
      <c r="F489" s="118"/>
      <c r="G489" s="118"/>
    </row>
    <row r="490" spans="2:7">
      <c r="B490" s="47"/>
      <c r="C490" s="118"/>
      <c r="D490" s="118"/>
      <c r="E490" s="118"/>
      <c r="F490" s="118"/>
      <c r="G490" s="118"/>
    </row>
    <row r="491" spans="2:7">
      <c r="B491" s="47"/>
      <c r="C491" s="118"/>
      <c r="D491" s="118"/>
      <c r="E491" s="118"/>
      <c r="F491" s="118"/>
      <c r="G491" s="118"/>
    </row>
    <row r="492" spans="2:7">
      <c r="B492" s="47"/>
      <c r="C492" s="118"/>
      <c r="D492" s="118"/>
      <c r="E492" s="118"/>
      <c r="F492" s="118"/>
      <c r="G492" s="118"/>
    </row>
    <row r="493" spans="2:7">
      <c r="B493" s="47"/>
      <c r="C493" s="118"/>
      <c r="D493" s="118"/>
      <c r="E493" s="118"/>
      <c r="F493" s="118"/>
      <c r="G493" s="118"/>
    </row>
    <row r="494" spans="2:7">
      <c r="B494" s="47"/>
      <c r="C494" s="118"/>
      <c r="D494" s="118"/>
      <c r="E494" s="118"/>
      <c r="F494" s="118"/>
      <c r="G494" s="118"/>
    </row>
    <row r="495" spans="2:7">
      <c r="B495" s="47"/>
      <c r="C495" s="118"/>
      <c r="D495" s="118"/>
      <c r="E495" s="118"/>
      <c r="F495" s="118"/>
      <c r="G495" s="118"/>
    </row>
    <row r="496" spans="2:7">
      <c r="B496" s="47"/>
      <c r="C496" s="118"/>
      <c r="D496" s="118"/>
      <c r="E496" s="118"/>
      <c r="F496" s="118"/>
      <c r="G496" s="118"/>
    </row>
    <row r="497" spans="2:7">
      <c r="B497" s="47"/>
      <c r="C497" s="118"/>
      <c r="D497" s="118"/>
      <c r="E497" s="118"/>
      <c r="F497" s="118"/>
      <c r="G497" s="118"/>
    </row>
    <row r="498" spans="2:7">
      <c r="B498" s="47"/>
      <c r="C498" s="118"/>
      <c r="D498" s="118"/>
      <c r="E498" s="118"/>
      <c r="F498" s="118"/>
      <c r="G498" s="118"/>
    </row>
    <row r="499" spans="2:7">
      <c r="B499" s="47"/>
      <c r="C499" s="118"/>
      <c r="D499" s="118"/>
      <c r="E499" s="118"/>
      <c r="F499" s="118"/>
      <c r="G499" s="118"/>
    </row>
    <row r="500" spans="2:7">
      <c r="B500" s="47"/>
      <c r="C500" s="118"/>
      <c r="D500" s="118"/>
      <c r="E500" s="118"/>
      <c r="F500" s="118"/>
      <c r="G500" s="118"/>
    </row>
    <row r="501" spans="2:7">
      <c r="B501" s="47"/>
      <c r="C501" s="118"/>
      <c r="D501" s="118"/>
      <c r="E501" s="118"/>
      <c r="F501" s="118"/>
      <c r="G501" s="118"/>
    </row>
    <row r="502" spans="2:7">
      <c r="B502" s="47"/>
      <c r="C502" s="118"/>
      <c r="D502" s="118"/>
      <c r="E502" s="118"/>
      <c r="F502" s="118"/>
      <c r="G502" s="118"/>
    </row>
    <row r="503" spans="2:7">
      <c r="B503" s="47"/>
      <c r="C503" s="118"/>
      <c r="D503" s="118"/>
      <c r="E503" s="118"/>
      <c r="F503" s="118"/>
      <c r="G503" s="118"/>
    </row>
    <row r="504" spans="2:7">
      <c r="B504" s="47"/>
      <c r="C504" s="118"/>
      <c r="D504" s="118"/>
      <c r="E504" s="118"/>
      <c r="F504" s="118"/>
      <c r="G504" s="118"/>
    </row>
    <row r="505" spans="2:7">
      <c r="B505" s="47"/>
      <c r="C505" s="118"/>
      <c r="D505" s="118"/>
      <c r="E505" s="118"/>
      <c r="F505" s="118"/>
      <c r="G505" s="118"/>
    </row>
    <row r="506" spans="2:7">
      <c r="B506" s="47"/>
      <c r="C506" s="118"/>
      <c r="D506" s="118"/>
      <c r="E506" s="118"/>
      <c r="F506" s="118"/>
      <c r="G506" s="118"/>
    </row>
    <row r="507" spans="2:7">
      <c r="B507" s="47"/>
      <c r="C507" s="118"/>
      <c r="D507" s="118"/>
      <c r="E507" s="118"/>
      <c r="F507" s="118"/>
      <c r="G507" s="118"/>
    </row>
    <row r="508" spans="2:7">
      <c r="B508" s="47"/>
      <c r="C508" s="118"/>
      <c r="D508" s="118"/>
      <c r="E508" s="118"/>
      <c r="F508" s="118"/>
      <c r="G508" s="118"/>
    </row>
    <row r="509" spans="2:7">
      <c r="B509" s="47"/>
      <c r="C509" s="118"/>
      <c r="D509" s="118"/>
      <c r="E509" s="118"/>
      <c r="F509" s="118"/>
      <c r="G509" s="118"/>
    </row>
    <row r="510" spans="2:7">
      <c r="B510" s="47"/>
      <c r="C510" s="118"/>
      <c r="D510" s="118"/>
      <c r="E510" s="118"/>
      <c r="F510" s="118"/>
      <c r="G510" s="118"/>
    </row>
    <row r="511" spans="2:7">
      <c r="B511" s="47"/>
      <c r="C511" s="118"/>
      <c r="D511" s="118"/>
      <c r="E511" s="118"/>
      <c r="F511" s="118"/>
      <c r="G511" s="118"/>
    </row>
    <row r="512" spans="2:7">
      <c r="B512" s="47"/>
      <c r="C512" s="118"/>
      <c r="D512" s="118"/>
      <c r="E512" s="118"/>
      <c r="F512" s="118"/>
      <c r="G512" s="118"/>
    </row>
    <row r="513" spans="2:7">
      <c r="B513" s="47"/>
      <c r="C513" s="118"/>
      <c r="D513" s="118"/>
      <c r="E513" s="118"/>
      <c r="F513" s="118"/>
      <c r="G513" s="118"/>
    </row>
    <row r="514" spans="2:7">
      <c r="B514" s="47"/>
      <c r="C514" s="118"/>
      <c r="D514" s="118"/>
      <c r="E514" s="118"/>
      <c r="F514" s="118"/>
      <c r="G514" s="118"/>
    </row>
    <row r="515" spans="2:7">
      <c r="B515" s="47"/>
      <c r="C515" s="118"/>
      <c r="D515" s="118"/>
      <c r="E515" s="118"/>
      <c r="F515" s="118"/>
      <c r="G515" s="118"/>
    </row>
    <row r="516" spans="2:7">
      <c r="B516" s="47"/>
      <c r="C516" s="118"/>
      <c r="D516" s="118"/>
      <c r="E516" s="118"/>
      <c r="F516" s="118"/>
      <c r="G516" s="118"/>
    </row>
    <row r="517" spans="2:7">
      <c r="B517" s="47"/>
      <c r="C517" s="118"/>
      <c r="D517" s="118"/>
      <c r="E517" s="118"/>
      <c r="F517" s="118"/>
      <c r="G517" s="118"/>
    </row>
    <row r="518" spans="2:7">
      <c r="B518" s="47"/>
      <c r="C518" s="118"/>
      <c r="D518" s="118"/>
      <c r="E518" s="118"/>
      <c r="F518" s="118"/>
      <c r="G518" s="118"/>
    </row>
    <row r="519" spans="2:7">
      <c r="B519" s="47"/>
      <c r="C519" s="118"/>
      <c r="D519" s="118"/>
      <c r="E519" s="118"/>
      <c r="F519" s="118"/>
      <c r="G519" s="118"/>
    </row>
    <row r="520" spans="2:7">
      <c r="B520" s="47"/>
      <c r="C520" s="118"/>
      <c r="D520" s="118"/>
      <c r="E520" s="118"/>
      <c r="F520" s="118"/>
      <c r="G520" s="118"/>
    </row>
    <row r="521" spans="2:7">
      <c r="B521" s="47"/>
      <c r="C521" s="118"/>
      <c r="D521" s="118"/>
      <c r="E521" s="118"/>
      <c r="F521" s="118"/>
      <c r="G521" s="118"/>
    </row>
    <row r="522" spans="2:7">
      <c r="B522" s="47"/>
      <c r="C522" s="118"/>
      <c r="D522" s="118"/>
      <c r="E522" s="118"/>
      <c r="F522" s="118"/>
      <c r="G522" s="118"/>
    </row>
    <row r="523" spans="2:7">
      <c r="B523" s="47"/>
      <c r="C523" s="118"/>
      <c r="D523" s="118"/>
      <c r="E523" s="118"/>
      <c r="F523" s="118"/>
      <c r="G523" s="118"/>
    </row>
    <row r="524" spans="2:7">
      <c r="B524" s="47"/>
      <c r="C524" s="118"/>
      <c r="D524" s="118"/>
      <c r="E524" s="118"/>
      <c r="F524" s="118"/>
      <c r="G524" s="118"/>
    </row>
    <row r="525" spans="2:7">
      <c r="B525" s="47"/>
      <c r="C525" s="118"/>
      <c r="D525" s="118"/>
      <c r="E525" s="118"/>
      <c r="F525" s="118"/>
      <c r="G525" s="118"/>
    </row>
    <row r="526" spans="2:7">
      <c r="B526" s="47"/>
      <c r="C526" s="118"/>
      <c r="D526" s="118"/>
      <c r="E526" s="118"/>
      <c r="F526" s="118"/>
      <c r="G526" s="118"/>
    </row>
    <row r="527" spans="2:7">
      <c r="B527" s="47"/>
      <c r="C527" s="118"/>
      <c r="D527" s="118"/>
      <c r="E527" s="118"/>
      <c r="F527" s="118"/>
      <c r="G527" s="118"/>
    </row>
    <row r="528" spans="2:7">
      <c r="B528" s="47"/>
      <c r="C528" s="118"/>
      <c r="D528" s="118"/>
      <c r="E528" s="118"/>
      <c r="F528" s="118"/>
      <c r="G528" s="118"/>
    </row>
    <row r="529" spans="2:7">
      <c r="B529" s="47"/>
      <c r="C529" s="118"/>
      <c r="D529" s="118"/>
      <c r="E529" s="118"/>
      <c r="F529" s="118"/>
      <c r="G529" s="118"/>
    </row>
    <row r="530" spans="2:7">
      <c r="B530" s="47"/>
      <c r="C530" s="118"/>
      <c r="D530" s="118"/>
      <c r="E530" s="118"/>
      <c r="F530" s="118"/>
      <c r="G530" s="118"/>
    </row>
    <row r="531" spans="2:7">
      <c r="B531" s="47"/>
      <c r="C531" s="118"/>
      <c r="D531" s="118"/>
      <c r="E531" s="118"/>
      <c r="F531" s="118"/>
      <c r="G531" s="118"/>
    </row>
    <row r="532" spans="2:7">
      <c r="B532" s="47"/>
      <c r="C532" s="118"/>
      <c r="D532" s="118"/>
      <c r="E532" s="118"/>
      <c r="F532" s="118"/>
      <c r="G532" s="118"/>
    </row>
    <row r="533" spans="2:7">
      <c r="B533" s="47"/>
      <c r="C533" s="118"/>
      <c r="D533" s="118"/>
      <c r="E533" s="118"/>
      <c r="F533" s="118"/>
      <c r="G533" s="118"/>
    </row>
    <row r="534" spans="2:7">
      <c r="B534" s="47"/>
      <c r="C534" s="118"/>
      <c r="D534" s="118"/>
      <c r="E534" s="118"/>
      <c r="F534" s="118"/>
      <c r="G534" s="118"/>
    </row>
    <row r="535" spans="2:7">
      <c r="B535" s="47"/>
      <c r="C535" s="118"/>
      <c r="D535" s="118"/>
      <c r="E535" s="118"/>
      <c r="F535" s="118"/>
      <c r="G535" s="118"/>
    </row>
    <row r="536" spans="2:7">
      <c r="B536" s="47"/>
      <c r="C536" s="118"/>
      <c r="D536" s="118"/>
      <c r="E536" s="118"/>
      <c r="F536" s="118"/>
      <c r="G536" s="118"/>
    </row>
    <row r="537" spans="2:7">
      <c r="B537" s="47"/>
      <c r="C537" s="118"/>
      <c r="D537" s="118"/>
      <c r="E537" s="118"/>
      <c r="F537" s="118"/>
      <c r="G537" s="118"/>
    </row>
    <row r="538" spans="2:7">
      <c r="B538" s="47"/>
      <c r="C538" s="118"/>
      <c r="D538" s="118"/>
      <c r="E538" s="118"/>
      <c r="F538" s="118"/>
      <c r="G538" s="118"/>
    </row>
    <row r="539" spans="2:7">
      <c r="B539" s="47"/>
      <c r="C539" s="118"/>
      <c r="D539" s="118"/>
      <c r="E539" s="118"/>
      <c r="F539" s="118"/>
      <c r="G539" s="118"/>
    </row>
    <row r="540" spans="2:7">
      <c r="B540" s="47"/>
      <c r="C540" s="118"/>
      <c r="D540" s="118"/>
      <c r="E540" s="118"/>
      <c r="F540" s="118"/>
      <c r="G540" s="118"/>
    </row>
    <row r="541" spans="2:7">
      <c r="B541" s="47"/>
      <c r="C541" s="118"/>
      <c r="D541" s="118"/>
      <c r="E541" s="118"/>
      <c r="F541" s="118"/>
      <c r="G541" s="118"/>
    </row>
    <row r="542" spans="2:7">
      <c r="B542" s="47"/>
      <c r="C542" s="118"/>
      <c r="D542" s="118"/>
      <c r="E542" s="118"/>
      <c r="F542" s="118"/>
      <c r="G542" s="118"/>
    </row>
    <row r="543" spans="2:7">
      <c r="B543" s="47"/>
      <c r="C543" s="118"/>
      <c r="D543" s="118"/>
      <c r="E543" s="118"/>
      <c r="F543" s="118"/>
      <c r="G543" s="118"/>
    </row>
    <row r="544" spans="2:7">
      <c r="B544" s="47"/>
      <c r="C544" s="118"/>
      <c r="D544" s="118"/>
      <c r="E544" s="118"/>
      <c r="F544" s="118"/>
      <c r="G544" s="118"/>
    </row>
    <row r="545" spans="2:7">
      <c r="B545" s="47"/>
      <c r="C545" s="118"/>
      <c r="D545" s="118"/>
      <c r="E545" s="118"/>
      <c r="F545" s="118"/>
      <c r="G545" s="118"/>
    </row>
    <row r="546" spans="2:7">
      <c r="B546" s="47"/>
      <c r="C546" s="118"/>
      <c r="D546" s="118"/>
      <c r="E546" s="118"/>
      <c r="F546" s="118"/>
      <c r="G546" s="118"/>
    </row>
    <row r="547" spans="2:7">
      <c r="B547" s="47"/>
      <c r="C547" s="118"/>
      <c r="D547" s="118"/>
      <c r="E547" s="118"/>
      <c r="F547" s="118"/>
      <c r="G547" s="118"/>
    </row>
    <row r="548" spans="2:7">
      <c r="B548" s="47"/>
      <c r="C548" s="118"/>
      <c r="D548" s="118"/>
      <c r="E548" s="118"/>
      <c r="F548" s="118"/>
      <c r="G548" s="118"/>
    </row>
    <row r="549" spans="2:7">
      <c r="B549" s="47"/>
      <c r="C549" s="118"/>
      <c r="D549" s="118"/>
      <c r="E549" s="118"/>
      <c r="F549" s="118"/>
      <c r="G549" s="118"/>
    </row>
    <row r="550" spans="2:7">
      <c r="B550" s="47"/>
      <c r="C550" s="118"/>
      <c r="D550" s="118"/>
      <c r="E550" s="118"/>
      <c r="F550" s="118"/>
      <c r="G550" s="118"/>
    </row>
    <row r="551" spans="2:7">
      <c r="B551" s="47"/>
      <c r="C551" s="118"/>
      <c r="D551" s="118"/>
      <c r="E551" s="118"/>
      <c r="F551" s="118"/>
      <c r="G551" s="118"/>
    </row>
    <row r="552" spans="2:7">
      <c r="B552" s="47"/>
      <c r="C552" s="118"/>
      <c r="D552" s="118"/>
      <c r="E552" s="118"/>
      <c r="F552" s="118"/>
      <c r="G552" s="118"/>
    </row>
    <row r="553" spans="2:7">
      <c r="B553" s="47"/>
      <c r="C553" s="118"/>
      <c r="D553" s="118"/>
      <c r="E553" s="118"/>
      <c r="F553" s="118"/>
      <c r="G553" s="118"/>
    </row>
    <row r="554" spans="2:7">
      <c r="B554" s="47"/>
      <c r="C554" s="118"/>
      <c r="D554" s="118"/>
      <c r="E554" s="118"/>
      <c r="F554" s="118"/>
      <c r="G554" s="118"/>
    </row>
    <row r="555" spans="2:7">
      <c r="B555" s="47"/>
      <c r="C555" s="118"/>
      <c r="D555" s="118"/>
      <c r="E555" s="118"/>
      <c r="F555" s="118"/>
      <c r="G555" s="118"/>
    </row>
    <row r="556" spans="2:7">
      <c r="B556" s="47"/>
      <c r="C556" s="118"/>
      <c r="D556" s="118"/>
      <c r="E556" s="118"/>
      <c r="F556" s="118"/>
      <c r="G556" s="118"/>
    </row>
    <row r="557" spans="2:7">
      <c r="B557" s="47"/>
      <c r="C557" s="118"/>
      <c r="D557" s="118"/>
      <c r="E557" s="118"/>
      <c r="F557" s="118"/>
      <c r="G557" s="118"/>
    </row>
    <row r="558" spans="2:7">
      <c r="B558" s="47"/>
      <c r="C558" s="118"/>
      <c r="D558" s="118"/>
      <c r="E558" s="118"/>
      <c r="F558" s="118"/>
      <c r="G558" s="118"/>
    </row>
    <row r="559" spans="2:7">
      <c r="B559" s="47"/>
      <c r="C559" s="118"/>
      <c r="D559" s="118"/>
      <c r="E559" s="118"/>
      <c r="F559" s="118"/>
      <c r="G559" s="118"/>
    </row>
    <row r="560" spans="2:7">
      <c r="B560" s="47"/>
      <c r="C560" s="118"/>
      <c r="D560" s="118"/>
      <c r="E560" s="118"/>
      <c r="F560" s="118"/>
      <c r="G560" s="118"/>
    </row>
    <row r="561" spans="2:7">
      <c r="B561" s="47"/>
      <c r="C561" s="118"/>
      <c r="D561" s="118"/>
      <c r="E561" s="118"/>
      <c r="F561" s="118"/>
      <c r="G561" s="118"/>
    </row>
    <row r="562" spans="2:7">
      <c r="B562" s="47"/>
      <c r="C562" s="118"/>
      <c r="D562" s="118"/>
      <c r="E562" s="118"/>
      <c r="F562" s="118"/>
      <c r="G562" s="118"/>
    </row>
    <row r="563" spans="2:7">
      <c r="B563" s="47"/>
      <c r="C563" s="118"/>
      <c r="D563" s="118"/>
      <c r="E563" s="118"/>
      <c r="F563" s="118"/>
      <c r="G563" s="118"/>
    </row>
    <row r="564" spans="2:7">
      <c r="B564" s="47"/>
      <c r="C564" s="118"/>
      <c r="D564" s="118"/>
      <c r="E564" s="118"/>
      <c r="F564" s="118"/>
      <c r="G564" s="118"/>
    </row>
    <row r="565" spans="2:7">
      <c r="B565" s="47"/>
      <c r="C565" s="118"/>
      <c r="D565" s="118"/>
      <c r="E565" s="118"/>
      <c r="F565" s="118"/>
      <c r="G565" s="118"/>
    </row>
    <row r="566" spans="2:7">
      <c r="B566" s="47"/>
      <c r="C566" s="118"/>
      <c r="D566" s="118"/>
      <c r="E566" s="118"/>
      <c r="F566" s="118"/>
      <c r="G566" s="118"/>
    </row>
    <row r="567" spans="2:7">
      <c r="B567" s="47"/>
      <c r="C567" s="118"/>
      <c r="D567" s="118"/>
      <c r="E567" s="118"/>
      <c r="F567" s="118"/>
      <c r="G567" s="118"/>
    </row>
    <row r="568" spans="2:7">
      <c r="B568" s="47"/>
      <c r="C568" s="118"/>
      <c r="D568" s="118"/>
      <c r="E568" s="118"/>
      <c r="F568" s="118"/>
      <c r="G568" s="118"/>
    </row>
    <row r="569" spans="2:7">
      <c r="B569" s="47"/>
      <c r="C569" s="118"/>
      <c r="D569" s="118"/>
      <c r="E569" s="118"/>
      <c r="F569" s="118"/>
      <c r="G569" s="118"/>
    </row>
    <row r="570" spans="2:7">
      <c r="B570" s="47"/>
      <c r="C570" s="118"/>
      <c r="D570" s="118"/>
      <c r="E570" s="118"/>
      <c r="F570" s="118"/>
      <c r="G570" s="118"/>
    </row>
    <row r="571" spans="2:7">
      <c r="B571" s="47"/>
      <c r="C571" s="118"/>
      <c r="D571" s="118"/>
      <c r="E571" s="118"/>
      <c r="F571" s="118"/>
      <c r="G571" s="118"/>
    </row>
    <row r="572" spans="2:7">
      <c r="B572" s="47"/>
      <c r="C572" s="118"/>
      <c r="D572" s="118"/>
      <c r="E572" s="118"/>
      <c r="F572" s="118"/>
      <c r="G572" s="118"/>
    </row>
    <row r="573" spans="2:7">
      <c r="B573" s="47"/>
      <c r="C573" s="118"/>
      <c r="D573" s="118"/>
      <c r="E573" s="118"/>
      <c r="F573" s="118"/>
      <c r="G573" s="118"/>
    </row>
    <row r="574" spans="2:7">
      <c r="B574" s="47"/>
      <c r="C574" s="118"/>
      <c r="D574" s="118"/>
      <c r="E574" s="118"/>
      <c r="F574" s="118"/>
      <c r="G574" s="118"/>
    </row>
    <row r="575" spans="2:7">
      <c r="B575" s="47"/>
      <c r="C575" s="118"/>
      <c r="D575" s="118"/>
      <c r="E575" s="118"/>
      <c r="F575" s="118"/>
      <c r="G575" s="118"/>
    </row>
    <row r="576" spans="2:7">
      <c r="B576" s="47"/>
      <c r="C576" s="118"/>
      <c r="D576" s="118"/>
      <c r="E576" s="118"/>
      <c r="F576" s="118"/>
      <c r="G576" s="118"/>
    </row>
    <row r="577" spans="2:7">
      <c r="B577" s="47"/>
      <c r="C577" s="118"/>
      <c r="D577" s="118"/>
      <c r="E577" s="118"/>
      <c r="F577" s="118"/>
      <c r="G577" s="118"/>
    </row>
    <row r="578" spans="2:7">
      <c r="B578" s="47"/>
      <c r="C578" s="118"/>
      <c r="D578" s="118"/>
      <c r="E578" s="118"/>
      <c r="F578" s="118"/>
      <c r="G578" s="118"/>
    </row>
    <row r="579" spans="2:7">
      <c r="B579" s="47"/>
      <c r="C579" s="118"/>
      <c r="D579" s="118"/>
      <c r="E579" s="118"/>
      <c r="F579" s="118"/>
      <c r="G579" s="118"/>
    </row>
    <row r="580" spans="2:7">
      <c r="B580" s="47"/>
      <c r="C580" s="118"/>
      <c r="D580" s="118"/>
      <c r="E580" s="118"/>
      <c r="F580" s="118"/>
      <c r="G580" s="118"/>
    </row>
    <row r="581" spans="2:7">
      <c r="B581" s="47"/>
      <c r="C581" s="118"/>
      <c r="D581" s="118"/>
      <c r="E581" s="118"/>
      <c r="F581" s="118"/>
      <c r="G581" s="118"/>
    </row>
    <row r="582" spans="2:7">
      <c r="B582" s="47"/>
      <c r="C582" s="118"/>
      <c r="D582" s="118"/>
      <c r="E582" s="118"/>
      <c r="F582" s="118"/>
      <c r="G582" s="118"/>
    </row>
    <row r="583" spans="2:7">
      <c r="B583" s="47"/>
      <c r="C583" s="118"/>
      <c r="D583" s="118"/>
      <c r="E583" s="118"/>
      <c r="F583" s="118"/>
      <c r="G583" s="118"/>
    </row>
    <row r="584" spans="2:7">
      <c r="B584" s="47"/>
      <c r="C584" s="118"/>
      <c r="D584" s="118"/>
      <c r="E584" s="118"/>
      <c r="F584" s="118"/>
      <c r="G584" s="118"/>
    </row>
    <row r="585" spans="2:7">
      <c r="B585" s="47"/>
      <c r="C585" s="118"/>
      <c r="D585" s="118"/>
      <c r="E585" s="118"/>
      <c r="F585" s="118"/>
      <c r="G585" s="118"/>
    </row>
    <row r="586" spans="2:7">
      <c r="B586" s="47"/>
      <c r="C586" s="118"/>
      <c r="D586" s="118"/>
      <c r="E586" s="118"/>
      <c r="F586" s="118"/>
      <c r="G586" s="118"/>
    </row>
    <row r="587" spans="2:7">
      <c r="B587" s="47"/>
      <c r="C587" s="118"/>
      <c r="D587" s="118"/>
      <c r="E587" s="118"/>
      <c r="F587" s="118"/>
      <c r="G587" s="118"/>
    </row>
    <row r="588" spans="2:7">
      <c r="B588" s="47"/>
      <c r="C588" s="118"/>
      <c r="D588" s="118"/>
      <c r="E588" s="118"/>
      <c r="F588" s="118"/>
      <c r="G588" s="118"/>
    </row>
    <row r="589" spans="2:7">
      <c r="B589" s="47"/>
      <c r="C589" s="118"/>
      <c r="D589" s="118"/>
      <c r="E589" s="118"/>
      <c r="F589" s="118"/>
      <c r="G589" s="118"/>
    </row>
    <row r="590" spans="2:7">
      <c r="B590" s="47"/>
      <c r="C590" s="118"/>
      <c r="D590" s="118"/>
      <c r="E590" s="118"/>
      <c r="F590" s="118"/>
      <c r="G590" s="118"/>
    </row>
    <row r="591" spans="2:7">
      <c r="B591" s="47"/>
      <c r="C591" s="118"/>
      <c r="D591" s="118"/>
      <c r="E591" s="118"/>
      <c r="F591" s="118"/>
      <c r="G591" s="118"/>
    </row>
    <row r="592" spans="2:7">
      <c r="B592" s="47"/>
      <c r="C592" s="118"/>
      <c r="D592" s="118"/>
      <c r="E592" s="118"/>
      <c r="F592" s="118"/>
      <c r="G592" s="118"/>
    </row>
    <row r="593" spans="2:7">
      <c r="B593" s="47"/>
      <c r="C593" s="118"/>
      <c r="D593" s="118"/>
      <c r="E593" s="118"/>
      <c r="F593" s="118"/>
      <c r="G593" s="118"/>
    </row>
    <row r="594" spans="2:7">
      <c r="B594" s="47"/>
      <c r="C594" s="118"/>
      <c r="D594" s="118"/>
      <c r="E594" s="118"/>
      <c r="F594" s="118"/>
      <c r="G594" s="118"/>
    </row>
    <row r="595" spans="2:7">
      <c r="B595" s="47"/>
      <c r="C595" s="118"/>
      <c r="D595" s="118"/>
      <c r="E595" s="118"/>
      <c r="F595" s="118"/>
      <c r="G595" s="118"/>
    </row>
    <row r="596" spans="2:7">
      <c r="B596" s="47"/>
      <c r="C596" s="118"/>
      <c r="D596" s="118"/>
      <c r="E596" s="118"/>
      <c r="F596" s="118"/>
      <c r="G596" s="118"/>
    </row>
    <row r="597" spans="2:7">
      <c r="B597" s="47"/>
      <c r="C597" s="118"/>
      <c r="D597" s="118"/>
      <c r="E597" s="118"/>
      <c r="F597" s="118"/>
      <c r="G597" s="118"/>
    </row>
    <row r="598" spans="2:7">
      <c r="B598" s="47"/>
      <c r="C598" s="118"/>
      <c r="D598" s="118"/>
      <c r="E598" s="118"/>
      <c r="F598" s="118"/>
      <c r="G598" s="118"/>
    </row>
    <row r="599" spans="2:7">
      <c r="B599" s="47"/>
      <c r="C599" s="118"/>
      <c r="D599" s="118"/>
      <c r="E599" s="118"/>
      <c r="F599" s="118"/>
      <c r="G599" s="118"/>
    </row>
    <row r="600" spans="2:7">
      <c r="B600" s="47"/>
      <c r="C600" s="118"/>
      <c r="D600" s="118"/>
      <c r="E600" s="118"/>
      <c r="F600" s="118"/>
      <c r="G600" s="118"/>
    </row>
    <row r="601" spans="2:7">
      <c r="B601" s="47"/>
      <c r="C601" s="118"/>
      <c r="D601" s="118"/>
      <c r="E601" s="118"/>
      <c r="F601" s="118"/>
      <c r="G601" s="118"/>
    </row>
    <row r="602" spans="2:7">
      <c r="B602" s="47"/>
      <c r="C602" s="118"/>
      <c r="D602" s="118"/>
      <c r="E602" s="118"/>
      <c r="F602" s="118"/>
      <c r="G602" s="118"/>
    </row>
    <row r="603" spans="2:7">
      <c r="B603" s="47"/>
      <c r="C603" s="118"/>
      <c r="D603" s="118"/>
      <c r="E603" s="118"/>
      <c r="F603" s="118"/>
      <c r="G603" s="118"/>
    </row>
    <row r="604" spans="2:7">
      <c r="B604" s="47"/>
      <c r="C604" s="118"/>
      <c r="D604" s="118"/>
      <c r="E604" s="118"/>
      <c r="F604" s="118"/>
      <c r="G604" s="118"/>
    </row>
    <row r="605" spans="2:7">
      <c r="B605" s="47"/>
      <c r="C605" s="118"/>
      <c r="D605" s="118"/>
      <c r="E605" s="118"/>
      <c r="F605" s="118"/>
      <c r="G605" s="118"/>
    </row>
    <row r="606" spans="2:7">
      <c r="B606" s="47"/>
      <c r="C606" s="118"/>
      <c r="D606" s="118"/>
      <c r="E606" s="118"/>
      <c r="F606" s="118"/>
      <c r="G606" s="118"/>
    </row>
    <row r="607" spans="2:7">
      <c r="B607" s="47"/>
      <c r="C607" s="118"/>
      <c r="D607" s="118"/>
      <c r="E607" s="118"/>
      <c r="F607" s="118"/>
      <c r="G607" s="118"/>
    </row>
    <row r="608" spans="2:7">
      <c r="B608" s="47"/>
      <c r="C608" s="118"/>
      <c r="D608" s="118"/>
      <c r="E608" s="118"/>
      <c r="F608" s="118"/>
      <c r="G608" s="118"/>
    </row>
    <row r="609" spans="2:7">
      <c r="B609" s="47"/>
      <c r="C609" s="118"/>
      <c r="D609" s="118"/>
      <c r="E609" s="118"/>
      <c r="F609" s="118"/>
      <c r="G609" s="118"/>
    </row>
    <row r="610" spans="2:7">
      <c r="B610" s="47"/>
      <c r="C610" s="118"/>
      <c r="D610" s="118"/>
      <c r="E610" s="118"/>
      <c r="F610" s="118"/>
      <c r="G610" s="118"/>
    </row>
    <row r="611" spans="2:7">
      <c r="B611" s="47"/>
      <c r="C611" s="118"/>
      <c r="D611" s="118"/>
      <c r="E611" s="118"/>
      <c r="F611" s="118"/>
      <c r="G611" s="118"/>
    </row>
    <row r="612" spans="2:7">
      <c r="B612" s="47"/>
      <c r="C612" s="118"/>
      <c r="D612" s="118"/>
      <c r="E612" s="118"/>
      <c r="F612" s="118"/>
      <c r="G612" s="118"/>
    </row>
    <row r="613" spans="2:7">
      <c r="B613" s="47"/>
      <c r="C613" s="118"/>
      <c r="D613" s="118"/>
      <c r="E613" s="118"/>
      <c r="F613" s="118"/>
      <c r="G613" s="118"/>
    </row>
    <row r="614" spans="2:7">
      <c r="B614" s="47"/>
      <c r="C614" s="118"/>
      <c r="D614" s="118"/>
      <c r="E614" s="118"/>
      <c r="F614" s="118"/>
      <c r="G614" s="118"/>
    </row>
    <row r="615" spans="2:7">
      <c r="B615" s="47"/>
      <c r="C615" s="118"/>
      <c r="D615" s="118"/>
      <c r="E615" s="118"/>
      <c r="F615" s="118"/>
      <c r="G615" s="118"/>
    </row>
    <row r="616" spans="2:7">
      <c r="B616" s="47"/>
      <c r="C616" s="118"/>
      <c r="D616" s="118"/>
      <c r="E616" s="118"/>
      <c r="F616" s="118"/>
      <c r="G616" s="118"/>
    </row>
    <row r="617" spans="2:7">
      <c r="B617" s="47"/>
      <c r="C617" s="118"/>
      <c r="D617" s="118"/>
      <c r="E617" s="118"/>
      <c r="F617" s="118"/>
      <c r="G617" s="118"/>
    </row>
    <row r="618" spans="2:7">
      <c r="B618" s="47"/>
      <c r="C618" s="118"/>
      <c r="D618" s="118"/>
      <c r="E618" s="118"/>
      <c r="F618" s="118"/>
      <c r="G618" s="118"/>
    </row>
    <row r="619" spans="2:7">
      <c r="B619" s="47"/>
      <c r="C619" s="118"/>
      <c r="D619" s="118"/>
      <c r="E619" s="118"/>
      <c r="F619" s="118"/>
      <c r="G619" s="118"/>
    </row>
    <row r="620" spans="2:7">
      <c r="B620" s="47"/>
      <c r="C620" s="118"/>
      <c r="D620" s="118"/>
      <c r="E620" s="118"/>
      <c r="F620" s="118"/>
      <c r="G620" s="118"/>
    </row>
    <row r="621" spans="2:7">
      <c r="B621" s="47"/>
      <c r="C621" s="118"/>
      <c r="D621" s="118"/>
      <c r="E621" s="118"/>
      <c r="F621" s="118"/>
      <c r="G621" s="118"/>
    </row>
    <row r="622" spans="2:7">
      <c r="B622" s="47"/>
      <c r="C622" s="118"/>
      <c r="D622" s="118"/>
      <c r="E622" s="118"/>
      <c r="F622" s="118"/>
      <c r="G622" s="118"/>
    </row>
    <row r="623" spans="2:7">
      <c r="B623" s="47"/>
      <c r="C623" s="118"/>
      <c r="D623" s="118"/>
      <c r="E623" s="118"/>
      <c r="F623" s="118"/>
      <c r="G623" s="118"/>
    </row>
    <row r="624" spans="2:7">
      <c r="B624" s="47"/>
      <c r="C624" s="118"/>
      <c r="D624" s="118"/>
      <c r="E624" s="118"/>
      <c r="F624" s="118"/>
      <c r="G624" s="118"/>
    </row>
    <row r="625" spans="2:7">
      <c r="B625" s="47"/>
      <c r="C625" s="118"/>
      <c r="D625" s="118"/>
      <c r="E625" s="118"/>
      <c r="F625" s="118"/>
      <c r="G625" s="118"/>
    </row>
    <row r="626" spans="2:7">
      <c r="B626" s="47"/>
      <c r="C626" s="118"/>
      <c r="D626" s="118"/>
      <c r="E626" s="118"/>
      <c r="F626" s="118"/>
      <c r="G626" s="118"/>
    </row>
    <row r="627" spans="2:7">
      <c r="B627" s="47"/>
      <c r="C627" s="118"/>
      <c r="D627" s="118"/>
      <c r="E627" s="118"/>
      <c r="F627" s="118"/>
      <c r="G627" s="118"/>
    </row>
    <row r="628" spans="2:7">
      <c r="B628" s="47"/>
      <c r="C628" s="118"/>
      <c r="D628" s="118"/>
      <c r="E628" s="118"/>
      <c r="F628" s="118"/>
      <c r="G628" s="118"/>
    </row>
    <row r="629" spans="2:7">
      <c r="B629" s="47"/>
      <c r="C629" s="118"/>
      <c r="D629" s="118"/>
      <c r="E629" s="118"/>
      <c r="F629" s="118"/>
      <c r="G629" s="118"/>
    </row>
    <row r="630" spans="2:7">
      <c r="B630" s="47"/>
      <c r="C630" s="118"/>
      <c r="D630" s="118"/>
      <c r="E630" s="118"/>
      <c r="F630" s="118"/>
      <c r="G630" s="118"/>
    </row>
    <row r="631" spans="2:7">
      <c r="B631" s="47"/>
      <c r="C631" s="118"/>
      <c r="D631" s="118"/>
      <c r="E631" s="118"/>
      <c r="F631" s="118"/>
      <c r="G631" s="118"/>
    </row>
    <row r="632" spans="2:7">
      <c r="B632" s="47"/>
      <c r="C632" s="118"/>
      <c r="D632" s="118"/>
      <c r="E632" s="118"/>
      <c r="F632" s="118"/>
      <c r="G632" s="118"/>
    </row>
    <row r="633" spans="2:7">
      <c r="B633" s="47"/>
      <c r="C633" s="118"/>
      <c r="D633" s="118"/>
      <c r="E633" s="118"/>
      <c r="F633" s="118"/>
      <c r="G633" s="118"/>
    </row>
    <row r="634" spans="2:7">
      <c r="B634" s="47"/>
      <c r="C634" s="118"/>
      <c r="D634" s="118"/>
      <c r="E634" s="118"/>
      <c r="F634" s="118"/>
      <c r="G634" s="118"/>
    </row>
    <row r="635" spans="2:7">
      <c r="B635" s="47"/>
      <c r="C635" s="118"/>
      <c r="D635" s="118"/>
      <c r="E635" s="118"/>
      <c r="F635" s="118"/>
      <c r="G635" s="118"/>
    </row>
    <row r="636" spans="2:7">
      <c r="B636" s="47"/>
      <c r="C636" s="118"/>
      <c r="D636" s="118"/>
      <c r="E636" s="118"/>
      <c r="F636" s="118"/>
      <c r="G636" s="118"/>
    </row>
    <row r="637" spans="2:7">
      <c r="B637" s="47"/>
      <c r="C637" s="118"/>
      <c r="D637" s="118"/>
      <c r="E637" s="118"/>
      <c r="F637" s="118"/>
      <c r="G637" s="118"/>
    </row>
    <row r="638" spans="2:7">
      <c r="B638" s="47"/>
      <c r="C638" s="118"/>
      <c r="D638" s="118"/>
      <c r="E638" s="118"/>
      <c r="F638" s="118"/>
      <c r="G638" s="118"/>
    </row>
    <row r="639" spans="2:7">
      <c r="B639" s="47"/>
      <c r="C639" s="118"/>
      <c r="D639" s="118"/>
      <c r="E639" s="118"/>
      <c r="F639" s="118"/>
      <c r="G639" s="118"/>
    </row>
    <row r="640" spans="2:7">
      <c r="B640" s="47"/>
      <c r="C640" s="118"/>
      <c r="D640" s="118"/>
      <c r="E640" s="118"/>
      <c r="F640" s="118"/>
      <c r="G640" s="118"/>
    </row>
    <row r="641" spans="2:7">
      <c r="B641" s="47"/>
      <c r="C641" s="118"/>
      <c r="D641" s="118"/>
      <c r="E641" s="118"/>
      <c r="F641" s="118"/>
      <c r="G641" s="118"/>
    </row>
    <row r="642" spans="2:7">
      <c r="B642" s="47"/>
      <c r="C642" s="118"/>
      <c r="D642" s="118"/>
      <c r="E642" s="118"/>
      <c r="F642" s="118"/>
      <c r="G642" s="118"/>
    </row>
    <row r="643" spans="2:7">
      <c r="B643" s="47"/>
      <c r="C643" s="118"/>
      <c r="D643" s="118"/>
      <c r="E643" s="118"/>
      <c r="F643" s="118"/>
      <c r="G643" s="118"/>
    </row>
    <row r="644" spans="2:7">
      <c r="B644" s="47"/>
      <c r="C644" s="118"/>
      <c r="D644" s="118"/>
      <c r="E644" s="118"/>
      <c r="F644" s="118"/>
      <c r="G644" s="118"/>
    </row>
    <row r="645" spans="2:7">
      <c r="B645" s="47"/>
      <c r="C645" s="118"/>
      <c r="D645" s="118"/>
      <c r="E645" s="118"/>
      <c r="F645" s="118"/>
      <c r="G645" s="118"/>
    </row>
    <row r="646" spans="2:7">
      <c r="B646" s="47"/>
      <c r="C646" s="118"/>
      <c r="D646" s="118"/>
      <c r="E646" s="118"/>
      <c r="F646" s="118"/>
      <c r="G646" s="118"/>
    </row>
    <row r="647" spans="2:7">
      <c r="B647" s="47"/>
      <c r="C647" s="118"/>
      <c r="D647" s="118"/>
      <c r="E647" s="118"/>
      <c r="F647" s="118"/>
      <c r="G647" s="118"/>
    </row>
    <row r="648" spans="2:7">
      <c r="B648" s="47"/>
      <c r="C648" s="118"/>
      <c r="D648" s="118"/>
      <c r="E648" s="118"/>
      <c r="F648" s="118"/>
      <c r="G648" s="118"/>
    </row>
    <row r="649" spans="2:7">
      <c r="B649" s="47"/>
      <c r="C649" s="118"/>
      <c r="D649" s="118"/>
      <c r="E649" s="118"/>
      <c r="F649" s="118"/>
      <c r="G649" s="118"/>
    </row>
    <row r="650" spans="2:7">
      <c r="B650" s="47"/>
      <c r="C650" s="118"/>
      <c r="D650" s="118"/>
      <c r="E650" s="118"/>
      <c r="F650" s="118"/>
      <c r="G650" s="118"/>
    </row>
    <row r="651" spans="2:7">
      <c r="B651" s="47"/>
      <c r="C651" s="118"/>
      <c r="D651" s="118"/>
      <c r="E651" s="118"/>
      <c r="F651" s="118"/>
      <c r="G651" s="118"/>
    </row>
    <row r="652" spans="2:7">
      <c r="B652" s="47"/>
      <c r="C652" s="118"/>
      <c r="D652" s="118"/>
      <c r="E652" s="118"/>
      <c r="F652" s="118"/>
      <c r="G652" s="118"/>
    </row>
    <row r="653" spans="2:7">
      <c r="B653" s="47"/>
      <c r="C653" s="118"/>
      <c r="D653" s="118"/>
      <c r="E653" s="118"/>
      <c r="F653" s="118"/>
      <c r="G653" s="118"/>
    </row>
    <row r="654" spans="2:7">
      <c r="B654" s="47"/>
      <c r="C654" s="118"/>
      <c r="D654" s="118"/>
      <c r="E654" s="118"/>
      <c r="F654" s="118"/>
      <c r="G654" s="118"/>
    </row>
    <row r="655" spans="2:7">
      <c r="B655" s="47"/>
      <c r="C655" s="118"/>
      <c r="D655" s="118"/>
      <c r="E655" s="118"/>
      <c r="F655" s="118"/>
      <c r="G655" s="118"/>
    </row>
    <row r="656" spans="2:7">
      <c r="B656" s="47"/>
      <c r="C656" s="118"/>
      <c r="D656" s="118"/>
      <c r="E656" s="118"/>
      <c r="F656" s="118"/>
      <c r="G656" s="118"/>
    </row>
    <row r="657" spans="2:7">
      <c r="B657" s="47"/>
      <c r="C657" s="118"/>
      <c r="D657" s="118"/>
      <c r="E657" s="118"/>
      <c r="F657" s="118"/>
      <c r="G657" s="118"/>
    </row>
    <row r="658" spans="2:7">
      <c r="B658" s="47"/>
      <c r="C658" s="118"/>
      <c r="D658" s="118"/>
      <c r="E658" s="118"/>
      <c r="F658" s="118"/>
      <c r="G658" s="118"/>
    </row>
    <row r="659" spans="2:7">
      <c r="B659" s="47"/>
      <c r="C659" s="118"/>
      <c r="D659" s="118"/>
      <c r="E659" s="118"/>
      <c r="F659" s="118"/>
      <c r="G659" s="118"/>
    </row>
    <row r="660" spans="2:7">
      <c r="B660" s="47"/>
      <c r="C660" s="118"/>
      <c r="D660" s="118"/>
      <c r="E660" s="118"/>
      <c r="F660" s="118"/>
      <c r="G660" s="118"/>
    </row>
    <row r="661" spans="2:7">
      <c r="B661" s="47"/>
      <c r="C661" s="118"/>
      <c r="D661" s="118"/>
      <c r="E661" s="118"/>
      <c r="F661" s="118"/>
      <c r="G661" s="118"/>
    </row>
    <row r="662" spans="2:7">
      <c r="B662" s="47"/>
      <c r="C662" s="118"/>
      <c r="D662" s="118"/>
      <c r="E662" s="118"/>
      <c r="F662" s="118"/>
      <c r="G662" s="118"/>
    </row>
    <row r="663" spans="2:7">
      <c r="B663" s="47"/>
      <c r="C663" s="118"/>
      <c r="D663" s="118"/>
      <c r="E663" s="118"/>
      <c r="F663" s="118"/>
      <c r="G663" s="118"/>
    </row>
    <row r="664" spans="2:7">
      <c r="B664" s="47"/>
      <c r="C664" s="118"/>
      <c r="D664" s="118"/>
      <c r="E664" s="118"/>
      <c r="F664" s="118"/>
      <c r="G664" s="118"/>
    </row>
    <row r="665" spans="2:7">
      <c r="B665" s="47"/>
      <c r="C665" s="118"/>
      <c r="D665" s="118"/>
      <c r="E665" s="118"/>
      <c r="F665" s="118"/>
      <c r="G665" s="118"/>
    </row>
    <row r="666" spans="2:7">
      <c r="B666" s="47"/>
      <c r="C666" s="118"/>
      <c r="D666" s="118"/>
      <c r="E666" s="118"/>
      <c r="F666" s="118"/>
      <c r="G666" s="118"/>
    </row>
    <row r="667" spans="2:7">
      <c r="B667" s="47"/>
      <c r="C667" s="118"/>
      <c r="D667" s="118"/>
      <c r="E667" s="118"/>
      <c r="F667" s="118"/>
      <c r="G667" s="118"/>
    </row>
    <row r="668" spans="2:7">
      <c r="B668" s="47"/>
      <c r="C668" s="118"/>
      <c r="D668" s="118"/>
      <c r="E668" s="118"/>
      <c r="F668" s="118"/>
      <c r="G668" s="118"/>
    </row>
    <row r="669" spans="2:7">
      <c r="B669" s="47"/>
      <c r="C669" s="118"/>
      <c r="D669" s="118"/>
      <c r="E669" s="118"/>
      <c r="F669" s="118"/>
      <c r="G669" s="118"/>
    </row>
    <row r="670" spans="2:7">
      <c r="B670" s="47"/>
      <c r="C670" s="118"/>
      <c r="D670" s="118"/>
      <c r="E670" s="118"/>
      <c r="F670" s="118"/>
      <c r="G670" s="118"/>
    </row>
    <row r="671" spans="2:7">
      <c r="B671" s="47"/>
      <c r="C671" s="118"/>
      <c r="D671" s="118"/>
      <c r="E671" s="118"/>
      <c r="F671" s="118"/>
      <c r="G671" s="118"/>
    </row>
    <row r="672" spans="2:7">
      <c r="B672" s="47"/>
      <c r="C672" s="118"/>
      <c r="D672" s="118"/>
      <c r="E672" s="118"/>
      <c r="F672" s="118"/>
      <c r="G672" s="118"/>
    </row>
    <row r="673" spans="2:7">
      <c r="B673" s="47"/>
      <c r="C673" s="118"/>
      <c r="D673" s="118"/>
      <c r="E673" s="118"/>
      <c r="F673" s="118"/>
      <c r="G673" s="118"/>
    </row>
    <row r="674" spans="2:7">
      <c r="B674" s="47"/>
      <c r="C674" s="118"/>
      <c r="D674" s="118"/>
      <c r="E674" s="118"/>
      <c r="F674" s="118"/>
      <c r="G674" s="118"/>
    </row>
    <row r="675" spans="2:7">
      <c r="B675" s="47"/>
      <c r="C675" s="118"/>
      <c r="D675" s="118"/>
      <c r="E675" s="118"/>
      <c r="F675" s="118"/>
      <c r="G675" s="118"/>
    </row>
    <row r="676" spans="2:7">
      <c r="B676" s="47"/>
      <c r="C676" s="118"/>
      <c r="D676" s="118"/>
      <c r="E676" s="118"/>
      <c r="F676" s="118"/>
      <c r="G676" s="118"/>
    </row>
    <row r="677" spans="2:7">
      <c r="B677" s="47"/>
      <c r="C677" s="118"/>
      <c r="D677" s="118"/>
      <c r="E677" s="118"/>
      <c r="F677" s="118"/>
      <c r="G677" s="118"/>
    </row>
    <row r="678" spans="2:7">
      <c r="B678" s="47"/>
      <c r="C678" s="118"/>
      <c r="D678" s="118"/>
      <c r="E678" s="118"/>
      <c r="F678" s="118"/>
      <c r="G678" s="118"/>
    </row>
    <row r="679" spans="2:7">
      <c r="B679" s="47"/>
      <c r="C679" s="118"/>
      <c r="D679" s="118"/>
      <c r="E679" s="118"/>
      <c r="F679" s="118"/>
      <c r="G679" s="118"/>
    </row>
    <row r="680" spans="2:7">
      <c r="B680" s="47"/>
      <c r="C680" s="118"/>
      <c r="D680" s="118"/>
      <c r="E680" s="118"/>
      <c r="F680" s="118"/>
      <c r="G680" s="118"/>
    </row>
    <row r="681" spans="2:7">
      <c r="B681" s="47"/>
      <c r="C681" s="118"/>
      <c r="D681" s="118"/>
      <c r="E681" s="118"/>
      <c r="F681" s="118"/>
      <c r="G681" s="118"/>
    </row>
    <row r="682" spans="2:7">
      <c r="B682" s="47"/>
      <c r="C682" s="118"/>
      <c r="D682" s="118"/>
      <c r="E682" s="118"/>
      <c r="F682" s="118"/>
      <c r="G682" s="118"/>
    </row>
    <row r="683" spans="2:7">
      <c r="B683" s="47"/>
      <c r="C683" s="118"/>
      <c r="D683" s="118"/>
      <c r="E683" s="118"/>
      <c r="F683" s="118"/>
      <c r="G683" s="118"/>
    </row>
    <row r="684" spans="2:7">
      <c r="B684" s="47"/>
      <c r="C684" s="118"/>
      <c r="D684" s="118"/>
      <c r="E684" s="118"/>
      <c r="F684" s="118"/>
      <c r="G684" s="118"/>
    </row>
    <row r="685" spans="2:7">
      <c r="B685" s="47"/>
      <c r="C685" s="118"/>
      <c r="D685" s="118"/>
      <c r="E685" s="118"/>
      <c r="F685" s="118"/>
      <c r="G685" s="118"/>
    </row>
    <row r="686" spans="2:7">
      <c r="B686" s="47"/>
      <c r="C686" s="118"/>
      <c r="D686" s="118"/>
      <c r="E686" s="118"/>
      <c r="F686" s="118"/>
      <c r="G686" s="118"/>
    </row>
    <row r="687" spans="2:7">
      <c r="B687" s="47"/>
      <c r="C687" s="118"/>
      <c r="D687" s="118"/>
      <c r="E687" s="118"/>
      <c r="F687" s="118"/>
      <c r="G687" s="118"/>
    </row>
    <row r="688" spans="2:7">
      <c r="B688" s="47"/>
      <c r="C688" s="118"/>
      <c r="D688" s="118"/>
      <c r="E688" s="118"/>
      <c r="F688" s="118"/>
      <c r="G688" s="118"/>
    </row>
    <row r="689" spans="2:7">
      <c r="B689" s="47"/>
      <c r="C689" s="118"/>
      <c r="D689" s="118"/>
      <c r="E689" s="118"/>
      <c r="F689" s="118"/>
      <c r="G689" s="118"/>
    </row>
    <row r="690" spans="2:7">
      <c r="B690" s="47"/>
      <c r="C690" s="118"/>
      <c r="D690" s="118"/>
      <c r="E690" s="118"/>
      <c r="F690" s="118"/>
      <c r="G690" s="118"/>
    </row>
    <row r="691" spans="2:7">
      <c r="B691" s="47"/>
      <c r="C691" s="118"/>
      <c r="D691" s="118"/>
      <c r="E691" s="118"/>
      <c r="F691" s="118"/>
      <c r="G691" s="118"/>
    </row>
    <row r="692" spans="2:7">
      <c r="B692" s="47"/>
      <c r="C692" s="118"/>
      <c r="D692" s="118"/>
      <c r="E692" s="118"/>
      <c r="F692" s="118"/>
      <c r="G692" s="118"/>
    </row>
    <row r="693" spans="2:7">
      <c r="B693" s="47"/>
      <c r="C693" s="118"/>
      <c r="D693" s="118"/>
      <c r="E693" s="118"/>
      <c r="F693" s="118"/>
      <c r="G693" s="118"/>
    </row>
    <row r="694" spans="2:7">
      <c r="B694" s="47"/>
      <c r="C694" s="118"/>
      <c r="D694" s="118"/>
      <c r="E694" s="118"/>
      <c r="F694" s="118"/>
      <c r="G694" s="118"/>
    </row>
    <row r="695" spans="2:7">
      <c r="B695" s="47"/>
      <c r="C695" s="118"/>
      <c r="D695" s="118"/>
      <c r="E695" s="118"/>
      <c r="F695" s="118"/>
      <c r="G695" s="118"/>
    </row>
    <row r="696" spans="2:7">
      <c r="B696" s="47"/>
      <c r="C696" s="118"/>
      <c r="D696" s="118"/>
      <c r="E696" s="118"/>
      <c r="F696" s="118"/>
      <c r="G696" s="118"/>
    </row>
    <row r="697" spans="2:7">
      <c r="B697" s="47"/>
      <c r="C697" s="118"/>
      <c r="D697" s="118"/>
      <c r="E697" s="118"/>
      <c r="F697" s="118"/>
      <c r="G697" s="118"/>
    </row>
    <row r="698" spans="2:7">
      <c r="B698" s="47"/>
      <c r="C698" s="118"/>
      <c r="D698" s="118"/>
      <c r="E698" s="118"/>
      <c r="F698" s="118"/>
      <c r="G698" s="118"/>
    </row>
    <row r="699" spans="2:7">
      <c r="B699" s="47"/>
      <c r="C699" s="118"/>
      <c r="D699" s="118"/>
      <c r="E699" s="118"/>
      <c r="F699" s="118"/>
      <c r="G699" s="118"/>
    </row>
    <row r="700" spans="2:7">
      <c r="B700" s="47"/>
      <c r="C700" s="118"/>
      <c r="D700" s="118"/>
      <c r="E700" s="118"/>
      <c r="F700" s="118"/>
      <c r="G700" s="118"/>
    </row>
    <row r="701" spans="2:7">
      <c r="B701" s="47"/>
      <c r="C701" s="118"/>
      <c r="D701" s="118"/>
      <c r="E701" s="118"/>
      <c r="F701" s="118"/>
      <c r="G701" s="118"/>
    </row>
    <row r="702" spans="2:7">
      <c r="B702" s="47"/>
      <c r="C702" s="118"/>
      <c r="D702" s="118"/>
      <c r="E702" s="118"/>
      <c r="F702" s="118"/>
      <c r="G702" s="118"/>
    </row>
    <row r="703" spans="2:7">
      <c r="B703" s="47"/>
      <c r="C703" s="118"/>
      <c r="D703" s="118"/>
      <c r="E703" s="118"/>
      <c r="F703" s="118"/>
      <c r="G703" s="118"/>
    </row>
    <row r="704" spans="2:7">
      <c r="B704" s="47"/>
      <c r="C704" s="118"/>
      <c r="D704" s="118"/>
      <c r="E704" s="118"/>
      <c r="F704" s="118"/>
      <c r="G704" s="118"/>
    </row>
    <row r="705" spans="2:7">
      <c r="B705" s="47"/>
      <c r="C705" s="118"/>
      <c r="D705" s="118"/>
      <c r="E705" s="118"/>
      <c r="F705" s="118"/>
      <c r="G705" s="118"/>
    </row>
    <row r="706" spans="2:7">
      <c r="B706" s="47"/>
      <c r="C706" s="118"/>
      <c r="D706" s="118"/>
      <c r="E706" s="118"/>
      <c r="F706" s="118"/>
      <c r="G706" s="118"/>
    </row>
    <row r="707" spans="2:7">
      <c r="B707" s="47"/>
      <c r="C707" s="118"/>
      <c r="D707" s="118"/>
      <c r="E707" s="118"/>
      <c r="F707" s="118"/>
      <c r="G707" s="118"/>
    </row>
    <row r="708" spans="2:7">
      <c r="B708" s="47"/>
      <c r="C708" s="118"/>
      <c r="D708" s="118"/>
      <c r="E708" s="118"/>
      <c r="F708" s="118"/>
      <c r="G708" s="118"/>
    </row>
    <row r="709" spans="2:7">
      <c r="B709" s="47"/>
      <c r="C709" s="118"/>
      <c r="D709" s="118"/>
      <c r="E709" s="118"/>
      <c r="F709" s="118"/>
      <c r="G709" s="118"/>
    </row>
    <row r="710" spans="2:7">
      <c r="B710" s="47"/>
      <c r="C710" s="118"/>
      <c r="D710" s="118"/>
      <c r="E710" s="118"/>
      <c r="F710" s="118"/>
      <c r="G710" s="118"/>
    </row>
    <row r="711" spans="2:7">
      <c r="B711" s="47"/>
      <c r="C711" s="118"/>
      <c r="D711" s="118"/>
      <c r="E711" s="118"/>
      <c r="F711" s="118"/>
      <c r="G711" s="118"/>
    </row>
    <row r="712" spans="2:7">
      <c r="B712" s="47"/>
      <c r="C712" s="118"/>
      <c r="D712" s="118"/>
      <c r="E712" s="118"/>
      <c r="F712" s="118"/>
      <c r="G712" s="118"/>
    </row>
    <row r="713" spans="2:7">
      <c r="B713" s="47"/>
      <c r="C713" s="118"/>
      <c r="D713" s="118"/>
      <c r="E713" s="118"/>
      <c r="F713" s="118"/>
      <c r="G713" s="118"/>
    </row>
    <row r="714" spans="2:7">
      <c r="B714" s="47"/>
      <c r="C714" s="118"/>
      <c r="D714" s="118"/>
      <c r="E714" s="118"/>
      <c r="F714" s="118"/>
      <c r="G714" s="118"/>
    </row>
    <row r="715" spans="2:7">
      <c r="B715" s="47"/>
      <c r="C715" s="118"/>
      <c r="D715" s="118"/>
      <c r="E715" s="118"/>
      <c r="F715" s="118"/>
      <c r="G715" s="118"/>
    </row>
    <row r="716" spans="2:7">
      <c r="B716" s="47"/>
      <c r="C716" s="118"/>
      <c r="D716" s="118"/>
      <c r="E716" s="118"/>
      <c r="F716" s="118"/>
      <c r="G716" s="118"/>
    </row>
    <row r="717" spans="2:7">
      <c r="B717" s="47"/>
      <c r="C717" s="118"/>
      <c r="D717" s="118"/>
      <c r="E717" s="118"/>
      <c r="F717" s="118"/>
      <c r="G717" s="118"/>
    </row>
    <row r="718" spans="2:7">
      <c r="B718" s="47"/>
      <c r="C718" s="118"/>
      <c r="D718" s="118"/>
      <c r="E718" s="118"/>
      <c r="F718" s="118"/>
      <c r="G718" s="118"/>
    </row>
    <row r="719" spans="2:7">
      <c r="B719" s="47"/>
      <c r="C719" s="118"/>
      <c r="D719" s="118"/>
      <c r="E719" s="118"/>
      <c r="F719" s="118"/>
      <c r="G719" s="118"/>
    </row>
    <row r="720" spans="2:7">
      <c r="B720" s="47"/>
      <c r="C720" s="118"/>
      <c r="D720" s="118"/>
      <c r="E720" s="118"/>
      <c r="F720" s="118"/>
      <c r="G720" s="118"/>
    </row>
    <row r="721" spans="2:7">
      <c r="B721" s="47"/>
      <c r="C721" s="118"/>
      <c r="D721" s="118"/>
      <c r="E721" s="118"/>
      <c r="F721" s="118"/>
      <c r="G721" s="118"/>
    </row>
    <row r="722" spans="2:7">
      <c r="B722" s="47"/>
      <c r="C722" s="118"/>
      <c r="D722" s="118"/>
      <c r="E722" s="118"/>
      <c r="F722" s="118"/>
      <c r="G722" s="118"/>
    </row>
    <row r="723" spans="2:7">
      <c r="B723" s="47"/>
      <c r="C723" s="118"/>
      <c r="D723" s="118"/>
      <c r="E723" s="118"/>
      <c r="F723" s="118"/>
      <c r="G723" s="118"/>
    </row>
    <row r="724" spans="2:7">
      <c r="B724" s="47"/>
      <c r="C724" s="118"/>
      <c r="D724" s="118"/>
      <c r="E724" s="118"/>
      <c r="F724" s="118"/>
      <c r="G724" s="118"/>
    </row>
    <row r="725" spans="2:7">
      <c r="B725" s="47"/>
      <c r="C725" s="118"/>
      <c r="D725" s="118"/>
      <c r="E725" s="118"/>
      <c r="F725" s="118"/>
      <c r="G725" s="118"/>
    </row>
    <row r="726" spans="2:7">
      <c r="B726" s="47"/>
      <c r="C726" s="118"/>
      <c r="D726" s="118"/>
      <c r="E726" s="118"/>
      <c r="F726" s="118"/>
      <c r="G726" s="118"/>
    </row>
    <row r="727" spans="2:7">
      <c r="B727" s="47"/>
      <c r="C727" s="118"/>
      <c r="D727" s="118"/>
      <c r="E727" s="118"/>
      <c r="F727" s="118"/>
      <c r="G727" s="118"/>
    </row>
    <row r="728" spans="2:7">
      <c r="B728" s="47"/>
      <c r="C728" s="118"/>
      <c r="D728" s="118"/>
      <c r="E728" s="118"/>
      <c r="F728" s="118"/>
      <c r="G728" s="118"/>
    </row>
    <row r="729" spans="2:7">
      <c r="B729" s="47"/>
      <c r="C729" s="118"/>
      <c r="D729" s="118"/>
      <c r="E729" s="118"/>
      <c r="F729" s="118"/>
      <c r="G729" s="118"/>
    </row>
    <row r="730" spans="2:7">
      <c r="B730" s="47"/>
      <c r="C730" s="118"/>
      <c r="D730" s="118"/>
      <c r="E730" s="118"/>
      <c r="F730" s="118"/>
      <c r="G730" s="118"/>
    </row>
    <row r="731" spans="2:7">
      <c r="B731" s="47"/>
      <c r="C731" s="118"/>
      <c r="D731" s="118"/>
      <c r="E731" s="118"/>
      <c r="F731" s="118"/>
      <c r="G731" s="118"/>
    </row>
    <row r="732" spans="2:7">
      <c r="B732" s="47"/>
      <c r="C732" s="118"/>
      <c r="D732" s="118"/>
      <c r="E732" s="118"/>
      <c r="F732" s="118"/>
      <c r="G732" s="118"/>
    </row>
    <row r="733" spans="2:7">
      <c r="B733" s="47"/>
      <c r="C733" s="118"/>
      <c r="D733" s="118"/>
      <c r="E733" s="118"/>
      <c r="F733" s="118"/>
      <c r="G733" s="118"/>
    </row>
    <row r="734" spans="2:7">
      <c r="B734" s="47"/>
      <c r="C734" s="118"/>
      <c r="D734" s="118"/>
      <c r="E734" s="118"/>
      <c r="F734" s="118"/>
      <c r="G734" s="118"/>
    </row>
    <row r="735" spans="2:7">
      <c r="B735" s="47"/>
      <c r="C735" s="118"/>
      <c r="D735" s="118"/>
      <c r="E735" s="118"/>
      <c r="F735" s="118"/>
      <c r="G735" s="118"/>
    </row>
    <row r="736" spans="2:7">
      <c r="B736" s="47"/>
      <c r="C736" s="118"/>
      <c r="D736" s="118"/>
      <c r="E736" s="118"/>
      <c r="F736" s="118"/>
      <c r="G736" s="118"/>
    </row>
    <row r="737" spans="2:7">
      <c r="B737" s="47"/>
      <c r="C737" s="118"/>
      <c r="D737" s="118"/>
      <c r="E737" s="118"/>
      <c r="F737" s="118"/>
      <c r="G737" s="118"/>
    </row>
    <row r="738" spans="2:7">
      <c r="B738" s="47"/>
      <c r="C738" s="118"/>
      <c r="D738" s="118"/>
      <c r="E738" s="118"/>
      <c r="F738" s="118"/>
      <c r="G738" s="118"/>
    </row>
    <row r="739" spans="2:7">
      <c r="B739" s="47"/>
      <c r="C739" s="118"/>
      <c r="D739" s="118"/>
      <c r="E739" s="118"/>
      <c r="F739" s="118"/>
      <c r="G739" s="118"/>
    </row>
    <row r="740" spans="2:7">
      <c r="B740" s="47"/>
      <c r="C740" s="118"/>
      <c r="D740" s="118"/>
      <c r="E740" s="118"/>
      <c r="F740" s="118"/>
      <c r="G740" s="118"/>
    </row>
    <row r="741" spans="2:7">
      <c r="B741" s="47"/>
      <c r="C741" s="118"/>
      <c r="D741" s="118"/>
      <c r="E741" s="118"/>
      <c r="F741" s="118"/>
      <c r="G741" s="118"/>
    </row>
    <row r="742" spans="2:7">
      <c r="B742" s="47"/>
      <c r="C742" s="118"/>
      <c r="D742" s="118"/>
      <c r="E742" s="118"/>
      <c r="F742" s="118"/>
      <c r="G742" s="118"/>
    </row>
    <row r="743" spans="2:7">
      <c r="B743" s="47"/>
      <c r="C743" s="118"/>
      <c r="D743" s="118"/>
      <c r="E743" s="118"/>
      <c r="F743" s="118"/>
      <c r="G743" s="118"/>
    </row>
    <row r="744" spans="2:7">
      <c r="B744" s="47"/>
      <c r="C744" s="118"/>
      <c r="D744" s="118"/>
      <c r="E744" s="118"/>
      <c r="F744" s="118"/>
      <c r="G744" s="118"/>
    </row>
    <row r="745" spans="2:7">
      <c r="B745" s="47"/>
      <c r="C745" s="118"/>
      <c r="D745" s="118"/>
      <c r="E745" s="118"/>
      <c r="F745" s="118"/>
      <c r="G745" s="118"/>
    </row>
    <row r="746" spans="2:7">
      <c r="B746" s="47"/>
      <c r="C746" s="118"/>
      <c r="D746" s="118"/>
      <c r="E746" s="118"/>
      <c r="F746" s="118"/>
      <c r="G746" s="118"/>
    </row>
    <row r="747" spans="2:7">
      <c r="B747" s="47"/>
      <c r="C747" s="118"/>
      <c r="D747" s="118"/>
      <c r="E747" s="118"/>
      <c r="F747" s="118"/>
      <c r="G747" s="118"/>
    </row>
    <row r="748" spans="2:7">
      <c r="B748" s="47"/>
      <c r="C748" s="118"/>
      <c r="D748" s="118"/>
      <c r="E748" s="118"/>
      <c r="F748" s="118"/>
      <c r="G748" s="118"/>
    </row>
    <row r="749" spans="2:7">
      <c r="B749" s="47"/>
      <c r="C749" s="118"/>
      <c r="D749" s="118"/>
      <c r="E749" s="118"/>
      <c r="F749" s="118"/>
      <c r="G749" s="118"/>
    </row>
    <row r="750" spans="2:7">
      <c r="B750" s="47"/>
      <c r="C750" s="118"/>
      <c r="D750" s="118"/>
      <c r="E750" s="118"/>
      <c r="F750" s="118"/>
      <c r="G750" s="118"/>
    </row>
    <row r="751" spans="2:7">
      <c r="B751" s="47"/>
      <c r="C751" s="118"/>
      <c r="D751" s="118"/>
      <c r="E751" s="118"/>
      <c r="F751" s="118"/>
      <c r="G751" s="118"/>
    </row>
    <row r="752" spans="2:7">
      <c r="B752" s="47"/>
      <c r="C752" s="118"/>
      <c r="D752" s="118"/>
      <c r="E752" s="118"/>
      <c r="F752" s="118"/>
      <c r="G752" s="118"/>
    </row>
    <row r="753" spans="2:7">
      <c r="B753" s="47"/>
      <c r="C753" s="118"/>
      <c r="D753" s="118"/>
      <c r="E753" s="118"/>
      <c r="F753" s="118"/>
      <c r="G753" s="118"/>
    </row>
    <row r="754" spans="2:7">
      <c r="B754" s="47"/>
      <c r="C754" s="118"/>
      <c r="D754" s="118"/>
      <c r="E754" s="118"/>
      <c r="F754" s="118"/>
      <c r="G754" s="118"/>
    </row>
    <row r="755" spans="2:7">
      <c r="B755" s="47"/>
      <c r="C755" s="118"/>
      <c r="D755" s="118"/>
      <c r="E755" s="118"/>
      <c r="F755" s="118"/>
      <c r="G755" s="118"/>
    </row>
    <row r="756" spans="2:7">
      <c r="B756" s="47"/>
      <c r="C756" s="118"/>
      <c r="D756" s="118"/>
      <c r="E756" s="118"/>
      <c r="F756" s="118"/>
      <c r="G756" s="118"/>
    </row>
    <row r="757" spans="2:7">
      <c r="B757" s="47"/>
      <c r="C757" s="118"/>
      <c r="D757" s="118"/>
      <c r="E757" s="118"/>
      <c r="F757" s="118"/>
      <c r="G757" s="118"/>
    </row>
    <row r="758" spans="2:7">
      <c r="B758" s="47"/>
      <c r="C758" s="118"/>
      <c r="D758" s="118"/>
      <c r="E758" s="118"/>
      <c r="F758" s="118"/>
      <c r="G758" s="118"/>
    </row>
    <row r="759" spans="2:7">
      <c r="B759" s="47"/>
      <c r="C759" s="118"/>
      <c r="D759" s="118"/>
      <c r="E759" s="118"/>
      <c r="F759" s="118"/>
      <c r="G759" s="118"/>
    </row>
    <row r="760" spans="2:7">
      <c r="B760" s="47"/>
      <c r="C760" s="118"/>
      <c r="D760" s="118"/>
      <c r="E760" s="118"/>
      <c r="F760" s="118"/>
      <c r="G760" s="118"/>
    </row>
    <row r="761" spans="2:7">
      <c r="B761" s="47"/>
      <c r="C761" s="118"/>
      <c r="D761" s="118"/>
      <c r="E761" s="118"/>
      <c r="F761" s="118"/>
      <c r="G761" s="118"/>
    </row>
    <row r="762" spans="2:7">
      <c r="B762" s="47"/>
      <c r="C762" s="118"/>
      <c r="D762" s="118"/>
      <c r="E762" s="118"/>
      <c r="F762" s="118"/>
      <c r="G762" s="118"/>
    </row>
    <row r="763" spans="2:7">
      <c r="B763" s="47"/>
      <c r="C763" s="118"/>
      <c r="D763" s="118"/>
      <c r="E763" s="118"/>
      <c r="F763" s="118"/>
      <c r="G763" s="118"/>
    </row>
    <row r="764" spans="2:7">
      <c r="B764" s="47"/>
      <c r="C764" s="118"/>
      <c r="D764" s="118"/>
      <c r="E764" s="118"/>
      <c r="F764" s="118"/>
      <c r="G764" s="118"/>
    </row>
    <row r="765" spans="2:7">
      <c r="B765" s="47"/>
      <c r="C765" s="118"/>
      <c r="D765" s="118"/>
      <c r="E765" s="118"/>
      <c r="F765" s="118"/>
      <c r="G765" s="118"/>
    </row>
    <row r="766" spans="2:7">
      <c r="B766" s="47"/>
      <c r="C766" s="118"/>
      <c r="D766" s="118"/>
      <c r="E766" s="118"/>
      <c r="F766" s="118"/>
      <c r="G766" s="118"/>
    </row>
    <row r="767" spans="2:7">
      <c r="B767" s="47"/>
      <c r="C767" s="118"/>
      <c r="D767" s="118"/>
      <c r="E767" s="118"/>
      <c r="F767" s="118"/>
      <c r="G767" s="118"/>
    </row>
    <row r="768" spans="2:7">
      <c r="B768" s="47"/>
      <c r="C768" s="118"/>
      <c r="D768" s="118"/>
      <c r="E768" s="118"/>
      <c r="F768" s="118"/>
      <c r="G768" s="118"/>
    </row>
    <row r="769" spans="2:7">
      <c r="B769" s="47"/>
      <c r="C769" s="118"/>
      <c r="D769" s="118"/>
      <c r="E769" s="118"/>
      <c r="F769" s="118"/>
      <c r="G769" s="118"/>
    </row>
    <row r="770" spans="2:7">
      <c r="B770" s="47"/>
      <c r="C770" s="118"/>
      <c r="D770" s="118"/>
      <c r="E770" s="118"/>
      <c r="F770" s="118"/>
      <c r="G770" s="118"/>
    </row>
    <row r="771" spans="2:7">
      <c r="B771" s="47"/>
      <c r="C771" s="118"/>
      <c r="D771" s="118"/>
      <c r="E771" s="118"/>
      <c r="F771" s="118"/>
      <c r="G771" s="118"/>
    </row>
    <row r="772" spans="2:7">
      <c r="B772" s="47"/>
      <c r="C772" s="118"/>
      <c r="D772" s="118"/>
      <c r="E772" s="118"/>
      <c r="F772" s="118"/>
      <c r="G772" s="118"/>
    </row>
    <row r="773" spans="2:7">
      <c r="B773" s="47"/>
      <c r="C773" s="118"/>
      <c r="D773" s="118"/>
      <c r="E773" s="118"/>
      <c r="F773" s="118"/>
      <c r="G773" s="118"/>
    </row>
    <row r="774" spans="2:7">
      <c r="B774" s="47"/>
      <c r="C774" s="118"/>
      <c r="D774" s="118"/>
      <c r="E774" s="118"/>
      <c r="F774" s="118"/>
      <c r="G774" s="118"/>
    </row>
    <row r="775" spans="2:7">
      <c r="B775" s="47"/>
      <c r="C775" s="118"/>
      <c r="D775" s="118"/>
      <c r="E775" s="118"/>
      <c r="F775" s="118"/>
      <c r="G775" s="118"/>
    </row>
    <row r="776" spans="2:7">
      <c r="B776" s="47"/>
      <c r="C776" s="118"/>
      <c r="D776" s="118"/>
      <c r="E776" s="118"/>
      <c r="F776" s="118"/>
      <c r="G776" s="118"/>
    </row>
    <row r="777" spans="2:7">
      <c r="B777" s="47"/>
      <c r="C777" s="118"/>
      <c r="D777" s="118"/>
      <c r="E777" s="118"/>
      <c r="F777" s="118"/>
      <c r="G777" s="118"/>
    </row>
    <row r="778" spans="2:7">
      <c r="B778" s="47"/>
      <c r="C778" s="118"/>
      <c r="D778" s="118"/>
      <c r="E778" s="118"/>
      <c r="F778" s="118"/>
      <c r="G778" s="118"/>
    </row>
    <row r="779" spans="2:7">
      <c r="B779" s="47"/>
      <c r="C779" s="118"/>
      <c r="D779" s="118"/>
      <c r="E779" s="118"/>
      <c r="F779" s="118"/>
      <c r="G779" s="118"/>
    </row>
    <row r="780" spans="2:7">
      <c r="B780" s="47"/>
      <c r="C780" s="118"/>
      <c r="D780" s="118"/>
      <c r="E780" s="118"/>
      <c r="F780" s="118"/>
      <c r="G780" s="118"/>
    </row>
    <row r="781" spans="2:7">
      <c r="B781" s="47"/>
      <c r="C781" s="118"/>
      <c r="D781" s="118"/>
      <c r="E781" s="118"/>
      <c r="F781" s="118"/>
      <c r="G781" s="118"/>
    </row>
    <row r="782" spans="2:7">
      <c r="B782" s="47"/>
      <c r="C782" s="118"/>
      <c r="D782" s="118"/>
      <c r="E782" s="118"/>
      <c r="F782" s="118"/>
      <c r="G782" s="118"/>
    </row>
    <row r="783" spans="2:7">
      <c r="B783" s="47"/>
      <c r="C783" s="118"/>
      <c r="D783" s="118"/>
      <c r="E783" s="118"/>
      <c r="F783" s="118"/>
      <c r="G783" s="118"/>
    </row>
    <row r="784" spans="2:7">
      <c r="B784" s="47"/>
      <c r="C784" s="118"/>
      <c r="D784" s="118"/>
      <c r="E784" s="118"/>
      <c r="F784" s="118"/>
      <c r="G784" s="118"/>
    </row>
    <row r="785" spans="2:7">
      <c r="B785" s="47"/>
      <c r="C785" s="118"/>
      <c r="D785" s="118"/>
      <c r="E785" s="118"/>
      <c r="F785" s="118"/>
      <c r="G785" s="118"/>
    </row>
    <row r="786" spans="2:7">
      <c r="B786" s="47"/>
      <c r="C786" s="118"/>
      <c r="D786" s="118"/>
      <c r="E786" s="118"/>
      <c r="F786" s="118"/>
      <c r="G786" s="118"/>
    </row>
    <row r="787" spans="2:7">
      <c r="B787" s="47"/>
      <c r="C787" s="118"/>
      <c r="D787" s="118"/>
      <c r="E787" s="118"/>
      <c r="F787" s="118"/>
      <c r="G787" s="118"/>
    </row>
    <row r="788" spans="2:7">
      <c r="B788" s="47"/>
      <c r="C788" s="118"/>
      <c r="D788" s="118"/>
      <c r="E788" s="118"/>
      <c r="F788" s="118"/>
      <c r="G788" s="118"/>
    </row>
    <row r="789" spans="2:7">
      <c r="B789" s="47"/>
      <c r="C789" s="118"/>
      <c r="D789" s="118"/>
      <c r="E789" s="118"/>
      <c r="F789" s="118"/>
      <c r="G789" s="118"/>
    </row>
    <row r="790" spans="2:7">
      <c r="B790" s="47"/>
      <c r="C790" s="118"/>
      <c r="D790" s="118"/>
      <c r="E790" s="118"/>
      <c r="F790" s="118"/>
      <c r="G790" s="118"/>
    </row>
    <row r="791" spans="2:7">
      <c r="B791" s="47"/>
      <c r="C791" s="118"/>
      <c r="D791" s="118"/>
      <c r="E791" s="118"/>
      <c r="F791" s="118"/>
      <c r="G791" s="118"/>
    </row>
    <row r="792" spans="2:7">
      <c r="B792" s="47"/>
      <c r="C792" s="118"/>
      <c r="D792" s="118"/>
      <c r="E792" s="118"/>
      <c r="F792" s="118"/>
      <c r="G792" s="118"/>
    </row>
    <row r="793" spans="2:7">
      <c r="B793" s="47"/>
      <c r="C793" s="118"/>
      <c r="D793" s="118"/>
      <c r="E793" s="118"/>
      <c r="F793" s="118"/>
      <c r="G793" s="118"/>
    </row>
    <row r="794" spans="2:7">
      <c r="B794" s="47"/>
      <c r="C794" s="118"/>
      <c r="D794" s="118"/>
      <c r="E794" s="118"/>
      <c r="F794" s="118"/>
      <c r="G794" s="118"/>
    </row>
    <row r="795" spans="2:7">
      <c r="B795" s="47"/>
      <c r="C795" s="118"/>
      <c r="D795" s="118"/>
      <c r="E795" s="118"/>
      <c r="F795" s="118"/>
      <c r="G795" s="118"/>
    </row>
    <row r="796" spans="2:7">
      <c r="B796" s="47"/>
      <c r="C796" s="118"/>
      <c r="D796" s="118"/>
      <c r="E796" s="118"/>
      <c r="F796" s="118"/>
      <c r="G796" s="118"/>
    </row>
    <row r="797" spans="2:7">
      <c r="B797" s="47"/>
      <c r="C797" s="118"/>
      <c r="D797" s="118"/>
      <c r="E797" s="118"/>
      <c r="F797" s="118"/>
      <c r="G797" s="118"/>
    </row>
    <row r="798" spans="2:7">
      <c r="B798" s="47"/>
      <c r="C798" s="118"/>
      <c r="D798" s="118"/>
      <c r="E798" s="118"/>
      <c r="F798" s="118"/>
      <c r="G798" s="118"/>
    </row>
    <row r="799" spans="2:7">
      <c r="B799" s="47"/>
      <c r="C799" s="118"/>
      <c r="D799" s="118"/>
      <c r="E799" s="118"/>
      <c r="F799" s="118"/>
      <c r="G799" s="118"/>
    </row>
    <row r="800" spans="2:7">
      <c r="B800" s="47"/>
      <c r="C800" s="118"/>
      <c r="D800" s="118"/>
      <c r="E800" s="118"/>
      <c r="F800" s="118"/>
      <c r="G800" s="118"/>
    </row>
    <row r="801" spans="2:7">
      <c r="B801" s="47"/>
      <c r="C801" s="118"/>
      <c r="D801" s="118"/>
      <c r="E801" s="118"/>
      <c r="F801" s="118"/>
      <c r="G801" s="118"/>
    </row>
    <row r="802" spans="2:7">
      <c r="B802" s="47"/>
      <c r="C802" s="118"/>
      <c r="D802" s="118"/>
      <c r="E802" s="118"/>
      <c r="F802" s="118"/>
      <c r="G802" s="118"/>
    </row>
    <row r="803" spans="2:7">
      <c r="B803" s="47"/>
      <c r="C803" s="118"/>
      <c r="D803" s="118"/>
      <c r="E803" s="118"/>
      <c r="F803" s="118"/>
      <c r="G803" s="118"/>
    </row>
    <row r="804" spans="2:7">
      <c r="B804" s="47"/>
      <c r="C804" s="118"/>
      <c r="D804" s="118"/>
      <c r="E804" s="118"/>
      <c r="F804" s="118"/>
      <c r="G804" s="118"/>
    </row>
    <row r="805" spans="2:7">
      <c r="B805" s="47"/>
      <c r="C805" s="118"/>
      <c r="D805" s="118"/>
      <c r="E805" s="118"/>
      <c r="F805" s="118"/>
      <c r="G805" s="118"/>
    </row>
    <row r="806" spans="2:7">
      <c r="B806" s="47"/>
      <c r="C806" s="118"/>
      <c r="D806" s="118"/>
      <c r="E806" s="118"/>
      <c r="F806" s="118"/>
      <c r="G806" s="118"/>
    </row>
    <row r="807" spans="2:7">
      <c r="B807" s="47"/>
      <c r="C807" s="118"/>
      <c r="D807" s="118"/>
      <c r="E807" s="118"/>
      <c r="F807" s="118"/>
      <c r="G807" s="118"/>
    </row>
    <row r="808" spans="2:7">
      <c r="B808" s="47"/>
      <c r="C808" s="118"/>
      <c r="D808" s="118"/>
      <c r="E808" s="118"/>
      <c r="F808" s="118"/>
      <c r="G808" s="118"/>
    </row>
    <row r="809" spans="2:7">
      <c r="B809" s="47"/>
      <c r="C809" s="118"/>
      <c r="D809" s="118"/>
      <c r="E809" s="118"/>
      <c r="F809" s="118"/>
      <c r="G809" s="118"/>
    </row>
    <row r="810" spans="2:7">
      <c r="B810" s="47"/>
      <c r="C810" s="118"/>
      <c r="D810" s="118"/>
      <c r="E810" s="118"/>
      <c r="F810" s="118"/>
      <c r="G810" s="118"/>
    </row>
    <row r="811" spans="2:7">
      <c r="B811" s="47"/>
      <c r="C811" s="118"/>
      <c r="D811" s="118"/>
      <c r="E811" s="118"/>
      <c r="F811" s="118"/>
      <c r="G811" s="118"/>
    </row>
    <row r="812" spans="2:7">
      <c r="B812" s="47"/>
      <c r="C812" s="118"/>
      <c r="D812" s="118"/>
      <c r="E812" s="118"/>
      <c r="F812" s="118"/>
      <c r="G812" s="118"/>
    </row>
    <row r="813" spans="2:7">
      <c r="B813" s="47"/>
      <c r="C813" s="118"/>
      <c r="D813" s="118"/>
      <c r="E813" s="118"/>
      <c r="F813" s="118"/>
      <c r="G813" s="118"/>
    </row>
    <row r="814" spans="2:7">
      <c r="B814" s="47"/>
      <c r="C814" s="118"/>
      <c r="D814" s="118"/>
      <c r="E814" s="118"/>
      <c r="F814" s="118"/>
      <c r="G814" s="118"/>
    </row>
    <row r="815" spans="2:7">
      <c r="B815" s="47"/>
      <c r="C815" s="118"/>
      <c r="D815" s="118"/>
      <c r="E815" s="118"/>
      <c r="F815" s="118"/>
      <c r="G815" s="118"/>
    </row>
    <row r="816" spans="2:7">
      <c r="B816" s="47"/>
      <c r="C816" s="118"/>
      <c r="D816" s="118"/>
      <c r="E816" s="118"/>
      <c r="F816" s="118"/>
      <c r="G816" s="118"/>
    </row>
    <row r="817" spans="2:7">
      <c r="B817" s="47"/>
      <c r="C817" s="118"/>
      <c r="D817" s="118"/>
      <c r="E817" s="118"/>
      <c r="F817" s="118"/>
      <c r="G817" s="118"/>
    </row>
    <row r="818" spans="2:7">
      <c r="B818" s="47"/>
      <c r="C818" s="118"/>
      <c r="D818" s="118"/>
      <c r="E818" s="118"/>
      <c r="F818" s="118"/>
      <c r="G818" s="118"/>
    </row>
    <row r="819" spans="2:7">
      <c r="B819" s="47"/>
      <c r="C819" s="118"/>
      <c r="D819" s="118"/>
      <c r="E819" s="118"/>
      <c r="F819" s="118"/>
      <c r="G819" s="118"/>
    </row>
    <row r="820" spans="2:7">
      <c r="B820" s="47"/>
      <c r="C820" s="118"/>
      <c r="D820" s="118"/>
      <c r="E820" s="118"/>
      <c r="F820" s="118"/>
      <c r="G820" s="118"/>
    </row>
    <row r="821" spans="2:7">
      <c r="B821" s="47"/>
      <c r="C821" s="118"/>
      <c r="D821" s="118"/>
      <c r="E821" s="118"/>
      <c r="F821" s="118"/>
      <c r="G821" s="118"/>
    </row>
    <row r="822" spans="2:7">
      <c r="B822" s="47"/>
      <c r="C822" s="118"/>
      <c r="D822" s="118"/>
      <c r="E822" s="118"/>
      <c r="F822" s="118"/>
      <c r="G822" s="118"/>
    </row>
    <row r="823" spans="2:7">
      <c r="B823" s="47"/>
      <c r="C823" s="118"/>
      <c r="D823" s="118"/>
      <c r="E823" s="118"/>
      <c r="F823" s="118"/>
      <c r="G823" s="118"/>
    </row>
    <row r="824" spans="2:7">
      <c r="B824" s="47"/>
      <c r="C824" s="118"/>
      <c r="D824" s="118"/>
      <c r="E824" s="118"/>
      <c r="F824" s="118"/>
      <c r="G824" s="118"/>
    </row>
    <row r="825" spans="2:7">
      <c r="B825" s="47"/>
      <c r="C825" s="118"/>
      <c r="D825" s="118"/>
      <c r="E825" s="118"/>
      <c r="F825" s="118"/>
      <c r="G825" s="118"/>
    </row>
    <row r="826" spans="2:7">
      <c r="B826" s="47"/>
      <c r="C826" s="118"/>
      <c r="D826" s="118"/>
      <c r="E826" s="118"/>
      <c r="F826" s="118"/>
      <c r="G826" s="118"/>
    </row>
    <row r="827" spans="2:7">
      <c r="B827" s="47"/>
      <c r="C827" s="118"/>
      <c r="D827" s="118"/>
      <c r="E827" s="118"/>
      <c r="F827" s="118"/>
      <c r="G827" s="118"/>
    </row>
    <row r="828" spans="2:7">
      <c r="B828" s="47"/>
      <c r="C828" s="118"/>
      <c r="D828" s="118"/>
      <c r="E828" s="118"/>
      <c r="F828" s="118"/>
      <c r="G828" s="118"/>
    </row>
    <row r="829" spans="2:7">
      <c r="B829" s="47"/>
      <c r="C829" s="118"/>
      <c r="D829" s="118"/>
      <c r="E829" s="118"/>
      <c r="F829" s="118"/>
      <c r="G829" s="118"/>
    </row>
    <row r="830" spans="2:7">
      <c r="B830" s="47"/>
      <c r="C830" s="118"/>
      <c r="D830" s="118"/>
      <c r="E830" s="118"/>
      <c r="F830" s="118"/>
      <c r="G830" s="118"/>
    </row>
    <row r="831" spans="2:7">
      <c r="B831" s="47"/>
      <c r="C831" s="118"/>
      <c r="D831" s="118"/>
      <c r="E831" s="118"/>
      <c r="F831" s="118"/>
      <c r="G831" s="118"/>
    </row>
    <row r="832" spans="2:7">
      <c r="B832" s="47"/>
      <c r="C832" s="118"/>
      <c r="D832" s="118"/>
      <c r="E832" s="118"/>
      <c r="F832" s="118"/>
      <c r="G832" s="118"/>
    </row>
    <row r="833" spans="2:7">
      <c r="B833" s="47"/>
      <c r="C833" s="118"/>
      <c r="D833" s="118"/>
      <c r="E833" s="118"/>
      <c r="F833" s="118"/>
      <c r="G833" s="118"/>
    </row>
    <row r="834" spans="2:7">
      <c r="B834" s="47"/>
      <c r="C834" s="118"/>
      <c r="D834" s="118"/>
      <c r="E834" s="118"/>
      <c r="F834" s="118"/>
      <c r="G834" s="118"/>
    </row>
    <row r="835" spans="2:7">
      <c r="B835" s="47"/>
      <c r="C835" s="118"/>
      <c r="D835" s="118"/>
      <c r="E835" s="118"/>
      <c r="F835" s="118"/>
      <c r="G835" s="118"/>
    </row>
    <row r="836" spans="2:7">
      <c r="B836" s="47"/>
      <c r="C836" s="118"/>
      <c r="D836" s="118"/>
      <c r="E836" s="118"/>
      <c r="F836" s="118"/>
      <c r="G836" s="118"/>
    </row>
    <row r="837" spans="2:7">
      <c r="B837" s="47"/>
      <c r="C837" s="118"/>
      <c r="D837" s="118"/>
      <c r="E837" s="118"/>
      <c r="F837" s="118"/>
      <c r="G837" s="118"/>
    </row>
    <row r="838" spans="2:7">
      <c r="B838" s="47"/>
      <c r="C838" s="118"/>
      <c r="D838" s="118"/>
      <c r="E838" s="118"/>
      <c r="F838" s="118"/>
      <c r="G838" s="118"/>
    </row>
    <row r="839" spans="2:7">
      <c r="B839" s="47"/>
      <c r="C839" s="118"/>
      <c r="D839" s="118"/>
      <c r="E839" s="118"/>
      <c r="F839" s="118"/>
      <c r="G839" s="118"/>
    </row>
    <row r="840" spans="2:7">
      <c r="B840" s="47"/>
      <c r="C840" s="118"/>
      <c r="D840" s="118"/>
      <c r="E840" s="118"/>
      <c r="F840" s="118"/>
      <c r="G840" s="118"/>
    </row>
    <row r="841" spans="2:7">
      <c r="B841" s="47"/>
      <c r="C841" s="118"/>
      <c r="D841" s="118"/>
      <c r="E841" s="118"/>
      <c r="F841" s="118"/>
      <c r="G841" s="118"/>
    </row>
    <row r="842" spans="2:7">
      <c r="B842" s="47"/>
      <c r="C842" s="118"/>
      <c r="D842" s="118"/>
      <c r="E842" s="118"/>
      <c r="F842" s="118"/>
      <c r="G842" s="118"/>
    </row>
    <row r="843" spans="2:7">
      <c r="B843" s="47"/>
      <c r="C843" s="118"/>
      <c r="D843" s="118"/>
      <c r="E843" s="118"/>
      <c r="F843" s="118"/>
      <c r="G843" s="118"/>
    </row>
    <row r="844" spans="2:7">
      <c r="B844" s="47"/>
      <c r="C844" s="118"/>
      <c r="D844" s="118"/>
      <c r="E844" s="118"/>
      <c r="F844" s="118"/>
      <c r="G844" s="118"/>
    </row>
    <row r="845" spans="2:7">
      <c r="B845" s="47"/>
      <c r="C845" s="118"/>
      <c r="D845" s="118"/>
      <c r="E845" s="118"/>
      <c r="F845" s="118"/>
      <c r="G845" s="118"/>
    </row>
    <row r="846" spans="2:7">
      <c r="B846" s="47"/>
      <c r="C846" s="118"/>
      <c r="D846" s="118"/>
      <c r="E846" s="118"/>
      <c r="F846" s="118"/>
      <c r="G846" s="118"/>
    </row>
    <row r="847" spans="2:7">
      <c r="B847" s="47"/>
      <c r="C847" s="118"/>
      <c r="D847" s="118"/>
      <c r="E847" s="118"/>
      <c r="F847" s="118"/>
      <c r="G847" s="118"/>
    </row>
    <row r="848" spans="2:7">
      <c r="B848" s="47"/>
      <c r="C848" s="118"/>
      <c r="D848" s="118"/>
      <c r="E848" s="118"/>
      <c r="F848" s="118"/>
      <c r="G848" s="118"/>
    </row>
    <row r="849" spans="2:7">
      <c r="B849" s="47"/>
      <c r="C849" s="118"/>
      <c r="D849" s="118"/>
      <c r="E849" s="118"/>
      <c r="F849" s="118"/>
      <c r="G849" s="118"/>
    </row>
    <row r="850" spans="2:7">
      <c r="B850" s="47"/>
      <c r="C850" s="118"/>
      <c r="D850" s="118"/>
      <c r="E850" s="118"/>
      <c r="F850" s="118"/>
      <c r="G850" s="118"/>
    </row>
    <row r="851" spans="2:7">
      <c r="B851" s="47"/>
      <c r="C851" s="118"/>
      <c r="D851" s="118"/>
      <c r="E851" s="118"/>
      <c r="F851" s="118"/>
      <c r="G851" s="118"/>
    </row>
    <row r="852" spans="2:7">
      <c r="B852" s="47"/>
      <c r="C852" s="118"/>
      <c r="D852" s="118"/>
      <c r="E852" s="118"/>
      <c r="F852" s="118"/>
      <c r="G852" s="118"/>
    </row>
    <row r="853" spans="2:7">
      <c r="B853" s="47"/>
      <c r="C853" s="118"/>
      <c r="D853" s="118"/>
      <c r="E853" s="118"/>
      <c r="F853" s="118"/>
      <c r="G853" s="118"/>
    </row>
    <row r="854" spans="2:7">
      <c r="B854" s="47"/>
      <c r="C854" s="118"/>
      <c r="D854" s="118"/>
      <c r="E854" s="118"/>
      <c r="F854" s="118"/>
      <c r="G854" s="118"/>
    </row>
    <row r="855" spans="2:7">
      <c r="B855" s="47"/>
      <c r="C855" s="118"/>
      <c r="D855" s="118"/>
      <c r="E855" s="118"/>
      <c r="F855" s="118"/>
      <c r="G855" s="118"/>
    </row>
    <row r="856" spans="2:7">
      <c r="B856" s="47"/>
      <c r="C856" s="118"/>
      <c r="D856" s="118"/>
      <c r="E856" s="118"/>
      <c r="F856" s="118"/>
      <c r="G856" s="118"/>
    </row>
    <row r="857" spans="2:7">
      <c r="B857" s="47"/>
      <c r="C857" s="118"/>
      <c r="D857" s="118"/>
      <c r="E857" s="118"/>
      <c r="F857" s="118"/>
      <c r="G857" s="118"/>
    </row>
    <row r="858" spans="2:7">
      <c r="B858" s="47"/>
      <c r="C858" s="118"/>
      <c r="D858" s="118"/>
      <c r="E858" s="118"/>
      <c r="F858" s="118"/>
      <c r="G858" s="118"/>
    </row>
    <row r="859" spans="2:7">
      <c r="B859" s="47"/>
      <c r="C859" s="118"/>
      <c r="D859" s="118"/>
      <c r="E859" s="118"/>
      <c r="F859" s="118"/>
      <c r="G859" s="118"/>
    </row>
    <row r="860" spans="2:7">
      <c r="B860" s="47"/>
      <c r="C860" s="118"/>
      <c r="D860" s="118"/>
      <c r="E860" s="118"/>
      <c r="F860" s="118"/>
      <c r="G860" s="118"/>
    </row>
    <row r="861" spans="2:7">
      <c r="B861" s="47"/>
      <c r="C861" s="118"/>
      <c r="D861" s="118"/>
      <c r="E861" s="118"/>
      <c r="F861" s="118"/>
      <c r="G861" s="118"/>
    </row>
    <row r="862" spans="2:7">
      <c r="B862" s="47"/>
      <c r="C862" s="118"/>
      <c r="D862" s="118"/>
      <c r="E862" s="118"/>
      <c r="F862" s="118"/>
      <c r="G862" s="118"/>
    </row>
    <row r="863" spans="2:7">
      <c r="B863" s="47"/>
      <c r="C863" s="118"/>
      <c r="D863" s="118"/>
      <c r="E863" s="118"/>
      <c r="F863" s="118"/>
      <c r="G863" s="118"/>
    </row>
    <row r="864" spans="2:7">
      <c r="B864" s="47"/>
      <c r="C864" s="118"/>
      <c r="D864" s="118"/>
      <c r="E864" s="118"/>
      <c r="F864" s="118"/>
      <c r="G864" s="118"/>
    </row>
    <row r="865" spans="2:7">
      <c r="B865" s="47"/>
      <c r="C865" s="118"/>
      <c r="D865" s="118"/>
      <c r="E865" s="118"/>
      <c r="F865" s="118"/>
      <c r="G865" s="118"/>
    </row>
    <row r="866" spans="2:7">
      <c r="B866" s="47"/>
      <c r="C866" s="118"/>
      <c r="D866" s="118"/>
      <c r="E866" s="118"/>
      <c r="F866" s="118"/>
      <c r="G866" s="118"/>
    </row>
    <row r="867" spans="2:7">
      <c r="B867" s="47"/>
      <c r="C867" s="118"/>
      <c r="D867" s="118"/>
      <c r="E867" s="118"/>
      <c r="F867" s="118"/>
      <c r="G867" s="118"/>
    </row>
    <row r="868" spans="2:7">
      <c r="B868" s="47"/>
      <c r="C868" s="118"/>
      <c r="D868" s="118"/>
      <c r="E868" s="118"/>
      <c r="F868" s="118"/>
      <c r="G868" s="118"/>
    </row>
    <row r="869" spans="2:7">
      <c r="B869" s="47"/>
      <c r="C869" s="118"/>
      <c r="D869" s="118"/>
      <c r="E869" s="118"/>
      <c r="F869" s="118"/>
      <c r="G869" s="118"/>
    </row>
    <row r="870" spans="2:7">
      <c r="B870" s="47"/>
      <c r="C870" s="118"/>
      <c r="D870" s="118"/>
      <c r="E870" s="118"/>
      <c r="F870" s="118"/>
      <c r="G870" s="118"/>
    </row>
    <row r="871" spans="2:7">
      <c r="B871" s="47"/>
      <c r="C871" s="118"/>
      <c r="D871" s="118"/>
      <c r="E871" s="118"/>
      <c r="F871" s="118"/>
      <c r="G871" s="118"/>
    </row>
    <row r="872" spans="2:7">
      <c r="B872" s="47"/>
      <c r="C872" s="118"/>
      <c r="D872" s="118"/>
      <c r="E872" s="118"/>
      <c r="F872" s="118"/>
      <c r="G872" s="118"/>
    </row>
    <row r="873" spans="2:7">
      <c r="B873" s="47"/>
      <c r="C873" s="118"/>
      <c r="D873" s="118"/>
      <c r="E873" s="118"/>
      <c r="F873" s="118"/>
      <c r="G873" s="118"/>
    </row>
    <row r="874" spans="2:7">
      <c r="B874" s="47"/>
      <c r="C874" s="118"/>
      <c r="D874" s="118"/>
      <c r="E874" s="118"/>
      <c r="F874" s="118"/>
      <c r="G874" s="118"/>
    </row>
    <row r="875" spans="2:7">
      <c r="B875" s="47"/>
      <c r="C875" s="118"/>
      <c r="D875" s="118"/>
      <c r="E875" s="118"/>
      <c r="F875" s="118"/>
      <c r="G875" s="118"/>
    </row>
    <row r="876" spans="2:7">
      <c r="B876" s="47"/>
      <c r="C876" s="118"/>
      <c r="D876" s="118"/>
      <c r="E876" s="118"/>
      <c r="F876" s="118"/>
      <c r="G876" s="118"/>
    </row>
    <row r="877" spans="2:7">
      <c r="B877" s="47"/>
      <c r="C877" s="118"/>
      <c r="D877" s="118"/>
      <c r="E877" s="118"/>
      <c r="F877" s="118"/>
      <c r="G877" s="118"/>
    </row>
    <row r="878" spans="2:7">
      <c r="B878" s="47"/>
      <c r="C878" s="118"/>
      <c r="D878" s="118"/>
      <c r="E878" s="118"/>
      <c r="F878" s="118"/>
      <c r="G878" s="118"/>
    </row>
    <row r="879" spans="2:7">
      <c r="B879" s="47"/>
      <c r="C879" s="118"/>
      <c r="D879" s="118"/>
      <c r="E879" s="118"/>
      <c r="F879" s="118"/>
      <c r="G879" s="118"/>
    </row>
    <row r="880" spans="2:7">
      <c r="B880" s="47"/>
      <c r="C880" s="118"/>
      <c r="D880" s="118"/>
      <c r="E880" s="118"/>
      <c r="F880" s="118"/>
      <c r="G880" s="118"/>
    </row>
    <row r="881" spans="2:7">
      <c r="B881" s="47"/>
      <c r="C881" s="118"/>
      <c r="D881" s="118"/>
      <c r="E881" s="118"/>
      <c r="F881" s="118"/>
      <c r="G881" s="118"/>
    </row>
    <row r="882" spans="2:7">
      <c r="B882" s="47"/>
      <c r="C882" s="118"/>
      <c r="D882" s="118"/>
      <c r="E882" s="118"/>
      <c r="F882" s="118"/>
      <c r="G882" s="118"/>
    </row>
    <row r="883" spans="2:7">
      <c r="B883" s="47"/>
      <c r="C883" s="118"/>
      <c r="D883" s="118"/>
      <c r="E883" s="118"/>
      <c r="F883" s="118"/>
      <c r="G883" s="118"/>
    </row>
    <row r="884" spans="2:7">
      <c r="B884" s="47"/>
      <c r="C884" s="118"/>
      <c r="D884" s="118"/>
      <c r="E884" s="118"/>
      <c r="F884" s="118"/>
      <c r="G884" s="118"/>
    </row>
    <row r="885" spans="2:7">
      <c r="B885" s="47"/>
      <c r="C885" s="118"/>
      <c r="D885" s="118"/>
      <c r="E885" s="118"/>
      <c r="F885" s="118"/>
      <c r="G885" s="118"/>
    </row>
    <row r="886" spans="2:7">
      <c r="B886" s="47"/>
      <c r="C886" s="118"/>
      <c r="D886" s="118"/>
      <c r="E886" s="118"/>
      <c r="F886" s="118"/>
      <c r="G886" s="118"/>
    </row>
    <row r="887" spans="2:7">
      <c r="B887" s="47"/>
      <c r="C887" s="118"/>
      <c r="D887" s="118"/>
      <c r="E887" s="118"/>
      <c r="F887" s="118"/>
      <c r="G887" s="118"/>
    </row>
    <row r="888" spans="2:7">
      <c r="B888" s="47"/>
      <c r="C888" s="118"/>
      <c r="D888" s="118"/>
      <c r="E888" s="118"/>
      <c r="F888" s="118"/>
      <c r="G888" s="118"/>
    </row>
    <row r="889" spans="2:7">
      <c r="B889" s="47"/>
      <c r="C889" s="118"/>
      <c r="D889" s="118"/>
      <c r="E889" s="118"/>
      <c r="F889" s="118"/>
      <c r="G889" s="118"/>
    </row>
    <row r="890" spans="2:7">
      <c r="B890" s="47"/>
      <c r="C890" s="118"/>
      <c r="D890" s="118"/>
      <c r="E890" s="118"/>
      <c r="F890" s="118"/>
      <c r="G890" s="118"/>
    </row>
    <row r="891" spans="2:7">
      <c r="B891" s="47"/>
      <c r="C891" s="118"/>
      <c r="D891" s="118"/>
      <c r="E891" s="118"/>
      <c r="F891" s="118"/>
      <c r="G891" s="118"/>
    </row>
    <row r="892" spans="2:7">
      <c r="B892" s="47"/>
      <c r="C892" s="118"/>
      <c r="D892" s="118"/>
      <c r="E892" s="118"/>
      <c r="F892" s="118"/>
      <c r="G892" s="118"/>
    </row>
    <row r="893" spans="2:7">
      <c r="B893" s="47"/>
      <c r="C893" s="118"/>
      <c r="D893" s="118"/>
      <c r="E893" s="118"/>
      <c r="F893" s="118"/>
      <c r="G893" s="118"/>
    </row>
    <row r="894" spans="2:7">
      <c r="B894" s="47"/>
      <c r="C894" s="118"/>
      <c r="D894" s="118"/>
      <c r="E894" s="118"/>
      <c r="F894" s="118"/>
      <c r="G894" s="118"/>
    </row>
    <row r="895" spans="2:7">
      <c r="B895" s="47"/>
      <c r="C895" s="118"/>
      <c r="D895" s="118"/>
      <c r="E895" s="118"/>
      <c r="F895" s="118"/>
      <c r="G895" s="118"/>
    </row>
    <row r="896" spans="2:7">
      <c r="B896" s="47"/>
      <c r="C896" s="118"/>
      <c r="D896" s="118"/>
      <c r="E896" s="118"/>
      <c r="F896" s="118"/>
      <c r="G896" s="118"/>
    </row>
    <row r="897" spans="2:7">
      <c r="B897" s="47"/>
      <c r="C897" s="118"/>
      <c r="D897" s="118"/>
      <c r="E897" s="118"/>
      <c r="F897" s="118"/>
      <c r="G897" s="118"/>
    </row>
    <row r="898" spans="2:7">
      <c r="B898" s="47"/>
      <c r="C898" s="118"/>
      <c r="D898" s="118"/>
      <c r="E898" s="118"/>
      <c r="F898" s="118"/>
      <c r="G898" s="118"/>
    </row>
    <row r="899" spans="2:7">
      <c r="B899" s="47"/>
      <c r="C899" s="118"/>
      <c r="D899" s="118"/>
      <c r="E899" s="118"/>
      <c r="F899" s="118"/>
      <c r="G899" s="118"/>
    </row>
    <row r="900" spans="2:7">
      <c r="B900" s="47"/>
      <c r="C900" s="118"/>
      <c r="D900" s="118"/>
      <c r="E900" s="118"/>
      <c r="F900" s="118"/>
      <c r="G900" s="118"/>
    </row>
    <row r="901" spans="2:7">
      <c r="B901" s="47"/>
      <c r="C901" s="118"/>
      <c r="D901" s="118"/>
      <c r="E901" s="118"/>
      <c r="F901" s="118"/>
      <c r="G901" s="118"/>
    </row>
    <row r="902" spans="2:7">
      <c r="B902" s="47"/>
      <c r="C902" s="118"/>
      <c r="D902" s="118"/>
      <c r="E902" s="118"/>
      <c r="F902" s="118"/>
      <c r="G902" s="118"/>
    </row>
    <row r="903" spans="2:7">
      <c r="B903" s="47"/>
      <c r="C903" s="118"/>
      <c r="D903" s="118"/>
      <c r="E903" s="118"/>
      <c r="F903" s="118"/>
      <c r="G903" s="118"/>
    </row>
    <row r="904" spans="2:7">
      <c r="B904" s="47"/>
      <c r="C904" s="118"/>
      <c r="D904" s="118"/>
      <c r="E904" s="118"/>
      <c r="F904" s="118"/>
      <c r="G904" s="118"/>
    </row>
    <row r="905" spans="2:7">
      <c r="B905" s="47"/>
      <c r="C905" s="118"/>
      <c r="D905" s="118"/>
      <c r="E905" s="118"/>
      <c r="F905" s="118"/>
      <c r="G905" s="118"/>
    </row>
    <row r="906" spans="2:7">
      <c r="B906" s="47"/>
      <c r="C906" s="118"/>
      <c r="D906" s="118"/>
      <c r="E906" s="118"/>
      <c r="F906" s="118"/>
      <c r="G906" s="118"/>
    </row>
    <row r="907" spans="2:7">
      <c r="B907" s="47"/>
      <c r="C907" s="118"/>
      <c r="D907" s="118"/>
      <c r="E907" s="118"/>
      <c r="F907" s="118"/>
      <c r="G907" s="118"/>
    </row>
    <row r="908" spans="2:7">
      <c r="B908" s="47"/>
      <c r="C908" s="118"/>
      <c r="D908" s="118"/>
      <c r="E908" s="118"/>
      <c r="F908" s="118"/>
      <c r="G908" s="118"/>
    </row>
    <row r="909" spans="2:7">
      <c r="B909" s="47"/>
      <c r="C909" s="118"/>
      <c r="D909" s="118"/>
      <c r="E909" s="118"/>
      <c r="F909" s="118"/>
      <c r="G909" s="118"/>
    </row>
    <row r="910" spans="2:7">
      <c r="B910" s="47"/>
      <c r="C910" s="118"/>
      <c r="D910" s="118"/>
      <c r="E910" s="118"/>
      <c r="F910" s="118"/>
      <c r="G910" s="118"/>
    </row>
    <row r="911" spans="2:7">
      <c r="B911" s="47"/>
      <c r="C911" s="118"/>
      <c r="D911" s="118"/>
      <c r="E911" s="118"/>
      <c r="F911" s="118"/>
      <c r="G911" s="118"/>
    </row>
    <row r="912" spans="2:7">
      <c r="B912" s="47"/>
      <c r="C912" s="118"/>
      <c r="D912" s="118"/>
      <c r="E912" s="118"/>
      <c r="F912" s="118"/>
      <c r="G912" s="118"/>
    </row>
    <row r="913" spans="2:7">
      <c r="B913" s="47"/>
      <c r="C913" s="118"/>
      <c r="D913" s="118"/>
      <c r="E913" s="118"/>
      <c r="F913" s="118"/>
      <c r="G913" s="118"/>
    </row>
    <row r="914" spans="2:7">
      <c r="B914" s="47"/>
      <c r="C914" s="118"/>
      <c r="D914" s="118"/>
      <c r="E914" s="118"/>
      <c r="F914" s="118"/>
      <c r="G914" s="118"/>
    </row>
    <row r="915" spans="2:7">
      <c r="B915" s="47"/>
      <c r="C915" s="118"/>
      <c r="D915" s="118"/>
      <c r="E915" s="118"/>
      <c r="F915" s="118"/>
      <c r="G915" s="118"/>
    </row>
    <row r="916" spans="2:7">
      <c r="B916" s="47"/>
      <c r="C916" s="118"/>
      <c r="D916" s="118"/>
      <c r="E916" s="118"/>
      <c r="F916" s="118"/>
      <c r="G916" s="118"/>
    </row>
    <row r="917" spans="2:7">
      <c r="B917" s="47"/>
      <c r="C917" s="118"/>
      <c r="D917" s="118"/>
      <c r="E917" s="118"/>
      <c r="F917" s="118"/>
      <c r="G917" s="118"/>
    </row>
    <row r="918" spans="2:7">
      <c r="B918" s="47"/>
      <c r="C918" s="118"/>
      <c r="D918" s="118"/>
      <c r="E918" s="118"/>
      <c r="F918" s="118"/>
      <c r="G918" s="118"/>
    </row>
    <row r="919" spans="2:7">
      <c r="B919" s="47"/>
      <c r="C919" s="118"/>
      <c r="D919" s="118"/>
      <c r="E919" s="118"/>
      <c r="F919" s="118"/>
      <c r="G919" s="118"/>
    </row>
    <row r="920" spans="2:7">
      <c r="B920" s="47"/>
      <c r="C920" s="118"/>
      <c r="D920" s="118"/>
      <c r="E920" s="118"/>
      <c r="F920" s="118"/>
      <c r="G920" s="118"/>
    </row>
    <row r="921" spans="2:7">
      <c r="B921" s="47"/>
      <c r="C921" s="118"/>
      <c r="D921" s="118"/>
      <c r="E921" s="118"/>
      <c r="F921" s="118"/>
      <c r="G921" s="118"/>
    </row>
    <row r="922" spans="2:7">
      <c r="B922" s="47"/>
      <c r="C922" s="118"/>
      <c r="D922" s="118"/>
      <c r="E922" s="118"/>
      <c r="F922" s="118"/>
      <c r="G922" s="118"/>
    </row>
    <row r="923" spans="2:7">
      <c r="B923" s="47"/>
      <c r="C923" s="118"/>
      <c r="D923" s="118"/>
      <c r="E923" s="118"/>
      <c r="F923" s="118"/>
      <c r="G923" s="118"/>
    </row>
    <row r="924" spans="2:7">
      <c r="B924" s="47"/>
      <c r="C924" s="118"/>
      <c r="D924" s="118"/>
      <c r="E924" s="118"/>
      <c r="F924" s="118"/>
      <c r="G924" s="118"/>
    </row>
    <row r="925" spans="2:7">
      <c r="B925" s="47"/>
      <c r="C925" s="118"/>
      <c r="D925" s="118"/>
      <c r="E925" s="118"/>
      <c r="F925" s="118"/>
      <c r="G925" s="118"/>
    </row>
    <row r="926" spans="2:7">
      <c r="B926" s="47"/>
      <c r="C926" s="118"/>
      <c r="D926" s="118"/>
      <c r="E926" s="118"/>
      <c r="F926" s="118"/>
      <c r="G926" s="118"/>
    </row>
    <row r="927" spans="2:7">
      <c r="B927" s="47"/>
      <c r="C927" s="118"/>
      <c r="D927" s="118"/>
      <c r="E927" s="118"/>
      <c r="F927" s="118"/>
      <c r="G927" s="118"/>
    </row>
    <row r="928" spans="2:7">
      <c r="B928" s="47"/>
      <c r="C928" s="118"/>
      <c r="D928" s="118"/>
      <c r="E928" s="118"/>
      <c r="F928" s="118"/>
      <c r="G928" s="118"/>
    </row>
    <row r="929" spans="2:7">
      <c r="B929" s="47"/>
      <c r="C929" s="118"/>
      <c r="D929" s="118"/>
      <c r="E929" s="118"/>
      <c r="F929" s="118"/>
      <c r="G929" s="118"/>
    </row>
    <row r="930" spans="2:7">
      <c r="B930" s="47"/>
      <c r="C930" s="118"/>
      <c r="D930" s="118"/>
      <c r="E930" s="118"/>
      <c r="F930" s="118"/>
      <c r="G930" s="118"/>
    </row>
    <row r="931" spans="2:7">
      <c r="B931" s="47"/>
      <c r="C931" s="118"/>
      <c r="D931" s="118"/>
      <c r="E931" s="118"/>
      <c r="F931" s="118"/>
      <c r="G931" s="118"/>
    </row>
    <row r="932" spans="2:7">
      <c r="B932" s="47"/>
      <c r="C932" s="118"/>
      <c r="D932" s="118"/>
      <c r="E932" s="118"/>
      <c r="F932" s="118"/>
      <c r="G932" s="118"/>
    </row>
    <row r="933" spans="2:7">
      <c r="B933" s="47"/>
      <c r="C933" s="118"/>
      <c r="D933" s="118"/>
      <c r="E933" s="118"/>
      <c r="F933" s="118"/>
      <c r="G933" s="118"/>
    </row>
    <row r="934" spans="2:7">
      <c r="B934" s="47"/>
      <c r="C934" s="118"/>
      <c r="D934" s="118"/>
      <c r="E934" s="118"/>
      <c r="F934" s="118"/>
      <c r="G934" s="118"/>
    </row>
    <row r="935" spans="2:7">
      <c r="B935" s="47"/>
      <c r="C935" s="118"/>
      <c r="D935" s="118"/>
      <c r="E935" s="118"/>
      <c r="F935" s="118"/>
      <c r="G935" s="118"/>
    </row>
    <row r="936" spans="2:7">
      <c r="B936" s="47"/>
      <c r="C936" s="118"/>
      <c r="D936" s="118"/>
      <c r="E936" s="118"/>
      <c r="F936" s="118"/>
      <c r="G936" s="118"/>
    </row>
    <row r="937" spans="2:7">
      <c r="B937" s="47"/>
      <c r="C937" s="118"/>
      <c r="D937" s="118"/>
      <c r="E937" s="118"/>
      <c r="F937" s="118"/>
      <c r="G937" s="118"/>
    </row>
    <row r="938" spans="2:7">
      <c r="B938" s="47"/>
      <c r="C938" s="118"/>
      <c r="D938" s="118"/>
      <c r="E938" s="118"/>
      <c r="F938" s="118"/>
      <c r="G938" s="118"/>
    </row>
    <row r="939" spans="2:7">
      <c r="B939" s="47"/>
      <c r="C939" s="118"/>
      <c r="D939" s="118"/>
      <c r="E939" s="118"/>
      <c r="F939" s="118"/>
      <c r="G939" s="118"/>
    </row>
    <row r="940" spans="2:7">
      <c r="B940" s="47"/>
      <c r="C940" s="118"/>
      <c r="D940" s="118"/>
      <c r="E940" s="118"/>
      <c r="F940" s="118"/>
      <c r="G940" s="118"/>
    </row>
    <row r="941" spans="2:7">
      <c r="B941" s="47"/>
      <c r="C941" s="118"/>
      <c r="D941" s="118"/>
      <c r="E941" s="118"/>
      <c r="F941" s="118"/>
      <c r="G941" s="118"/>
    </row>
    <row r="942" spans="2:7">
      <c r="B942" s="47"/>
      <c r="C942" s="118"/>
      <c r="D942" s="118"/>
      <c r="E942" s="118"/>
      <c r="F942" s="118"/>
      <c r="G942" s="118"/>
    </row>
    <row r="943" spans="2:7">
      <c r="B943" s="47"/>
      <c r="C943" s="118"/>
      <c r="D943" s="118"/>
      <c r="E943" s="118"/>
      <c r="F943" s="118"/>
      <c r="G943" s="118"/>
    </row>
    <row r="944" spans="2:7">
      <c r="B944" s="47"/>
      <c r="C944" s="118"/>
      <c r="D944" s="118"/>
      <c r="E944" s="118"/>
      <c r="F944" s="118"/>
      <c r="G944" s="118"/>
    </row>
    <row r="945" spans="2:7">
      <c r="B945" s="47"/>
      <c r="C945" s="118"/>
      <c r="D945" s="118"/>
      <c r="E945" s="118"/>
      <c r="F945" s="118"/>
      <c r="G945" s="118"/>
    </row>
    <row r="946" spans="2:7">
      <c r="B946" s="47"/>
      <c r="C946" s="118"/>
      <c r="D946" s="118"/>
      <c r="E946" s="118"/>
      <c r="F946" s="118"/>
      <c r="G946" s="118"/>
    </row>
    <row r="947" spans="2:7">
      <c r="B947" s="47"/>
      <c r="C947" s="118"/>
      <c r="D947" s="118"/>
      <c r="E947" s="118"/>
      <c r="F947" s="118"/>
      <c r="G947" s="118"/>
    </row>
    <row r="948" spans="2:7">
      <c r="B948" s="47"/>
      <c r="C948" s="118"/>
      <c r="D948" s="118"/>
      <c r="E948" s="118"/>
      <c r="F948" s="118"/>
      <c r="G948" s="118"/>
    </row>
    <row r="949" spans="2:7">
      <c r="B949" s="47"/>
      <c r="C949" s="118"/>
      <c r="D949" s="118"/>
      <c r="E949" s="118"/>
      <c r="F949" s="118"/>
      <c r="G949" s="118"/>
    </row>
    <row r="950" spans="2:7">
      <c r="B950" s="47"/>
      <c r="C950" s="118"/>
      <c r="D950" s="118"/>
      <c r="E950" s="118"/>
      <c r="F950" s="118"/>
      <c r="G950" s="118"/>
    </row>
    <row r="951" spans="2:7">
      <c r="B951" s="47"/>
      <c r="C951" s="118"/>
      <c r="D951" s="118"/>
      <c r="E951" s="118"/>
      <c r="F951" s="118"/>
      <c r="G951" s="118"/>
    </row>
    <row r="952" spans="2:7">
      <c r="B952" s="47"/>
      <c r="C952" s="118"/>
      <c r="D952" s="118"/>
      <c r="E952" s="118"/>
      <c r="F952" s="118"/>
      <c r="G952" s="118"/>
    </row>
    <row r="953" spans="2:7">
      <c r="B953" s="47"/>
      <c r="C953" s="118"/>
      <c r="D953" s="118"/>
      <c r="E953" s="118"/>
      <c r="F953" s="118"/>
      <c r="G953" s="118"/>
    </row>
    <row r="954" spans="2:7">
      <c r="B954" s="47"/>
      <c r="C954" s="118"/>
      <c r="D954" s="118"/>
      <c r="E954" s="118"/>
      <c r="F954" s="118"/>
      <c r="G954" s="118"/>
    </row>
    <row r="955" spans="2:7">
      <c r="B955" s="47"/>
      <c r="C955" s="118"/>
      <c r="D955" s="118"/>
      <c r="E955" s="118"/>
      <c r="F955" s="118"/>
      <c r="G955" s="118"/>
    </row>
    <row r="956" spans="2:7">
      <c r="B956" s="47"/>
      <c r="C956" s="118"/>
      <c r="D956" s="118"/>
      <c r="E956" s="118"/>
      <c r="F956" s="118"/>
      <c r="G956" s="118"/>
    </row>
    <row r="957" spans="2:7">
      <c r="B957" s="47"/>
      <c r="C957" s="118"/>
      <c r="D957" s="118"/>
      <c r="E957" s="118"/>
      <c r="F957" s="118"/>
      <c r="G957" s="118"/>
    </row>
    <row r="958" spans="2:7">
      <c r="B958" s="47"/>
      <c r="C958" s="118"/>
      <c r="D958" s="118"/>
      <c r="E958" s="118"/>
      <c r="F958" s="118"/>
      <c r="G958" s="118"/>
    </row>
    <row r="959" spans="2:7">
      <c r="B959" s="47"/>
      <c r="C959" s="118"/>
      <c r="D959" s="118"/>
      <c r="E959" s="118"/>
      <c r="F959" s="118"/>
      <c r="G959" s="118"/>
    </row>
    <row r="960" spans="2:7">
      <c r="B960" s="47"/>
      <c r="C960" s="118"/>
      <c r="D960" s="118"/>
      <c r="E960" s="118"/>
      <c r="F960" s="118"/>
      <c r="G960" s="118"/>
    </row>
    <row r="961" spans="2:7">
      <c r="B961" s="47"/>
      <c r="C961" s="118"/>
      <c r="D961" s="118"/>
      <c r="E961" s="118"/>
      <c r="F961" s="118"/>
      <c r="G961" s="118"/>
    </row>
    <row r="962" spans="2:7">
      <c r="B962" s="47"/>
      <c r="C962" s="118"/>
      <c r="D962" s="118"/>
      <c r="E962" s="118"/>
      <c r="F962" s="118"/>
      <c r="G962" s="118"/>
    </row>
    <row r="963" spans="2:7">
      <c r="B963" s="47"/>
      <c r="C963" s="118"/>
      <c r="D963" s="118"/>
      <c r="E963" s="118"/>
      <c r="F963" s="118"/>
      <c r="G963" s="118"/>
    </row>
    <row r="964" spans="2:7">
      <c r="B964" s="47"/>
      <c r="C964" s="118"/>
      <c r="D964" s="118"/>
      <c r="E964" s="118"/>
      <c r="F964" s="118"/>
      <c r="G964" s="118"/>
    </row>
    <row r="965" spans="2:7">
      <c r="B965" s="47"/>
      <c r="C965" s="118"/>
      <c r="D965" s="118"/>
      <c r="E965" s="118"/>
      <c r="F965" s="118"/>
      <c r="G965" s="118"/>
    </row>
    <row r="966" spans="2:7">
      <c r="B966" s="47"/>
      <c r="C966" s="118"/>
      <c r="D966" s="118"/>
      <c r="E966" s="118"/>
      <c r="F966" s="118"/>
      <c r="G966" s="118"/>
    </row>
    <row r="967" spans="2:7">
      <c r="B967" s="47"/>
      <c r="C967" s="118"/>
      <c r="D967" s="118"/>
      <c r="E967" s="118"/>
      <c r="F967" s="118"/>
      <c r="G967" s="118"/>
    </row>
    <row r="968" spans="2:7">
      <c r="B968" s="47"/>
      <c r="C968" s="118"/>
      <c r="D968" s="118"/>
      <c r="E968" s="118"/>
      <c r="F968" s="118"/>
      <c r="G968" s="118"/>
    </row>
    <row r="969" spans="2:7">
      <c r="B969" s="47"/>
      <c r="C969" s="118"/>
      <c r="D969" s="118"/>
      <c r="E969" s="118"/>
      <c r="F969" s="118"/>
      <c r="G969" s="118"/>
    </row>
    <row r="970" spans="2:7">
      <c r="B970" s="47"/>
      <c r="C970" s="118"/>
      <c r="D970" s="118"/>
      <c r="E970" s="118"/>
      <c r="F970" s="118"/>
      <c r="G970" s="118"/>
    </row>
    <row r="971" spans="2:7">
      <c r="B971" s="47"/>
      <c r="C971" s="118"/>
      <c r="D971" s="118"/>
      <c r="E971" s="118"/>
      <c r="F971" s="118"/>
      <c r="G971" s="118"/>
    </row>
    <row r="972" spans="2:7">
      <c r="B972" s="47"/>
      <c r="C972" s="118"/>
      <c r="D972" s="118"/>
      <c r="E972" s="118"/>
      <c r="F972" s="118"/>
      <c r="G972" s="118"/>
    </row>
    <row r="973" spans="2:7">
      <c r="B973" s="47"/>
      <c r="C973" s="118"/>
      <c r="D973" s="118"/>
      <c r="E973" s="118"/>
      <c r="F973" s="118"/>
      <c r="G973" s="118"/>
    </row>
    <row r="974" spans="2:7">
      <c r="B974" s="47"/>
      <c r="C974" s="118"/>
      <c r="D974" s="118"/>
      <c r="E974" s="118"/>
      <c r="F974" s="118"/>
      <c r="G974" s="118"/>
    </row>
    <row r="975" spans="2:7">
      <c r="B975" s="47"/>
      <c r="C975" s="118"/>
      <c r="D975" s="118"/>
      <c r="E975" s="118"/>
      <c r="F975" s="118"/>
      <c r="G975" s="118"/>
    </row>
    <row r="976" spans="2:7">
      <c r="B976" s="47"/>
      <c r="C976" s="118"/>
      <c r="D976" s="118"/>
      <c r="E976" s="118"/>
      <c r="F976" s="118"/>
      <c r="G976" s="118"/>
    </row>
    <row r="977" spans="2:7">
      <c r="B977" s="47"/>
      <c r="C977" s="118"/>
      <c r="D977" s="118"/>
      <c r="E977" s="118"/>
      <c r="F977" s="118"/>
      <c r="G977" s="118"/>
    </row>
    <row r="978" spans="2:7">
      <c r="B978" s="47"/>
      <c r="C978" s="118"/>
      <c r="D978" s="118"/>
      <c r="E978" s="118"/>
      <c r="F978" s="118"/>
      <c r="G978" s="118"/>
    </row>
    <row r="979" spans="2:7">
      <c r="B979" s="47"/>
      <c r="C979" s="118"/>
      <c r="D979" s="118"/>
      <c r="E979" s="118"/>
      <c r="F979" s="118"/>
      <c r="G979" s="118"/>
    </row>
    <row r="980" spans="2:7">
      <c r="B980" s="47"/>
      <c r="C980" s="118"/>
      <c r="D980" s="118"/>
      <c r="E980" s="118"/>
      <c r="F980" s="118"/>
      <c r="G980" s="118"/>
    </row>
    <row r="981" spans="2:7">
      <c r="B981" s="47"/>
      <c r="C981" s="118"/>
      <c r="D981" s="118"/>
      <c r="E981" s="118"/>
      <c r="F981" s="118"/>
      <c r="G981" s="118"/>
    </row>
    <row r="982" spans="2:7">
      <c r="B982" s="47"/>
      <c r="C982" s="118"/>
      <c r="D982" s="118"/>
      <c r="E982" s="118"/>
      <c r="F982" s="118"/>
      <c r="G982" s="118"/>
    </row>
    <row r="983" spans="2:7">
      <c r="B983" s="47"/>
      <c r="C983" s="118"/>
      <c r="D983" s="118"/>
      <c r="E983" s="118"/>
      <c r="F983" s="118"/>
      <c r="G983" s="118"/>
    </row>
    <row r="984" spans="2:7">
      <c r="B984" s="47"/>
      <c r="C984" s="118"/>
      <c r="D984" s="118"/>
      <c r="E984" s="118"/>
      <c r="F984" s="118"/>
      <c r="G984" s="118"/>
    </row>
    <row r="985" spans="2:7">
      <c r="B985" s="47"/>
      <c r="C985" s="118"/>
      <c r="D985" s="118"/>
      <c r="E985" s="118"/>
      <c r="F985" s="118"/>
      <c r="G985" s="118"/>
    </row>
    <row r="986" spans="2:7">
      <c r="B986" s="47"/>
      <c r="C986" s="118"/>
      <c r="D986" s="118"/>
      <c r="E986" s="118"/>
      <c r="F986" s="118"/>
      <c r="G986" s="118"/>
    </row>
    <row r="987" spans="2:7">
      <c r="B987" s="47"/>
      <c r="C987" s="118"/>
      <c r="D987" s="118"/>
      <c r="E987" s="118"/>
      <c r="F987" s="118"/>
      <c r="G987" s="118"/>
    </row>
    <row r="988" spans="2:7">
      <c r="B988" s="47"/>
      <c r="C988" s="118"/>
      <c r="D988" s="118"/>
      <c r="E988" s="118"/>
      <c r="F988" s="118"/>
      <c r="G988" s="118"/>
    </row>
    <row r="989" spans="2:7">
      <c r="B989" s="47"/>
      <c r="C989" s="118"/>
      <c r="D989" s="118"/>
      <c r="E989" s="118"/>
      <c r="F989" s="118"/>
      <c r="G989" s="118"/>
    </row>
    <row r="990" spans="2:7">
      <c r="B990" s="47"/>
      <c r="C990" s="118"/>
      <c r="D990" s="118"/>
      <c r="E990" s="118"/>
      <c r="F990" s="118"/>
      <c r="G990" s="118"/>
    </row>
    <row r="991" spans="2:7">
      <c r="B991" s="47"/>
      <c r="C991" s="118"/>
      <c r="D991" s="118"/>
      <c r="E991" s="118"/>
      <c r="F991" s="118"/>
      <c r="G991" s="118"/>
    </row>
    <row r="992" spans="2:7">
      <c r="B992" s="47"/>
      <c r="C992" s="118"/>
      <c r="D992" s="118"/>
      <c r="E992" s="118"/>
      <c r="F992" s="118"/>
      <c r="G992" s="118"/>
    </row>
    <row r="993" spans="2:7">
      <c r="B993" s="47"/>
      <c r="C993" s="118"/>
      <c r="D993" s="118"/>
      <c r="E993" s="118"/>
      <c r="F993" s="118"/>
      <c r="G993" s="118"/>
    </row>
    <row r="994" spans="2:7">
      <c r="B994" s="47"/>
      <c r="C994" s="118"/>
      <c r="D994" s="118"/>
      <c r="E994" s="118"/>
      <c r="F994" s="118"/>
      <c r="G994" s="118"/>
    </row>
    <row r="995" spans="2:7">
      <c r="B995" s="47"/>
      <c r="C995" s="118"/>
      <c r="D995" s="118"/>
      <c r="E995" s="118"/>
      <c r="F995" s="118"/>
      <c r="G995" s="118"/>
    </row>
    <row r="996" spans="2:7">
      <c r="B996" s="47"/>
      <c r="C996" s="118"/>
      <c r="D996" s="118"/>
      <c r="E996" s="118"/>
      <c r="F996" s="118"/>
      <c r="G996" s="118"/>
    </row>
    <row r="997" spans="2:7">
      <c r="B997" s="47"/>
      <c r="C997" s="118"/>
      <c r="D997" s="118"/>
      <c r="E997" s="118"/>
      <c r="F997" s="118"/>
      <c r="G997" s="118"/>
    </row>
    <row r="998" spans="2:7">
      <c r="B998" s="47"/>
      <c r="C998" s="118"/>
      <c r="D998" s="118"/>
      <c r="E998" s="118"/>
      <c r="F998" s="118"/>
      <c r="G998" s="118"/>
    </row>
    <row r="999" spans="2:7">
      <c r="B999" s="47"/>
      <c r="C999" s="118"/>
      <c r="D999" s="118"/>
      <c r="E999" s="118"/>
      <c r="F999" s="118"/>
      <c r="G999" s="118"/>
    </row>
    <row r="1000" spans="2:7">
      <c r="B1000" s="47"/>
      <c r="C1000" s="118"/>
      <c r="D1000" s="118"/>
      <c r="E1000" s="118"/>
      <c r="F1000" s="118"/>
      <c r="G1000" s="118"/>
    </row>
    <row r="1001" spans="2:7">
      <c r="B1001" s="47"/>
      <c r="C1001" s="118"/>
      <c r="D1001" s="118"/>
      <c r="E1001" s="118"/>
      <c r="F1001" s="118"/>
      <c r="G1001" s="118"/>
    </row>
    <row r="1002" spans="2:7">
      <c r="B1002" s="47"/>
      <c r="C1002" s="118"/>
      <c r="D1002" s="118"/>
      <c r="E1002" s="118"/>
      <c r="F1002" s="118"/>
      <c r="G1002" s="118"/>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47" t="s">
        <v>274</v>
      </c>
      <c r="C1" s="141"/>
      <c r="D1" s="147"/>
      <c r="E1" s="118"/>
      <c r="F1" s="118"/>
    </row>
    <row r="2" spans="1:6">
      <c r="A2" s="118" t="s">
        <v>249</v>
      </c>
      <c r="B2" s="47"/>
      <c r="C2" s="118" t="s">
        <v>273</v>
      </c>
      <c r="D2" s="118"/>
      <c r="E2" s="118"/>
      <c r="F2" s="118"/>
    </row>
    <row r="3" spans="1:6">
      <c r="A3" s="118" t="s">
        <v>252</v>
      </c>
      <c r="B3" s="144" t="s">
        <v>5</v>
      </c>
      <c r="C3" s="144" t="s">
        <v>275</v>
      </c>
      <c r="D3" s="144" t="s">
        <v>276</v>
      </c>
      <c r="E3" s="144"/>
      <c r="F3" s="144"/>
    </row>
    <row r="4" spans="1:6" ht="25.5">
      <c r="B4" s="148" t="s">
        <v>16</v>
      </c>
      <c r="C4" s="639" t="s">
        <v>277</v>
      </c>
      <c r="D4" s="639" t="s">
        <v>278</v>
      </c>
      <c r="E4" s="150"/>
    </row>
    <row r="5" spans="1:6" ht="25.5">
      <c r="B5" s="148" t="s">
        <v>27</v>
      </c>
      <c r="C5" s="470" t="s">
        <v>279</v>
      </c>
      <c r="D5" s="470" t="s">
        <v>280</v>
      </c>
      <c r="E5" s="144"/>
      <c r="F5" s="144"/>
    </row>
    <row r="6" spans="1:6">
      <c r="B6" s="149">
        <v>1</v>
      </c>
      <c r="C6" s="637" t="s">
        <v>218</v>
      </c>
      <c r="D6" s="637"/>
      <c r="E6" s="149">
        <v>1</v>
      </c>
    </row>
    <row r="7" spans="1:6">
      <c r="B7" s="149">
        <v>2</v>
      </c>
      <c r="C7" s="637"/>
      <c r="D7" s="637" t="s">
        <v>281</v>
      </c>
      <c r="E7" s="149">
        <v>2</v>
      </c>
      <c r="F7" s="144"/>
    </row>
    <row r="8" spans="1:6">
      <c r="B8" s="149">
        <v>3</v>
      </c>
      <c r="D8" s="637"/>
      <c r="E8" s="149">
        <v>3</v>
      </c>
    </row>
    <row r="9" spans="1:6">
      <c r="B9" s="149">
        <v>4</v>
      </c>
      <c r="C9" s="637"/>
      <c r="D9" s="637" t="s">
        <v>282</v>
      </c>
      <c r="E9" s="149">
        <v>4</v>
      </c>
      <c r="F9" s="144"/>
    </row>
    <row r="10" spans="1:6">
      <c r="B10" s="149">
        <v>5</v>
      </c>
      <c r="C10" s="820"/>
      <c r="D10" s="641"/>
      <c r="E10" s="149">
        <v>5</v>
      </c>
    </row>
    <row r="11" spans="1:6" ht="63.75">
      <c r="B11" s="149">
        <v>6</v>
      </c>
      <c r="C11" s="817" t="s">
        <v>283</v>
      </c>
      <c r="D11" s="637" t="s">
        <v>284</v>
      </c>
      <c r="E11" s="149">
        <v>6</v>
      </c>
      <c r="F11" s="144"/>
    </row>
    <row r="12" spans="1:6">
      <c r="B12" s="149">
        <v>7</v>
      </c>
      <c r="C12" s="820"/>
      <c r="D12" s="642"/>
      <c r="E12" s="149">
        <v>7</v>
      </c>
    </row>
    <row r="13" spans="1:6" ht="51">
      <c r="B13" s="149">
        <v>8</v>
      </c>
      <c r="C13" s="637" t="s">
        <v>285</v>
      </c>
      <c r="D13" s="637" t="s">
        <v>286</v>
      </c>
      <c r="E13" s="149">
        <v>8</v>
      </c>
      <c r="F13" s="144"/>
    </row>
    <row r="14" spans="1:6">
      <c r="B14" s="149">
        <v>9</v>
      </c>
      <c r="C14" s="637"/>
      <c r="D14" s="637"/>
      <c r="E14" s="149">
        <v>9</v>
      </c>
    </row>
    <row r="15" spans="1:6" ht="38.25">
      <c r="B15" s="149">
        <v>10</v>
      </c>
      <c r="C15" s="637" t="s">
        <v>287</v>
      </c>
      <c r="D15" s="637" t="s">
        <v>288</v>
      </c>
      <c r="E15" s="149">
        <v>10</v>
      </c>
      <c r="F15" s="144"/>
    </row>
    <row r="16" spans="1:6">
      <c r="B16" s="47"/>
      <c r="C16" s="118"/>
      <c r="D16" s="118"/>
      <c r="E16" s="150"/>
    </row>
    <row r="17" spans="2:12" ht="38.25">
      <c r="B17" s="47" t="s">
        <v>289</v>
      </c>
      <c r="C17" s="640" t="s">
        <v>272</v>
      </c>
      <c r="D17" s="118"/>
      <c r="E17" s="144"/>
      <c r="F17" s="144"/>
    </row>
    <row r="18" spans="2:12">
      <c r="B18" s="47"/>
      <c r="C18" s="118"/>
      <c r="D18" s="118"/>
      <c r="E18" s="150"/>
    </row>
    <row r="19" spans="2:12">
      <c r="B19" s="47"/>
      <c r="C19" s="118"/>
      <c r="D19" s="118"/>
      <c r="E19" s="118"/>
      <c r="F19" s="118"/>
    </row>
    <row r="20" spans="2:12">
      <c r="B20" s="47"/>
      <c r="C20" s="118"/>
      <c r="D20" s="118"/>
      <c r="E20" s="118"/>
      <c r="F20" s="118"/>
    </row>
    <row r="21" spans="2:12">
      <c r="B21" s="47"/>
      <c r="C21" s="118"/>
      <c r="D21" s="118"/>
      <c r="E21" s="118"/>
      <c r="F21" s="118"/>
    </row>
    <row r="22" spans="2:12">
      <c r="B22" s="47"/>
      <c r="C22" s="118"/>
      <c r="D22" s="118"/>
      <c r="E22" s="118"/>
      <c r="F22" s="118"/>
    </row>
    <row r="23" spans="2:12">
      <c r="B23" s="119" t="s">
        <v>70</v>
      </c>
      <c r="C23" s="118" t="str">
        <f>C6</f>
        <v>Guesstimated</v>
      </c>
      <c r="D23" s="118" t="str">
        <f>D7</f>
        <v>Not tracked</v>
      </c>
      <c r="E23" s="118"/>
      <c r="F23" s="118"/>
    </row>
    <row r="24" spans="2:12">
      <c r="B24" s="119"/>
      <c r="C24" s="118" t="str">
        <f>C11</f>
        <v>Estimation for custom volume extrapolated from observed instances of unauthorized consumption (that were not back-billed)</v>
      </c>
      <c r="D24" s="118" t="str">
        <f>D9</f>
        <v>Some discovered events recorded, others are not</v>
      </c>
      <c r="E24" s="118"/>
      <c r="F24" s="118"/>
    </row>
    <row r="25" spans="2:12">
      <c r="B25" s="119"/>
      <c r="C25" s="118" t="str">
        <f>C13</f>
        <v>Estimation for custom volume extrapolated from study, sampling a portion of the system</v>
      </c>
      <c r="D25" s="118" t="str">
        <f>D11</f>
        <v>All discovered events are recorded</v>
      </c>
      <c r="E25" s="118"/>
      <c r="F25" s="118"/>
    </row>
    <row r="26" spans="2:12">
      <c r="B26" s="119"/>
      <c r="C26" s="118" t="str">
        <f>C15</f>
        <v>Estimation for custom volume derived from system-wide study</v>
      </c>
      <c r="D26" s="118" t="str">
        <f>D13</f>
        <v>Limited investigation performed and documented for unauthorized consumption, beyond reactively discovered events</v>
      </c>
      <c r="F26" s="118"/>
      <c r="J26" s="118"/>
      <c r="L26" s="118"/>
    </row>
    <row r="27" spans="2:12">
      <c r="B27" s="119"/>
      <c r="C27" s="118"/>
      <c r="D27" s="118" t="str">
        <f>D15</f>
        <v>System-wide investigation performed and documented for unauthorized consumption, beyond reactively discovered events</v>
      </c>
      <c r="F27" s="118"/>
      <c r="L27" s="118"/>
    </row>
    <row r="28" spans="2:12">
      <c r="B28" s="119"/>
      <c r="C28" s="118"/>
      <c r="D28" s="118"/>
      <c r="E28" s="118"/>
      <c r="F28" s="118"/>
    </row>
    <row r="29" spans="2:12">
      <c r="B29" s="119"/>
      <c r="C29" s="118"/>
      <c r="D29" s="118"/>
      <c r="E29" s="118"/>
      <c r="F29" s="118"/>
    </row>
    <row r="30" spans="2:12">
      <c r="B30" s="121"/>
      <c r="C30" s="118"/>
      <c r="D30" s="118"/>
      <c r="E30" s="118"/>
      <c r="F30" s="118"/>
    </row>
    <row r="31" spans="2:12">
      <c r="B31" s="121"/>
      <c r="C31" s="118"/>
      <c r="D31" s="118"/>
      <c r="E31" s="118"/>
      <c r="F31" s="118"/>
    </row>
    <row r="32" spans="2:12">
      <c r="B32" s="119"/>
      <c r="C32" s="118"/>
      <c r="D32" s="118"/>
      <c r="E32" s="118"/>
      <c r="F32" s="118"/>
    </row>
    <row r="33" spans="2:6">
      <c r="B33" s="119" t="s">
        <v>71</v>
      </c>
      <c r="C33" s="118"/>
      <c r="D33" s="118"/>
      <c r="E33" s="118"/>
      <c r="F33" s="118"/>
    </row>
    <row r="34" spans="2:6">
      <c r="B34" s="136" t="s">
        <v>273</v>
      </c>
      <c r="C34" s="118"/>
      <c r="D34" s="118"/>
      <c r="E34" s="118"/>
      <c r="F34" s="118"/>
    </row>
    <row r="35" spans="2:6">
      <c r="B35" s="136" t="s">
        <v>279</v>
      </c>
      <c r="C35" s="118"/>
      <c r="D35" s="118"/>
      <c r="E35" s="118"/>
      <c r="F35" s="118"/>
    </row>
    <row r="36" spans="2:6">
      <c r="B36" s="136" t="s">
        <v>280</v>
      </c>
      <c r="C36" s="118"/>
      <c r="D36" s="118"/>
      <c r="E36" s="118"/>
      <c r="F36" s="118"/>
    </row>
    <row r="37" spans="2:6">
      <c r="B37" s="136"/>
      <c r="C37" s="118"/>
      <c r="D37" s="118"/>
      <c r="E37" s="118"/>
      <c r="F37" s="118"/>
    </row>
    <row r="38" spans="2:6">
      <c r="B38" s="136"/>
      <c r="C38" s="118"/>
      <c r="D38" s="118"/>
      <c r="E38" s="118"/>
      <c r="F38" s="118"/>
    </row>
    <row r="39" spans="2:6">
      <c r="B39" s="136"/>
      <c r="C39" s="118"/>
      <c r="D39" s="118"/>
      <c r="E39" s="118"/>
      <c r="F39" s="118"/>
    </row>
    <row r="40" spans="2:6">
      <c r="B40" s="136"/>
      <c r="C40" s="118"/>
      <c r="D40" s="118"/>
      <c r="E40" s="118"/>
      <c r="F40" s="118"/>
    </row>
    <row r="41" spans="2:6">
      <c r="B41" s="136"/>
      <c r="C41" s="118"/>
      <c r="D41" s="118"/>
      <c r="E41" s="118"/>
      <c r="F41" s="118"/>
    </row>
    <row r="42" spans="2:6">
      <c r="B42" s="136"/>
      <c r="C42" s="118"/>
      <c r="D42" s="118"/>
      <c r="E42" s="118"/>
      <c r="F42" s="118"/>
    </row>
    <row r="43" spans="2:6">
      <c r="B43" s="47"/>
      <c r="C43" s="118"/>
      <c r="D43" s="118"/>
      <c r="E43" s="118"/>
      <c r="F43" s="118"/>
    </row>
    <row r="44" spans="2:6">
      <c r="B44" s="47"/>
      <c r="C44" s="118"/>
      <c r="D44" s="118"/>
      <c r="E44" s="118"/>
      <c r="F44" s="118"/>
    </row>
    <row r="45" spans="2:6">
      <c r="B45" s="47"/>
      <c r="C45" s="118"/>
      <c r="D45" s="118"/>
      <c r="E45" s="118"/>
      <c r="F45" s="118"/>
    </row>
    <row r="46" spans="2:6">
      <c r="B46" s="47"/>
      <c r="C46" s="118"/>
      <c r="D46" s="118"/>
      <c r="E46" s="118"/>
      <c r="F46" s="118"/>
    </row>
    <row r="47" spans="2:6">
      <c r="B47" s="47"/>
      <c r="C47" s="118"/>
      <c r="D47" s="118"/>
      <c r="E47" s="118"/>
      <c r="F47" s="118"/>
    </row>
    <row r="48" spans="2:6">
      <c r="B48" s="47"/>
      <c r="C48" s="118"/>
      <c r="D48" s="118"/>
      <c r="E48" s="118"/>
      <c r="F48" s="118"/>
    </row>
    <row r="49" spans="2:6">
      <c r="B49" s="47"/>
      <c r="C49" s="118"/>
      <c r="D49" s="118"/>
      <c r="E49" s="118"/>
      <c r="F49" s="118"/>
    </row>
    <row r="50" spans="2:6">
      <c r="B50" s="47"/>
      <c r="C50" s="118"/>
      <c r="D50" s="118"/>
      <c r="E50" s="118"/>
      <c r="F50" s="118"/>
    </row>
    <row r="51" spans="2:6">
      <c r="B51" s="47"/>
      <c r="C51" s="118"/>
      <c r="D51" s="118"/>
      <c r="E51" s="118"/>
      <c r="F51" s="118"/>
    </row>
    <row r="52" spans="2:6">
      <c r="B52" s="47"/>
      <c r="C52" s="118"/>
      <c r="D52" s="118"/>
      <c r="E52" s="118"/>
      <c r="F52" s="118"/>
    </row>
    <row r="53" spans="2:6">
      <c r="B53" s="47"/>
      <c r="C53" s="118"/>
      <c r="D53" s="118"/>
      <c r="E53" s="118"/>
      <c r="F53" s="118"/>
    </row>
    <row r="54" spans="2:6">
      <c r="B54" s="47"/>
      <c r="C54" s="118"/>
      <c r="D54" s="118"/>
      <c r="E54" s="118"/>
      <c r="F54" s="118"/>
    </row>
    <row r="55" spans="2:6">
      <c r="B55" s="47"/>
      <c r="C55" s="118"/>
      <c r="D55" s="118"/>
      <c r="E55" s="118"/>
      <c r="F55" s="118"/>
    </row>
    <row r="56" spans="2:6">
      <c r="B56" s="47"/>
      <c r="C56" s="118"/>
      <c r="D56" s="118"/>
      <c r="E56" s="118"/>
      <c r="F56" s="118"/>
    </row>
    <row r="57" spans="2:6">
      <c r="B57" s="47"/>
      <c r="C57" s="118"/>
      <c r="D57" s="118"/>
      <c r="E57" s="118"/>
      <c r="F57" s="118"/>
    </row>
    <row r="58" spans="2:6">
      <c r="B58" s="47"/>
      <c r="C58" s="118"/>
      <c r="D58" s="118"/>
      <c r="E58" s="118"/>
      <c r="F58" s="118"/>
    </row>
    <row r="59" spans="2:6">
      <c r="B59" s="47"/>
      <c r="C59" s="118"/>
      <c r="D59" s="118"/>
      <c r="E59" s="118"/>
      <c r="F59" s="118"/>
    </row>
    <row r="60" spans="2:6">
      <c r="B60" s="47"/>
      <c r="C60" s="118"/>
      <c r="D60" s="118"/>
      <c r="E60" s="118"/>
      <c r="F60" s="118"/>
    </row>
    <row r="61" spans="2:6">
      <c r="B61" s="47"/>
      <c r="C61" s="118"/>
      <c r="D61" s="118"/>
      <c r="E61" s="118"/>
      <c r="F61" s="118"/>
    </row>
    <row r="62" spans="2:6">
      <c r="B62" s="47"/>
      <c r="C62" s="118"/>
      <c r="D62" s="118"/>
      <c r="E62" s="118"/>
      <c r="F62" s="118"/>
    </row>
    <row r="63" spans="2:6">
      <c r="B63" s="47"/>
      <c r="C63" s="118"/>
      <c r="D63" s="118"/>
      <c r="E63" s="118"/>
      <c r="F63" s="118"/>
    </row>
    <row r="64" spans="2:6">
      <c r="B64" s="47"/>
      <c r="C64" s="118"/>
      <c r="D64" s="118"/>
      <c r="E64" s="118"/>
      <c r="F64" s="118"/>
    </row>
    <row r="65" spans="2:6">
      <c r="B65" s="47"/>
      <c r="C65" s="118"/>
      <c r="D65" s="118"/>
      <c r="E65" s="118"/>
      <c r="F65" s="118"/>
    </row>
    <row r="66" spans="2:6">
      <c r="B66" s="47"/>
      <c r="C66" s="118"/>
      <c r="D66" s="118"/>
      <c r="E66" s="118"/>
      <c r="F66" s="118"/>
    </row>
    <row r="67" spans="2:6">
      <c r="B67" s="47"/>
      <c r="C67" s="118"/>
      <c r="D67" s="118"/>
      <c r="E67" s="118"/>
      <c r="F67" s="118"/>
    </row>
    <row r="68" spans="2:6">
      <c r="B68" s="47"/>
      <c r="C68" s="118"/>
      <c r="D68" s="118"/>
      <c r="E68" s="118"/>
      <c r="F68" s="118"/>
    </row>
    <row r="69" spans="2:6">
      <c r="B69" s="47"/>
      <c r="C69" s="118"/>
      <c r="D69" s="118"/>
      <c r="E69" s="118"/>
      <c r="F69" s="118"/>
    </row>
    <row r="70" spans="2:6">
      <c r="B70" s="47"/>
      <c r="C70" s="118"/>
      <c r="D70" s="118"/>
      <c r="E70" s="118"/>
      <c r="F70" s="118"/>
    </row>
    <row r="71" spans="2:6">
      <c r="B71" s="47"/>
      <c r="C71" s="118"/>
      <c r="D71" s="118"/>
      <c r="E71" s="118"/>
      <c r="F71" s="118"/>
    </row>
    <row r="72" spans="2:6">
      <c r="B72" s="47"/>
      <c r="C72" s="118"/>
      <c r="D72" s="118"/>
      <c r="E72" s="118"/>
      <c r="F72" s="118"/>
    </row>
    <row r="73" spans="2:6">
      <c r="B73" s="47"/>
      <c r="C73" s="118"/>
      <c r="D73" s="118"/>
      <c r="E73" s="118"/>
      <c r="F73" s="118"/>
    </row>
    <row r="74" spans="2:6">
      <c r="B74" s="47"/>
      <c r="C74" s="118"/>
      <c r="D74" s="118"/>
      <c r="E74" s="118"/>
      <c r="F74" s="118"/>
    </row>
    <row r="75" spans="2:6">
      <c r="B75" s="47"/>
      <c r="C75" s="118"/>
      <c r="D75" s="118"/>
      <c r="E75" s="118"/>
      <c r="F75" s="118"/>
    </row>
    <row r="76" spans="2:6">
      <c r="B76" s="47"/>
      <c r="C76" s="118"/>
      <c r="D76" s="118"/>
      <c r="E76" s="118"/>
      <c r="F76" s="118"/>
    </row>
    <row r="77" spans="2:6">
      <c r="B77" s="47"/>
      <c r="C77" s="118"/>
      <c r="D77" s="118"/>
      <c r="E77" s="118"/>
      <c r="F77" s="118"/>
    </row>
    <row r="78" spans="2:6">
      <c r="B78" s="47"/>
      <c r="C78" s="118"/>
      <c r="D78" s="118"/>
      <c r="E78" s="118"/>
      <c r="F78" s="118"/>
    </row>
    <row r="79" spans="2:6">
      <c r="B79" s="47"/>
      <c r="C79" s="118"/>
      <c r="D79" s="118"/>
      <c r="E79" s="118"/>
      <c r="F79" s="118"/>
    </row>
    <row r="80" spans="2:6">
      <c r="B80" s="47"/>
      <c r="C80" s="118"/>
      <c r="D80" s="118"/>
      <c r="E80" s="118"/>
      <c r="F80" s="118"/>
    </row>
    <row r="81" spans="2:6">
      <c r="B81" s="47"/>
      <c r="C81" s="118"/>
      <c r="D81" s="118"/>
      <c r="E81" s="118"/>
      <c r="F81" s="118"/>
    </row>
    <row r="82" spans="2:6">
      <c r="B82" s="47"/>
      <c r="C82" s="118"/>
      <c r="D82" s="118"/>
      <c r="E82" s="118"/>
      <c r="F82" s="118"/>
    </row>
    <row r="83" spans="2:6">
      <c r="B83" s="47"/>
      <c r="C83" s="118"/>
      <c r="D83" s="118"/>
      <c r="E83" s="118"/>
      <c r="F83" s="118"/>
    </row>
    <row r="84" spans="2:6">
      <c r="B84" s="47"/>
      <c r="C84" s="118"/>
      <c r="D84" s="118"/>
      <c r="E84" s="118"/>
      <c r="F84" s="118"/>
    </row>
    <row r="85" spans="2:6">
      <c r="B85" s="47"/>
      <c r="C85" s="118"/>
      <c r="D85" s="118"/>
      <c r="E85" s="118"/>
      <c r="F85" s="118"/>
    </row>
    <row r="86" spans="2:6">
      <c r="B86" s="47"/>
      <c r="C86" s="118"/>
      <c r="D86" s="118"/>
      <c r="E86" s="118"/>
      <c r="F86" s="118"/>
    </row>
    <row r="87" spans="2:6">
      <c r="B87" s="47"/>
      <c r="C87" s="118"/>
      <c r="D87" s="118"/>
      <c r="E87" s="118"/>
      <c r="F87" s="118"/>
    </row>
    <row r="88" spans="2:6">
      <c r="B88" s="47"/>
      <c r="C88" s="118"/>
      <c r="D88" s="118"/>
      <c r="E88" s="118"/>
      <c r="F88" s="118"/>
    </row>
    <row r="89" spans="2:6">
      <c r="B89" s="47"/>
      <c r="C89" s="118"/>
      <c r="D89" s="118"/>
      <c r="E89" s="118"/>
      <c r="F89" s="118"/>
    </row>
    <row r="90" spans="2:6">
      <c r="B90" s="47"/>
      <c r="C90" s="118"/>
      <c r="D90" s="118"/>
      <c r="E90" s="118"/>
      <c r="F90" s="118"/>
    </row>
    <row r="91" spans="2:6">
      <c r="B91" s="47"/>
      <c r="C91" s="118"/>
      <c r="D91" s="118"/>
      <c r="E91" s="118"/>
      <c r="F91" s="118"/>
    </row>
    <row r="92" spans="2:6">
      <c r="B92" s="47"/>
      <c r="C92" s="118"/>
      <c r="D92" s="118"/>
      <c r="E92" s="118"/>
      <c r="F92" s="118"/>
    </row>
    <row r="93" spans="2:6">
      <c r="B93" s="47"/>
      <c r="C93" s="118"/>
      <c r="D93" s="118"/>
      <c r="E93" s="118"/>
      <c r="F93" s="118"/>
    </row>
    <row r="94" spans="2:6">
      <c r="B94" s="47"/>
      <c r="C94" s="118"/>
      <c r="D94" s="118"/>
      <c r="E94" s="118"/>
      <c r="F94" s="118"/>
    </row>
    <row r="95" spans="2:6">
      <c r="B95" s="47"/>
      <c r="C95" s="118"/>
      <c r="D95" s="118"/>
      <c r="E95" s="118"/>
      <c r="F95" s="118"/>
    </row>
    <row r="96" spans="2:6">
      <c r="B96" s="47"/>
      <c r="C96" s="118"/>
      <c r="D96" s="118"/>
      <c r="E96" s="118"/>
      <c r="F96" s="118"/>
    </row>
    <row r="97" spans="2:6">
      <c r="B97" s="47"/>
      <c r="C97" s="118"/>
      <c r="D97" s="118"/>
      <c r="E97" s="118"/>
      <c r="F97" s="118"/>
    </row>
    <row r="98" spans="2:6">
      <c r="B98" s="47"/>
      <c r="C98" s="118"/>
      <c r="D98" s="118"/>
      <c r="E98" s="118"/>
      <c r="F98" s="118"/>
    </row>
    <row r="99" spans="2:6">
      <c r="B99" s="47"/>
      <c r="C99" s="118"/>
      <c r="D99" s="118"/>
      <c r="E99" s="118"/>
      <c r="F99" s="118"/>
    </row>
    <row r="100" spans="2:6">
      <c r="B100" s="47"/>
      <c r="C100" s="118"/>
      <c r="D100" s="118"/>
      <c r="E100" s="118"/>
      <c r="F100" s="118"/>
    </row>
    <row r="101" spans="2:6">
      <c r="B101" s="47"/>
      <c r="C101" s="118"/>
      <c r="D101" s="118"/>
      <c r="E101" s="118"/>
      <c r="F101" s="118"/>
    </row>
    <row r="102" spans="2:6">
      <c r="B102" s="47"/>
      <c r="C102" s="118"/>
      <c r="D102" s="118"/>
      <c r="E102" s="118"/>
      <c r="F102" s="118"/>
    </row>
    <row r="103" spans="2:6">
      <c r="B103" s="47"/>
      <c r="C103" s="118"/>
      <c r="D103" s="118"/>
      <c r="E103" s="118"/>
      <c r="F103" s="118"/>
    </row>
    <row r="104" spans="2:6">
      <c r="B104" s="47"/>
      <c r="C104" s="118"/>
      <c r="D104" s="118"/>
      <c r="E104" s="118"/>
      <c r="F104" s="118"/>
    </row>
    <row r="105" spans="2:6">
      <c r="B105" s="47"/>
      <c r="C105" s="118"/>
      <c r="D105" s="118"/>
      <c r="E105" s="118"/>
      <c r="F105" s="118"/>
    </row>
    <row r="106" spans="2:6">
      <c r="B106" s="47"/>
      <c r="C106" s="118"/>
      <c r="D106" s="118"/>
      <c r="E106" s="118"/>
      <c r="F106" s="118"/>
    </row>
    <row r="107" spans="2:6">
      <c r="B107" s="47"/>
      <c r="C107" s="118"/>
      <c r="D107" s="118"/>
      <c r="E107" s="118"/>
      <c r="F107" s="118"/>
    </row>
    <row r="108" spans="2:6">
      <c r="B108" s="47"/>
      <c r="C108" s="118"/>
      <c r="D108" s="118"/>
      <c r="E108" s="118"/>
      <c r="F108" s="118"/>
    </row>
    <row r="109" spans="2:6">
      <c r="B109" s="47"/>
      <c r="C109" s="118"/>
      <c r="D109" s="118"/>
      <c r="E109" s="118"/>
      <c r="F109" s="118"/>
    </row>
    <row r="110" spans="2:6">
      <c r="B110" s="47"/>
      <c r="C110" s="118"/>
      <c r="D110" s="118"/>
      <c r="E110" s="118"/>
      <c r="F110" s="118"/>
    </row>
    <row r="111" spans="2:6">
      <c r="B111" s="47"/>
      <c r="C111" s="118"/>
      <c r="D111" s="118"/>
      <c r="E111" s="118"/>
      <c r="F111" s="118"/>
    </row>
    <row r="112" spans="2:6">
      <c r="B112" s="47"/>
      <c r="C112" s="118"/>
      <c r="D112" s="118"/>
      <c r="E112" s="118"/>
      <c r="F112" s="118"/>
    </row>
    <row r="113" spans="2:6">
      <c r="B113" s="47"/>
      <c r="C113" s="118"/>
      <c r="D113" s="118"/>
      <c r="E113" s="118"/>
      <c r="F113" s="118"/>
    </row>
    <row r="114" spans="2:6">
      <c r="B114" s="47"/>
      <c r="C114" s="118"/>
      <c r="D114" s="118"/>
      <c r="E114" s="118"/>
      <c r="F114" s="118"/>
    </row>
    <row r="115" spans="2:6">
      <c r="B115" s="47"/>
      <c r="C115" s="118"/>
      <c r="D115" s="118"/>
      <c r="E115" s="118"/>
      <c r="F115" s="118"/>
    </row>
    <row r="116" spans="2:6">
      <c r="B116" s="47"/>
      <c r="C116" s="118"/>
      <c r="D116" s="118"/>
      <c r="E116" s="118"/>
      <c r="F116" s="118"/>
    </row>
    <row r="117" spans="2:6">
      <c r="B117" s="47"/>
      <c r="C117" s="118"/>
      <c r="D117" s="118"/>
      <c r="E117" s="118"/>
      <c r="F117" s="118"/>
    </row>
    <row r="118" spans="2:6">
      <c r="B118" s="47"/>
      <c r="C118" s="118"/>
      <c r="D118" s="118"/>
      <c r="E118" s="118"/>
      <c r="F118" s="118"/>
    </row>
    <row r="119" spans="2:6">
      <c r="B119" s="47"/>
      <c r="C119" s="118"/>
      <c r="D119" s="118"/>
      <c r="E119" s="118"/>
      <c r="F119" s="118"/>
    </row>
    <row r="120" spans="2:6">
      <c r="B120" s="47"/>
      <c r="C120" s="118"/>
      <c r="D120" s="118"/>
      <c r="E120" s="118"/>
      <c r="F120" s="118"/>
    </row>
    <row r="121" spans="2:6">
      <c r="B121" s="47"/>
      <c r="C121" s="118"/>
      <c r="D121" s="118"/>
      <c r="E121" s="118"/>
      <c r="F121" s="118"/>
    </row>
    <row r="122" spans="2:6">
      <c r="B122" s="47"/>
      <c r="C122" s="118"/>
      <c r="D122" s="118"/>
      <c r="E122" s="118"/>
      <c r="F122" s="118"/>
    </row>
    <row r="123" spans="2:6">
      <c r="B123" s="47"/>
      <c r="C123" s="118"/>
      <c r="D123" s="118"/>
      <c r="E123" s="118"/>
      <c r="F123" s="118"/>
    </row>
    <row r="124" spans="2:6">
      <c r="B124" s="47"/>
      <c r="C124" s="118"/>
      <c r="D124" s="118"/>
      <c r="E124" s="118"/>
      <c r="F124" s="118"/>
    </row>
    <row r="125" spans="2:6">
      <c r="B125" s="47"/>
      <c r="C125" s="118"/>
      <c r="D125" s="118"/>
      <c r="E125" s="118"/>
      <c r="F125" s="118"/>
    </row>
    <row r="126" spans="2:6">
      <c r="B126" s="47"/>
      <c r="C126" s="118"/>
      <c r="D126" s="118"/>
      <c r="E126" s="118"/>
      <c r="F126" s="118"/>
    </row>
    <row r="127" spans="2:6">
      <c r="B127" s="47"/>
      <c r="C127" s="118"/>
      <c r="D127" s="118"/>
      <c r="E127" s="118"/>
      <c r="F127" s="118"/>
    </row>
    <row r="128" spans="2:6">
      <c r="B128" s="47"/>
      <c r="C128" s="118"/>
      <c r="D128" s="118"/>
      <c r="E128" s="118"/>
      <c r="F128" s="118"/>
    </row>
    <row r="129" spans="2:6">
      <c r="B129" s="47"/>
      <c r="C129" s="118"/>
      <c r="D129" s="118"/>
      <c r="E129" s="118"/>
      <c r="F129" s="118"/>
    </row>
    <row r="130" spans="2:6">
      <c r="B130" s="47"/>
      <c r="C130" s="118"/>
      <c r="D130" s="118"/>
      <c r="E130" s="118"/>
      <c r="F130" s="118"/>
    </row>
    <row r="131" spans="2:6">
      <c r="B131" s="47"/>
      <c r="C131" s="118"/>
      <c r="D131" s="118"/>
      <c r="E131" s="118"/>
      <c r="F131" s="118"/>
    </row>
    <row r="132" spans="2:6">
      <c r="B132" s="47"/>
      <c r="C132" s="118"/>
      <c r="D132" s="118"/>
      <c r="E132" s="118"/>
      <c r="F132" s="118"/>
    </row>
    <row r="133" spans="2:6">
      <c r="B133" s="47"/>
      <c r="C133" s="118"/>
      <c r="D133" s="118"/>
      <c r="E133" s="118"/>
      <c r="F133" s="118"/>
    </row>
    <row r="134" spans="2:6">
      <c r="B134" s="47"/>
      <c r="C134" s="118"/>
      <c r="D134" s="118"/>
      <c r="E134" s="118"/>
      <c r="F134" s="118"/>
    </row>
    <row r="135" spans="2:6">
      <c r="B135" s="47"/>
      <c r="C135" s="118"/>
      <c r="D135" s="118"/>
      <c r="E135" s="118"/>
      <c r="F135" s="118"/>
    </row>
    <row r="136" spans="2:6">
      <c r="B136" s="47"/>
      <c r="C136" s="118"/>
      <c r="D136" s="118"/>
      <c r="E136" s="118"/>
      <c r="F136" s="118"/>
    </row>
    <row r="137" spans="2:6">
      <c r="B137" s="47"/>
      <c r="C137" s="118"/>
      <c r="D137" s="118"/>
      <c r="E137" s="118"/>
      <c r="F137" s="118"/>
    </row>
    <row r="138" spans="2:6">
      <c r="B138" s="47"/>
      <c r="C138" s="118"/>
      <c r="D138" s="118"/>
      <c r="E138" s="118"/>
      <c r="F138" s="118"/>
    </row>
    <row r="139" spans="2:6">
      <c r="B139" s="47"/>
      <c r="C139" s="118"/>
      <c r="D139" s="118"/>
      <c r="E139" s="118"/>
      <c r="F139" s="118"/>
    </row>
    <row r="140" spans="2:6">
      <c r="B140" s="47"/>
      <c r="C140" s="118"/>
      <c r="D140" s="118"/>
      <c r="E140" s="118"/>
      <c r="F140" s="118"/>
    </row>
    <row r="141" spans="2:6">
      <c r="B141" s="47"/>
      <c r="C141" s="118"/>
      <c r="D141" s="118"/>
      <c r="E141" s="118"/>
      <c r="F141" s="118"/>
    </row>
    <row r="142" spans="2:6">
      <c r="B142" s="47"/>
      <c r="C142" s="118"/>
      <c r="D142" s="118"/>
      <c r="E142" s="118"/>
      <c r="F142" s="118"/>
    </row>
    <row r="143" spans="2:6">
      <c r="B143" s="47"/>
      <c r="C143" s="118"/>
      <c r="D143" s="118"/>
      <c r="E143" s="118"/>
      <c r="F143" s="118"/>
    </row>
    <row r="144" spans="2:6">
      <c r="B144" s="47"/>
      <c r="C144" s="118"/>
      <c r="D144" s="118"/>
      <c r="E144" s="118"/>
      <c r="F144" s="118"/>
    </row>
    <row r="145" spans="2:6">
      <c r="B145" s="47"/>
      <c r="C145" s="118"/>
      <c r="D145" s="118"/>
      <c r="E145" s="118"/>
      <c r="F145" s="118"/>
    </row>
    <row r="146" spans="2:6">
      <c r="B146" s="47"/>
      <c r="C146" s="118"/>
      <c r="D146" s="118"/>
      <c r="E146" s="118"/>
      <c r="F146" s="118"/>
    </row>
    <row r="147" spans="2:6">
      <c r="B147" s="47"/>
      <c r="C147" s="118"/>
      <c r="D147" s="118"/>
      <c r="E147" s="118"/>
      <c r="F147" s="118"/>
    </row>
    <row r="148" spans="2:6">
      <c r="B148" s="47"/>
      <c r="C148" s="118"/>
      <c r="D148" s="118"/>
      <c r="E148" s="118"/>
      <c r="F148" s="118"/>
    </row>
    <row r="149" spans="2:6">
      <c r="B149" s="47"/>
      <c r="C149" s="118"/>
      <c r="D149" s="118"/>
      <c r="E149" s="118"/>
      <c r="F149" s="118"/>
    </row>
    <row r="150" spans="2:6">
      <c r="B150" s="47"/>
      <c r="C150" s="118"/>
      <c r="D150" s="118"/>
      <c r="E150" s="118"/>
      <c r="F150" s="118"/>
    </row>
    <row r="151" spans="2:6">
      <c r="B151" s="47"/>
      <c r="C151" s="118"/>
      <c r="D151" s="118"/>
      <c r="E151" s="118"/>
      <c r="F151" s="118"/>
    </row>
    <row r="152" spans="2:6">
      <c r="B152" s="47"/>
      <c r="C152" s="118"/>
      <c r="D152" s="118"/>
      <c r="E152" s="118"/>
      <c r="F152" s="118"/>
    </row>
    <row r="153" spans="2:6">
      <c r="B153" s="47"/>
      <c r="C153" s="118"/>
      <c r="D153" s="118"/>
      <c r="E153" s="118"/>
      <c r="F153" s="118"/>
    </row>
    <row r="154" spans="2:6">
      <c r="B154" s="47"/>
      <c r="C154" s="118"/>
      <c r="D154" s="118"/>
      <c r="E154" s="118"/>
      <c r="F154" s="118"/>
    </row>
    <row r="155" spans="2:6">
      <c r="B155" s="47"/>
      <c r="C155" s="118"/>
      <c r="D155" s="118"/>
      <c r="E155" s="118"/>
      <c r="F155" s="118"/>
    </row>
    <row r="156" spans="2:6">
      <c r="B156" s="47"/>
      <c r="C156" s="118"/>
      <c r="D156" s="118"/>
      <c r="E156" s="118"/>
      <c r="F156" s="118"/>
    </row>
    <row r="157" spans="2:6">
      <c r="B157" s="47"/>
      <c r="C157" s="118"/>
      <c r="D157" s="118"/>
      <c r="E157" s="118"/>
      <c r="F157" s="118"/>
    </row>
    <row r="158" spans="2:6">
      <c r="B158" s="47"/>
      <c r="C158" s="118"/>
      <c r="D158" s="118"/>
      <c r="E158" s="118"/>
      <c r="F158" s="118"/>
    </row>
    <row r="159" spans="2:6">
      <c r="B159" s="47"/>
      <c r="C159" s="118"/>
      <c r="D159" s="118"/>
      <c r="E159" s="118"/>
      <c r="F159" s="118"/>
    </row>
    <row r="160" spans="2:6">
      <c r="B160" s="47"/>
      <c r="C160" s="118"/>
      <c r="D160" s="118"/>
      <c r="E160" s="118"/>
      <c r="F160" s="118"/>
    </row>
    <row r="161" spans="2:6">
      <c r="B161" s="47"/>
      <c r="C161" s="118"/>
      <c r="D161" s="118"/>
      <c r="E161" s="118"/>
      <c r="F161" s="118"/>
    </row>
    <row r="162" spans="2:6">
      <c r="B162" s="47"/>
      <c r="C162" s="118"/>
      <c r="D162" s="118"/>
      <c r="E162" s="118"/>
      <c r="F162" s="118"/>
    </row>
    <row r="163" spans="2:6">
      <c r="B163" s="47"/>
      <c r="C163" s="118"/>
      <c r="D163" s="118"/>
      <c r="E163" s="118"/>
      <c r="F163" s="118"/>
    </row>
    <row r="164" spans="2:6">
      <c r="B164" s="47"/>
      <c r="C164" s="118"/>
      <c r="D164" s="118"/>
      <c r="E164" s="118"/>
      <c r="F164" s="118"/>
    </row>
    <row r="165" spans="2:6">
      <c r="B165" s="47"/>
      <c r="C165" s="118"/>
      <c r="D165" s="118"/>
      <c r="E165" s="118"/>
      <c r="F165" s="118"/>
    </row>
    <row r="166" spans="2:6">
      <c r="B166" s="47"/>
      <c r="C166" s="118"/>
      <c r="D166" s="118"/>
      <c r="E166" s="118"/>
      <c r="F166" s="118"/>
    </row>
    <row r="167" spans="2:6">
      <c r="B167" s="47"/>
      <c r="C167" s="118"/>
      <c r="D167" s="118"/>
      <c r="E167" s="118"/>
      <c r="F167" s="118"/>
    </row>
    <row r="168" spans="2:6">
      <c r="B168" s="47"/>
      <c r="C168" s="118"/>
      <c r="D168" s="118"/>
      <c r="E168" s="118"/>
      <c r="F168" s="118"/>
    </row>
    <row r="169" spans="2:6">
      <c r="B169" s="47"/>
      <c r="C169" s="118"/>
      <c r="D169" s="118"/>
      <c r="E169" s="118"/>
      <c r="F169" s="118"/>
    </row>
    <row r="170" spans="2:6">
      <c r="B170" s="47"/>
      <c r="C170" s="118"/>
      <c r="D170" s="118"/>
      <c r="E170" s="118"/>
      <c r="F170" s="118"/>
    </row>
    <row r="171" spans="2:6">
      <c r="B171" s="47"/>
      <c r="C171" s="118"/>
      <c r="D171" s="118"/>
      <c r="E171" s="118"/>
      <c r="F171" s="118"/>
    </row>
    <row r="172" spans="2:6">
      <c r="B172" s="47"/>
      <c r="C172" s="118"/>
      <c r="D172" s="118"/>
      <c r="E172" s="118"/>
      <c r="F172" s="118"/>
    </row>
    <row r="173" spans="2:6">
      <c r="B173" s="47"/>
      <c r="C173" s="118"/>
      <c r="D173" s="118"/>
      <c r="E173" s="118"/>
      <c r="F173" s="118"/>
    </row>
    <row r="174" spans="2:6">
      <c r="B174" s="47"/>
      <c r="C174" s="118"/>
      <c r="D174" s="118"/>
      <c r="E174" s="118"/>
      <c r="F174" s="118"/>
    </row>
    <row r="175" spans="2:6">
      <c r="B175" s="47"/>
      <c r="C175" s="118"/>
      <c r="D175" s="118"/>
      <c r="E175" s="118"/>
      <c r="F175" s="118"/>
    </row>
    <row r="176" spans="2:6">
      <c r="B176" s="47"/>
      <c r="C176" s="118"/>
      <c r="D176" s="118"/>
      <c r="E176" s="118"/>
      <c r="F176" s="118"/>
    </row>
    <row r="177" spans="2:6">
      <c r="B177" s="47"/>
      <c r="C177" s="118"/>
      <c r="D177" s="118"/>
      <c r="E177" s="118"/>
      <c r="F177" s="118"/>
    </row>
    <row r="178" spans="2:6">
      <c r="B178" s="47"/>
      <c r="C178" s="118"/>
      <c r="D178" s="118"/>
      <c r="E178" s="118"/>
      <c r="F178" s="118"/>
    </row>
    <row r="179" spans="2:6">
      <c r="B179" s="47"/>
      <c r="C179" s="118"/>
      <c r="D179" s="118"/>
      <c r="E179" s="118"/>
      <c r="F179" s="118"/>
    </row>
    <row r="180" spans="2:6">
      <c r="B180" s="47"/>
      <c r="C180" s="118"/>
      <c r="D180" s="118"/>
      <c r="E180" s="118"/>
      <c r="F180" s="118"/>
    </row>
    <row r="181" spans="2:6">
      <c r="B181" s="47"/>
      <c r="C181" s="118"/>
      <c r="D181" s="118"/>
      <c r="E181" s="118"/>
      <c r="F181" s="118"/>
    </row>
    <row r="182" spans="2:6">
      <c r="B182" s="47"/>
      <c r="C182" s="118"/>
      <c r="D182" s="118"/>
      <c r="E182" s="118"/>
      <c r="F182" s="118"/>
    </row>
    <row r="183" spans="2:6">
      <c r="B183" s="47"/>
      <c r="C183" s="118"/>
      <c r="D183" s="118"/>
      <c r="E183" s="118"/>
      <c r="F183" s="118"/>
    </row>
    <row r="184" spans="2:6">
      <c r="B184" s="47"/>
      <c r="C184" s="118"/>
      <c r="D184" s="118"/>
      <c r="E184" s="118"/>
      <c r="F184" s="118"/>
    </row>
    <row r="185" spans="2:6">
      <c r="B185" s="47"/>
      <c r="C185" s="118"/>
      <c r="D185" s="118"/>
      <c r="E185" s="118"/>
      <c r="F185" s="118"/>
    </row>
    <row r="186" spans="2:6">
      <c r="B186" s="47"/>
      <c r="C186" s="118"/>
      <c r="D186" s="118"/>
      <c r="E186" s="118"/>
      <c r="F186" s="118"/>
    </row>
    <row r="187" spans="2:6">
      <c r="B187" s="47"/>
      <c r="C187" s="118"/>
      <c r="D187" s="118"/>
      <c r="E187" s="118"/>
      <c r="F187" s="118"/>
    </row>
    <row r="188" spans="2:6">
      <c r="B188" s="47"/>
      <c r="C188" s="118"/>
      <c r="D188" s="118"/>
      <c r="E188" s="118"/>
      <c r="F188" s="118"/>
    </row>
    <row r="189" spans="2:6">
      <c r="B189" s="47"/>
      <c r="C189" s="118"/>
      <c r="D189" s="118"/>
      <c r="E189" s="118"/>
      <c r="F189" s="118"/>
    </row>
    <row r="190" spans="2:6">
      <c r="B190" s="47"/>
      <c r="C190" s="118"/>
      <c r="D190" s="118"/>
      <c r="E190" s="118"/>
      <c r="F190" s="118"/>
    </row>
    <row r="191" spans="2:6">
      <c r="B191" s="47"/>
      <c r="C191" s="118"/>
      <c r="D191" s="118"/>
      <c r="E191" s="118"/>
      <c r="F191" s="118"/>
    </row>
    <row r="192" spans="2:6">
      <c r="B192" s="47"/>
      <c r="C192" s="118"/>
      <c r="D192" s="118"/>
      <c r="E192" s="118"/>
      <c r="F192" s="118"/>
    </row>
    <row r="193" spans="2:6">
      <c r="B193" s="47"/>
      <c r="C193" s="118"/>
      <c r="D193" s="118"/>
      <c r="E193" s="118"/>
      <c r="F193" s="118"/>
    </row>
    <row r="194" spans="2:6">
      <c r="B194" s="47"/>
      <c r="C194" s="118"/>
      <c r="D194" s="118"/>
      <c r="E194" s="118"/>
      <c r="F194" s="118"/>
    </row>
    <row r="195" spans="2:6">
      <c r="B195" s="47"/>
      <c r="C195" s="118"/>
      <c r="D195" s="118"/>
      <c r="E195" s="118"/>
      <c r="F195" s="118"/>
    </row>
    <row r="196" spans="2:6">
      <c r="B196" s="47"/>
      <c r="C196" s="118"/>
      <c r="D196" s="118"/>
      <c r="E196" s="118"/>
      <c r="F196" s="118"/>
    </row>
    <row r="197" spans="2:6">
      <c r="B197" s="47"/>
      <c r="C197" s="118"/>
      <c r="D197" s="118"/>
      <c r="E197" s="118"/>
      <c r="F197" s="118"/>
    </row>
    <row r="198" spans="2:6">
      <c r="B198" s="47"/>
      <c r="C198" s="118"/>
      <c r="D198" s="118"/>
      <c r="E198" s="118"/>
      <c r="F198" s="118"/>
    </row>
    <row r="199" spans="2:6">
      <c r="B199" s="47"/>
      <c r="C199" s="118"/>
      <c r="D199" s="118"/>
      <c r="E199" s="118"/>
      <c r="F199" s="118"/>
    </row>
    <row r="200" spans="2:6">
      <c r="B200" s="47"/>
      <c r="C200" s="118"/>
      <c r="D200" s="118"/>
      <c r="E200" s="118"/>
      <c r="F200" s="118"/>
    </row>
    <row r="201" spans="2:6">
      <c r="B201" s="47"/>
      <c r="C201" s="118"/>
      <c r="D201" s="118"/>
      <c r="E201" s="118"/>
      <c r="F201" s="118"/>
    </row>
    <row r="202" spans="2:6">
      <c r="B202" s="47"/>
      <c r="C202" s="118"/>
      <c r="D202" s="118"/>
      <c r="E202" s="118"/>
      <c r="F202" s="118"/>
    </row>
    <row r="203" spans="2:6">
      <c r="B203" s="47"/>
      <c r="C203" s="118"/>
      <c r="D203" s="118"/>
      <c r="E203" s="118"/>
      <c r="F203" s="118"/>
    </row>
    <row r="204" spans="2:6">
      <c r="B204" s="47"/>
      <c r="C204" s="118"/>
      <c r="D204" s="118"/>
      <c r="E204" s="118"/>
      <c r="F204" s="118"/>
    </row>
    <row r="205" spans="2:6">
      <c r="B205" s="47"/>
      <c r="C205" s="118"/>
      <c r="D205" s="118"/>
      <c r="E205" s="118"/>
      <c r="F205" s="118"/>
    </row>
    <row r="206" spans="2:6">
      <c r="B206" s="47"/>
      <c r="C206" s="118"/>
      <c r="D206" s="118"/>
      <c r="E206" s="118"/>
      <c r="F206" s="118"/>
    </row>
    <row r="207" spans="2:6">
      <c r="B207" s="47"/>
      <c r="C207" s="118"/>
      <c r="D207" s="118"/>
      <c r="E207" s="118"/>
      <c r="F207" s="118"/>
    </row>
    <row r="208" spans="2:6">
      <c r="B208" s="47"/>
      <c r="C208" s="118"/>
      <c r="D208" s="118"/>
      <c r="E208" s="118"/>
      <c r="F208" s="118"/>
    </row>
    <row r="209" spans="2:6">
      <c r="B209" s="47"/>
      <c r="C209" s="118"/>
      <c r="D209" s="118"/>
      <c r="E209" s="118"/>
      <c r="F209" s="118"/>
    </row>
    <row r="210" spans="2:6">
      <c r="B210" s="47"/>
      <c r="C210" s="118"/>
      <c r="D210" s="118"/>
      <c r="E210" s="118"/>
      <c r="F210" s="118"/>
    </row>
    <row r="211" spans="2:6">
      <c r="B211" s="47"/>
      <c r="C211" s="118"/>
      <c r="D211" s="118"/>
      <c r="E211" s="118"/>
      <c r="F211" s="118"/>
    </row>
    <row r="212" spans="2:6">
      <c r="B212" s="47"/>
      <c r="C212" s="118"/>
      <c r="D212" s="118"/>
      <c r="E212" s="118"/>
      <c r="F212" s="118"/>
    </row>
    <row r="213" spans="2:6">
      <c r="B213" s="47"/>
      <c r="C213" s="118"/>
      <c r="D213" s="118"/>
      <c r="E213" s="118"/>
      <c r="F213" s="118"/>
    </row>
    <row r="214" spans="2:6">
      <c r="B214" s="47"/>
      <c r="C214" s="118"/>
      <c r="D214" s="118"/>
      <c r="E214" s="118"/>
      <c r="F214" s="118"/>
    </row>
    <row r="215" spans="2:6">
      <c r="B215" s="47"/>
      <c r="C215" s="118"/>
      <c r="D215" s="118"/>
      <c r="E215" s="118"/>
      <c r="F215" s="118"/>
    </row>
    <row r="216" spans="2:6">
      <c r="B216" s="47"/>
      <c r="C216" s="118"/>
      <c r="D216" s="118"/>
      <c r="E216" s="118"/>
      <c r="F216" s="118"/>
    </row>
    <row r="217" spans="2:6">
      <c r="B217" s="47"/>
      <c r="C217" s="118"/>
      <c r="D217" s="118"/>
      <c r="E217" s="118"/>
      <c r="F217" s="118"/>
    </row>
    <row r="218" spans="2:6">
      <c r="B218" s="47"/>
      <c r="C218" s="118"/>
      <c r="D218" s="118"/>
      <c r="E218" s="118"/>
      <c r="F218" s="118"/>
    </row>
    <row r="219" spans="2:6">
      <c r="B219" s="47"/>
      <c r="C219" s="118"/>
      <c r="D219" s="118"/>
      <c r="E219" s="118"/>
      <c r="F219" s="118"/>
    </row>
    <row r="220" spans="2:6">
      <c r="B220" s="47"/>
      <c r="C220" s="118"/>
      <c r="D220" s="118"/>
      <c r="E220" s="118"/>
      <c r="F220" s="118"/>
    </row>
    <row r="221" spans="2:6">
      <c r="B221" s="47"/>
      <c r="C221" s="118"/>
      <c r="D221" s="118"/>
      <c r="E221" s="118"/>
      <c r="F221" s="118"/>
    </row>
    <row r="222" spans="2:6">
      <c r="B222" s="47"/>
      <c r="C222" s="118"/>
      <c r="D222" s="118"/>
      <c r="E222" s="118"/>
      <c r="F222" s="118"/>
    </row>
    <row r="223" spans="2:6">
      <c r="B223" s="47"/>
      <c r="C223" s="118"/>
      <c r="D223" s="118"/>
      <c r="E223" s="118"/>
      <c r="F223" s="118"/>
    </row>
    <row r="224" spans="2:6">
      <c r="B224" s="47"/>
      <c r="C224" s="118"/>
      <c r="D224" s="118"/>
      <c r="E224" s="118"/>
      <c r="F224" s="118"/>
    </row>
    <row r="225" spans="2:6">
      <c r="B225" s="47"/>
      <c r="C225" s="118"/>
      <c r="D225" s="118"/>
      <c r="E225" s="118"/>
      <c r="F225" s="118"/>
    </row>
    <row r="226" spans="2:6">
      <c r="B226" s="47"/>
      <c r="C226" s="118"/>
      <c r="D226" s="118"/>
      <c r="E226" s="118"/>
      <c r="F226" s="118"/>
    </row>
    <row r="227" spans="2:6">
      <c r="B227" s="47"/>
      <c r="C227" s="118"/>
      <c r="D227" s="118"/>
      <c r="E227" s="118"/>
      <c r="F227" s="118"/>
    </row>
    <row r="228" spans="2:6">
      <c r="B228" s="47"/>
      <c r="C228" s="118"/>
      <c r="D228" s="118"/>
      <c r="E228" s="118"/>
      <c r="F228" s="118"/>
    </row>
    <row r="229" spans="2:6">
      <c r="B229" s="47"/>
      <c r="C229" s="118"/>
      <c r="D229" s="118"/>
      <c r="E229" s="118"/>
      <c r="F229" s="118"/>
    </row>
    <row r="230" spans="2:6">
      <c r="B230" s="47"/>
      <c r="C230" s="118"/>
      <c r="D230" s="118"/>
      <c r="E230" s="118"/>
      <c r="F230" s="118"/>
    </row>
    <row r="231" spans="2:6">
      <c r="B231" s="47"/>
      <c r="C231" s="118"/>
      <c r="D231" s="118"/>
      <c r="E231" s="118"/>
      <c r="F231" s="118"/>
    </row>
    <row r="232" spans="2:6">
      <c r="B232" s="47"/>
      <c r="C232" s="118"/>
      <c r="D232" s="118"/>
      <c r="E232" s="118"/>
      <c r="F232" s="118"/>
    </row>
    <row r="233" spans="2:6">
      <c r="B233" s="47"/>
      <c r="C233" s="118"/>
      <c r="D233" s="118"/>
      <c r="E233" s="118"/>
      <c r="F233" s="118"/>
    </row>
    <row r="234" spans="2:6">
      <c r="B234" s="47"/>
      <c r="C234" s="118"/>
      <c r="D234" s="118"/>
      <c r="E234" s="118"/>
      <c r="F234" s="118"/>
    </row>
    <row r="235" spans="2:6">
      <c r="B235" s="47"/>
      <c r="C235" s="118"/>
      <c r="D235" s="118"/>
      <c r="E235" s="118"/>
      <c r="F235" s="118"/>
    </row>
    <row r="236" spans="2:6">
      <c r="B236" s="47"/>
      <c r="C236" s="118"/>
      <c r="D236" s="118"/>
      <c r="E236" s="118"/>
      <c r="F236" s="118"/>
    </row>
    <row r="237" spans="2:6">
      <c r="B237" s="47"/>
      <c r="C237" s="118"/>
      <c r="D237" s="118"/>
      <c r="E237" s="118"/>
      <c r="F237" s="118"/>
    </row>
    <row r="238" spans="2:6">
      <c r="B238" s="47"/>
      <c r="C238" s="118"/>
      <c r="D238" s="118"/>
      <c r="E238" s="118"/>
      <c r="F238" s="118"/>
    </row>
    <row r="239" spans="2:6">
      <c r="B239" s="47"/>
      <c r="C239" s="118"/>
      <c r="D239" s="118"/>
      <c r="E239" s="118"/>
      <c r="F239" s="118"/>
    </row>
    <row r="240" spans="2:6">
      <c r="B240" s="47"/>
      <c r="C240" s="118"/>
      <c r="D240" s="118"/>
      <c r="E240" s="118"/>
      <c r="F240" s="118"/>
    </row>
    <row r="241" spans="2:6">
      <c r="B241" s="47"/>
      <c r="C241" s="118"/>
      <c r="D241" s="118"/>
      <c r="E241" s="118"/>
      <c r="F241" s="118"/>
    </row>
    <row r="242" spans="2:6">
      <c r="B242" s="47"/>
      <c r="C242" s="118"/>
      <c r="D242" s="118"/>
      <c r="E242" s="118"/>
      <c r="F242" s="118"/>
    </row>
    <row r="243" spans="2:6">
      <c r="B243" s="47"/>
      <c r="C243" s="118"/>
      <c r="D243" s="118"/>
      <c r="E243" s="118"/>
      <c r="F243" s="118"/>
    </row>
    <row r="244" spans="2:6">
      <c r="B244" s="47"/>
      <c r="C244" s="118"/>
      <c r="D244" s="118"/>
      <c r="E244" s="118"/>
      <c r="F244" s="118"/>
    </row>
    <row r="245" spans="2:6">
      <c r="B245" s="47"/>
      <c r="C245" s="118"/>
      <c r="D245" s="118"/>
      <c r="E245" s="118"/>
      <c r="F245" s="118"/>
    </row>
    <row r="246" spans="2:6">
      <c r="B246" s="47"/>
      <c r="C246" s="118"/>
      <c r="D246" s="118"/>
      <c r="E246" s="118"/>
      <c r="F246" s="118"/>
    </row>
    <row r="247" spans="2:6">
      <c r="B247" s="47"/>
      <c r="C247" s="118"/>
      <c r="D247" s="118"/>
      <c r="E247" s="118"/>
      <c r="F247" s="118"/>
    </row>
    <row r="248" spans="2:6">
      <c r="B248" s="47"/>
      <c r="C248" s="118"/>
      <c r="D248" s="118"/>
      <c r="E248" s="118"/>
      <c r="F248" s="118"/>
    </row>
    <row r="249" spans="2:6">
      <c r="B249" s="47"/>
      <c r="C249" s="118"/>
      <c r="D249" s="118"/>
      <c r="E249" s="118"/>
      <c r="F249" s="118"/>
    </row>
    <row r="250" spans="2:6">
      <c r="B250" s="47"/>
      <c r="C250" s="118"/>
      <c r="D250" s="118"/>
      <c r="E250" s="118"/>
      <c r="F250" s="118"/>
    </row>
    <row r="251" spans="2:6">
      <c r="B251" s="47"/>
      <c r="C251" s="118"/>
      <c r="D251" s="118"/>
      <c r="E251" s="118"/>
      <c r="F251" s="118"/>
    </row>
    <row r="252" spans="2:6">
      <c r="B252" s="47"/>
      <c r="C252" s="118"/>
      <c r="D252" s="118"/>
      <c r="E252" s="118"/>
      <c r="F252" s="118"/>
    </row>
    <row r="253" spans="2:6">
      <c r="B253" s="47"/>
      <c r="C253" s="118"/>
      <c r="D253" s="118"/>
      <c r="E253" s="118"/>
      <c r="F253" s="118"/>
    </row>
    <row r="254" spans="2:6">
      <c r="B254" s="47"/>
      <c r="C254" s="118"/>
      <c r="D254" s="118"/>
      <c r="E254" s="118"/>
      <c r="F254" s="118"/>
    </row>
    <row r="255" spans="2:6">
      <c r="B255" s="47"/>
      <c r="C255" s="118"/>
      <c r="D255" s="118"/>
      <c r="E255" s="118"/>
      <c r="F255" s="118"/>
    </row>
    <row r="256" spans="2:6">
      <c r="B256" s="47"/>
      <c r="C256" s="118"/>
      <c r="D256" s="118"/>
      <c r="E256" s="118"/>
      <c r="F256" s="118"/>
    </row>
    <row r="257" spans="2:6">
      <c r="B257" s="47"/>
      <c r="C257" s="118"/>
      <c r="D257" s="118"/>
      <c r="E257" s="118"/>
      <c r="F257" s="118"/>
    </row>
    <row r="258" spans="2:6">
      <c r="B258" s="47"/>
      <c r="C258" s="118"/>
      <c r="D258" s="118"/>
      <c r="E258" s="118"/>
      <c r="F258" s="118"/>
    </row>
    <row r="259" spans="2:6">
      <c r="B259" s="47"/>
      <c r="C259" s="118"/>
      <c r="D259" s="118"/>
      <c r="E259" s="118"/>
      <c r="F259" s="118"/>
    </row>
    <row r="260" spans="2:6">
      <c r="B260" s="47"/>
      <c r="C260" s="118"/>
      <c r="D260" s="118"/>
      <c r="E260" s="118"/>
      <c r="F260" s="118"/>
    </row>
    <row r="261" spans="2:6">
      <c r="B261" s="47"/>
      <c r="C261" s="118"/>
      <c r="D261" s="118"/>
      <c r="E261" s="118"/>
      <c r="F261" s="118"/>
    </row>
    <row r="262" spans="2:6">
      <c r="B262" s="47"/>
      <c r="C262" s="118"/>
      <c r="D262" s="118"/>
      <c r="E262" s="118"/>
      <c r="F262" s="118"/>
    </row>
    <row r="263" spans="2:6">
      <c r="B263" s="47"/>
      <c r="C263" s="118"/>
      <c r="D263" s="118"/>
      <c r="E263" s="118"/>
      <c r="F263" s="118"/>
    </row>
    <row r="264" spans="2:6">
      <c r="B264" s="47"/>
      <c r="C264" s="118"/>
      <c r="D264" s="118"/>
      <c r="E264" s="118"/>
      <c r="F264" s="118"/>
    </row>
    <row r="265" spans="2:6">
      <c r="B265" s="47"/>
      <c r="C265" s="118"/>
      <c r="D265" s="118"/>
      <c r="E265" s="118"/>
      <c r="F265" s="118"/>
    </row>
    <row r="266" spans="2:6">
      <c r="B266" s="47"/>
      <c r="C266" s="118"/>
      <c r="D266" s="118"/>
      <c r="E266" s="118"/>
      <c r="F266" s="118"/>
    </row>
    <row r="267" spans="2:6">
      <c r="B267" s="47"/>
      <c r="C267" s="118"/>
      <c r="D267" s="118"/>
      <c r="E267" s="118"/>
      <c r="F267" s="118"/>
    </row>
    <row r="268" spans="2:6">
      <c r="B268" s="47"/>
      <c r="C268" s="118"/>
      <c r="D268" s="118"/>
      <c r="E268" s="118"/>
      <c r="F268" s="118"/>
    </row>
    <row r="269" spans="2:6">
      <c r="B269" s="47"/>
      <c r="C269" s="118"/>
      <c r="D269" s="118"/>
      <c r="E269" s="118"/>
      <c r="F269" s="118"/>
    </row>
    <row r="270" spans="2:6">
      <c r="B270" s="47"/>
      <c r="C270" s="118"/>
      <c r="D270" s="118"/>
      <c r="E270" s="118"/>
      <c r="F270" s="118"/>
    </row>
    <row r="271" spans="2:6">
      <c r="B271" s="47"/>
      <c r="C271" s="118"/>
      <c r="D271" s="118"/>
      <c r="E271" s="118"/>
      <c r="F271" s="118"/>
    </row>
    <row r="272" spans="2:6">
      <c r="B272" s="47"/>
      <c r="C272" s="118"/>
      <c r="D272" s="118"/>
      <c r="E272" s="118"/>
      <c r="F272" s="118"/>
    </row>
    <row r="273" spans="2:6">
      <c r="B273" s="47"/>
      <c r="C273" s="118"/>
      <c r="D273" s="118"/>
      <c r="E273" s="118"/>
      <c r="F273" s="118"/>
    </row>
    <row r="274" spans="2:6">
      <c r="B274" s="47"/>
      <c r="C274" s="118"/>
      <c r="D274" s="118"/>
      <c r="E274" s="118"/>
      <c r="F274" s="118"/>
    </row>
    <row r="275" spans="2:6">
      <c r="B275" s="47"/>
      <c r="C275" s="118"/>
      <c r="D275" s="118"/>
      <c r="E275" s="118"/>
      <c r="F275" s="118"/>
    </row>
    <row r="276" spans="2:6">
      <c r="B276" s="47"/>
      <c r="C276" s="118"/>
      <c r="D276" s="118"/>
      <c r="E276" s="118"/>
      <c r="F276" s="118"/>
    </row>
    <row r="277" spans="2:6">
      <c r="B277" s="47"/>
      <c r="C277" s="118"/>
      <c r="D277" s="118"/>
      <c r="E277" s="118"/>
      <c r="F277" s="118"/>
    </row>
    <row r="278" spans="2:6">
      <c r="B278" s="47"/>
      <c r="C278" s="118"/>
      <c r="D278" s="118"/>
      <c r="E278" s="118"/>
      <c r="F278" s="118"/>
    </row>
    <row r="279" spans="2:6">
      <c r="B279" s="47"/>
      <c r="C279" s="118"/>
      <c r="D279" s="118"/>
      <c r="E279" s="118"/>
      <c r="F279" s="118"/>
    </row>
    <row r="280" spans="2:6">
      <c r="B280" s="47"/>
      <c r="C280" s="118"/>
      <c r="D280" s="118"/>
      <c r="E280" s="118"/>
      <c r="F280" s="118"/>
    </row>
    <row r="281" spans="2:6">
      <c r="B281" s="47"/>
      <c r="C281" s="118"/>
      <c r="D281" s="118"/>
      <c r="E281" s="118"/>
      <c r="F281" s="118"/>
    </row>
    <row r="282" spans="2:6">
      <c r="B282" s="47"/>
      <c r="C282" s="118"/>
      <c r="D282" s="118"/>
      <c r="E282" s="118"/>
      <c r="F282" s="118"/>
    </row>
    <row r="283" spans="2:6">
      <c r="B283" s="47"/>
      <c r="C283" s="118"/>
      <c r="D283" s="118"/>
      <c r="E283" s="118"/>
      <c r="F283" s="118"/>
    </row>
    <row r="284" spans="2:6">
      <c r="B284" s="47"/>
      <c r="C284" s="118"/>
      <c r="D284" s="118"/>
      <c r="E284" s="118"/>
      <c r="F284" s="118"/>
    </row>
    <row r="285" spans="2:6">
      <c r="B285" s="47"/>
      <c r="C285" s="118"/>
      <c r="D285" s="118"/>
      <c r="E285" s="118"/>
      <c r="F285" s="118"/>
    </row>
    <row r="286" spans="2:6">
      <c r="B286" s="47"/>
      <c r="C286" s="118"/>
      <c r="D286" s="118"/>
      <c r="E286" s="118"/>
      <c r="F286" s="118"/>
    </row>
    <row r="287" spans="2:6">
      <c r="B287" s="47"/>
      <c r="C287" s="118"/>
      <c r="D287" s="118"/>
      <c r="E287" s="118"/>
      <c r="F287" s="118"/>
    </row>
    <row r="288" spans="2:6">
      <c r="B288" s="47"/>
      <c r="C288" s="118"/>
      <c r="D288" s="118"/>
      <c r="E288" s="118"/>
      <c r="F288" s="118"/>
    </row>
    <row r="289" spans="2:6">
      <c r="B289" s="47"/>
      <c r="C289" s="118"/>
      <c r="D289" s="118"/>
      <c r="E289" s="118"/>
      <c r="F289" s="118"/>
    </row>
    <row r="290" spans="2:6">
      <c r="B290" s="47"/>
      <c r="C290" s="118"/>
      <c r="D290" s="118"/>
      <c r="E290" s="118"/>
      <c r="F290" s="118"/>
    </row>
    <row r="291" spans="2:6">
      <c r="B291" s="47"/>
      <c r="C291" s="118"/>
      <c r="D291" s="118"/>
      <c r="E291" s="118"/>
      <c r="F291" s="118"/>
    </row>
    <row r="292" spans="2:6">
      <c r="B292" s="47"/>
      <c r="C292" s="118"/>
      <c r="D292" s="118"/>
      <c r="E292" s="118"/>
      <c r="F292" s="118"/>
    </row>
    <row r="293" spans="2:6">
      <c r="B293" s="47"/>
      <c r="C293" s="118"/>
      <c r="D293" s="118"/>
      <c r="E293" s="118"/>
      <c r="F293" s="118"/>
    </row>
    <row r="294" spans="2:6">
      <c r="B294" s="47"/>
      <c r="C294" s="118"/>
      <c r="D294" s="118"/>
      <c r="E294" s="118"/>
      <c r="F294" s="118"/>
    </row>
    <row r="295" spans="2:6">
      <c r="B295" s="47"/>
      <c r="C295" s="118"/>
      <c r="D295" s="118"/>
      <c r="E295" s="118"/>
      <c r="F295" s="118"/>
    </row>
    <row r="296" spans="2:6">
      <c r="B296" s="47"/>
      <c r="C296" s="118"/>
      <c r="D296" s="118"/>
      <c r="E296" s="118"/>
      <c r="F296" s="118"/>
    </row>
    <row r="297" spans="2:6">
      <c r="B297" s="47"/>
      <c r="C297" s="118"/>
      <c r="D297" s="118"/>
      <c r="E297" s="118"/>
      <c r="F297" s="118"/>
    </row>
    <row r="298" spans="2:6">
      <c r="B298" s="47"/>
      <c r="C298" s="118"/>
      <c r="D298" s="118"/>
      <c r="E298" s="118"/>
      <c r="F298" s="118"/>
    </row>
    <row r="299" spans="2:6">
      <c r="B299" s="47"/>
      <c r="C299" s="118"/>
      <c r="D299" s="118"/>
      <c r="E299" s="118"/>
      <c r="F299" s="118"/>
    </row>
    <row r="300" spans="2:6">
      <c r="B300" s="47"/>
      <c r="C300" s="118"/>
      <c r="D300" s="118"/>
      <c r="E300" s="118"/>
      <c r="F300" s="118"/>
    </row>
    <row r="301" spans="2:6">
      <c r="B301" s="47"/>
      <c r="C301" s="118"/>
      <c r="D301" s="118"/>
      <c r="E301" s="118"/>
      <c r="F301" s="118"/>
    </row>
    <row r="302" spans="2:6">
      <c r="B302" s="47"/>
      <c r="C302" s="118"/>
      <c r="D302" s="118"/>
      <c r="E302" s="118"/>
      <c r="F302" s="118"/>
    </row>
    <row r="303" spans="2:6">
      <c r="B303" s="47"/>
      <c r="C303" s="118"/>
      <c r="D303" s="118"/>
      <c r="E303" s="118"/>
      <c r="F303" s="118"/>
    </row>
    <row r="304" spans="2:6">
      <c r="B304" s="47"/>
      <c r="C304" s="118"/>
      <c r="D304" s="118"/>
      <c r="E304" s="118"/>
      <c r="F304" s="118"/>
    </row>
    <row r="305" spans="2:6">
      <c r="B305" s="47"/>
      <c r="C305" s="118"/>
      <c r="D305" s="118"/>
      <c r="E305" s="118"/>
      <c r="F305" s="118"/>
    </row>
    <row r="306" spans="2:6">
      <c r="B306" s="47"/>
      <c r="C306" s="118"/>
      <c r="D306" s="118"/>
      <c r="E306" s="118"/>
      <c r="F306" s="118"/>
    </row>
    <row r="307" spans="2:6">
      <c r="B307" s="47"/>
      <c r="C307" s="118"/>
      <c r="D307" s="118"/>
      <c r="E307" s="118"/>
      <c r="F307" s="118"/>
    </row>
    <row r="308" spans="2:6">
      <c r="B308" s="47"/>
      <c r="C308" s="118"/>
      <c r="D308" s="118"/>
      <c r="E308" s="118"/>
      <c r="F308" s="118"/>
    </row>
    <row r="309" spans="2:6">
      <c r="B309" s="47"/>
      <c r="C309" s="118"/>
      <c r="D309" s="118"/>
      <c r="E309" s="118"/>
      <c r="F309" s="118"/>
    </row>
    <row r="310" spans="2:6">
      <c r="B310" s="47"/>
      <c r="C310" s="118"/>
      <c r="D310" s="118"/>
      <c r="E310" s="118"/>
      <c r="F310" s="118"/>
    </row>
    <row r="311" spans="2:6">
      <c r="B311" s="47"/>
      <c r="C311" s="118"/>
      <c r="D311" s="118"/>
      <c r="E311" s="118"/>
      <c r="F311" s="118"/>
    </row>
    <row r="312" spans="2:6">
      <c r="B312" s="47"/>
      <c r="C312" s="118"/>
      <c r="D312" s="118"/>
      <c r="E312" s="118"/>
      <c r="F312" s="118"/>
    </row>
    <row r="313" spans="2:6">
      <c r="B313" s="47"/>
      <c r="C313" s="118"/>
      <c r="D313" s="118"/>
      <c r="E313" s="118"/>
      <c r="F313" s="118"/>
    </row>
    <row r="314" spans="2:6">
      <c r="B314" s="47"/>
      <c r="C314" s="118"/>
      <c r="D314" s="118"/>
      <c r="E314" s="118"/>
      <c r="F314" s="118"/>
    </row>
    <row r="315" spans="2:6">
      <c r="B315" s="47"/>
      <c r="C315" s="118"/>
      <c r="D315" s="118"/>
      <c r="E315" s="118"/>
      <c r="F315" s="118"/>
    </row>
    <row r="316" spans="2:6">
      <c r="B316" s="47"/>
      <c r="C316" s="118"/>
      <c r="D316" s="118"/>
      <c r="E316" s="118"/>
      <c r="F316" s="118"/>
    </row>
    <row r="317" spans="2:6">
      <c r="B317" s="47"/>
      <c r="C317" s="118"/>
      <c r="D317" s="118"/>
      <c r="E317" s="118"/>
      <c r="F317" s="118"/>
    </row>
    <row r="318" spans="2:6">
      <c r="B318" s="47"/>
      <c r="C318" s="118"/>
      <c r="D318" s="118"/>
      <c r="E318" s="118"/>
      <c r="F318" s="118"/>
    </row>
    <row r="319" spans="2:6">
      <c r="B319" s="47"/>
      <c r="C319" s="118"/>
      <c r="D319" s="118"/>
      <c r="E319" s="118"/>
      <c r="F319" s="118"/>
    </row>
    <row r="320" spans="2:6">
      <c r="B320" s="47"/>
      <c r="C320" s="118"/>
      <c r="D320" s="118"/>
      <c r="E320" s="118"/>
      <c r="F320" s="118"/>
    </row>
    <row r="321" spans="2:6">
      <c r="B321" s="47"/>
      <c r="C321" s="118"/>
      <c r="D321" s="118"/>
      <c r="E321" s="118"/>
      <c r="F321" s="118"/>
    </row>
    <row r="322" spans="2:6">
      <c r="B322" s="47"/>
      <c r="C322" s="118"/>
      <c r="D322" s="118"/>
      <c r="E322" s="118"/>
      <c r="F322" s="118"/>
    </row>
    <row r="323" spans="2:6">
      <c r="B323" s="47"/>
      <c r="C323" s="118"/>
      <c r="D323" s="118"/>
      <c r="E323" s="118"/>
      <c r="F323" s="118"/>
    </row>
    <row r="324" spans="2:6">
      <c r="B324" s="47"/>
      <c r="C324" s="118"/>
      <c r="D324" s="118"/>
      <c r="E324" s="118"/>
      <c r="F324" s="118"/>
    </row>
    <row r="325" spans="2:6">
      <c r="B325" s="47"/>
      <c r="C325" s="118"/>
      <c r="D325" s="118"/>
      <c r="E325" s="118"/>
      <c r="F325" s="118"/>
    </row>
    <row r="326" spans="2:6">
      <c r="B326" s="47"/>
      <c r="C326" s="118"/>
      <c r="D326" s="118"/>
      <c r="E326" s="118"/>
      <c r="F326" s="118"/>
    </row>
    <row r="327" spans="2:6">
      <c r="B327" s="47"/>
      <c r="C327" s="118"/>
      <c r="D327" s="118"/>
      <c r="E327" s="118"/>
      <c r="F327" s="118"/>
    </row>
    <row r="328" spans="2:6">
      <c r="B328" s="47"/>
      <c r="C328" s="118"/>
      <c r="D328" s="118"/>
      <c r="E328" s="118"/>
      <c r="F328" s="118"/>
    </row>
    <row r="329" spans="2:6">
      <c r="B329" s="47"/>
      <c r="C329" s="118"/>
      <c r="D329" s="118"/>
      <c r="E329" s="118"/>
      <c r="F329" s="118"/>
    </row>
    <row r="330" spans="2:6">
      <c r="B330" s="47"/>
      <c r="C330" s="118"/>
      <c r="D330" s="118"/>
      <c r="E330" s="118"/>
      <c r="F330" s="118"/>
    </row>
    <row r="331" spans="2:6">
      <c r="B331" s="47"/>
      <c r="C331" s="118"/>
      <c r="D331" s="118"/>
      <c r="E331" s="118"/>
      <c r="F331" s="118"/>
    </row>
    <row r="332" spans="2:6">
      <c r="B332" s="47"/>
      <c r="C332" s="118"/>
      <c r="D332" s="118"/>
      <c r="E332" s="118"/>
      <c r="F332" s="118"/>
    </row>
    <row r="333" spans="2:6">
      <c r="B333" s="47"/>
      <c r="C333" s="118"/>
      <c r="D333" s="118"/>
      <c r="E333" s="118"/>
      <c r="F333" s="118"/>
    </row>
    <row r="334" spans="2:6">
      <c r="B334" s="47"/>
      <c r="C334" s="118"/>
      <c r="D334" s="118"/>
      <c r="E334" s="118"/>
      <c r="F334" s="118"/>
    </row>
    <row r="335" spans="2:6">
      <c r="B335" s="47"/>
      <c r="C335" s="118"/>
      <c r="D335" s="118"/>
      <c r="E335" s="118"/>
      <c r="F335" s="118"/>
    </row>
    <row r="336" spans="2:6">
      <c r="B336" s="47"/>
      <c r="C336" s="118"/>
      <c r="D336" s="118"/>
      <c r="E336" s="118"/>
      <c r="F336" s="118"/>
    </row>
    <row r="337" spans="2:6">
      <c r="B337" s="47"/>
      <c r="C337" s="118"/>
      <c r="D337" s="118"/>
      <c r="E337" s="118"/>
      <c r="F337" s="118"/>
    </row>
    <row r="338" spans="2:6">
      <c r="B338" s="47"/>
      <c r="C338" s="118"/>
      <c r="D338" s="118"/>
      <c r="E338" s="118"/>
      <c r="F338" s="118"/>
    </row>
    <row r="339" spans="2:6">
      <c r="B339" s="47"/>
      <c r="C339" s="118"/>
      <c r="D339" s="118"/>
      <c r="E339" s="118"/>
      <c r="F339" s="118"/>
    </row>
    <row r="340" spans="2:6">
      <c r="B340" s="47"/>
      <c r="C340" s="118"/>
      <c r="D340" s="118"/>
      <c r="E340" s="118"/>
      <c r="F340" s="118"/>
    </row>
    <row r="341" spans="2:6">
      <c r="B341" s="47"/>
      <c r="C341" s="118"/>
      <c r="D341" s="118"/>
      <c r="E341" s="118"/>
      <c r="F341" s="118"/>
    </row>
    <row r="342" spans="2:6">
      <c r="B342" s="47"/>
      <c r="C342" s="118"/>
      <c r="D342" s="118"/>
      <c r="E342" s="118"/>
      <c r="F342" s="118"/>
    </row>
    <row r="343" spans="2:6">
      <c r="B343" s="47"/>
      <c r="C343" s="118"/>
      <c r="D343" s="118"/>
      <c r="E343" s="118"/>
      <c r="F343" s="118"/>
    </row>
    <row r="344" spans="2:6">
      <c r="B344" s="47"/>
      <c r="C344" s="118"/>
      <c r="D344" s="118"/>
      <c r="E344" s="118"/>
      <c r="F344" s="118"/>
    </row>
    <row r="345" spans="2:6">
      <c r="B345" s="47"/>
      <c r="C345" s="118"/>
      <c r="D345" s="118"/>
      <c r="E345" s="118"/>
      <c r="F345" s="118"/>
    </row>
    <row r="346" spans="2:6">
      <c r="B346" s="47"/>
      <c r="C346" s="118"/>
      <c r="D346" s="118"/>
      <c r="E346" s="118"/>
      <c r="F346" s="118"/>
    </row>
    <row r="347" spans="2:6">
      <c r="B347" s="47"/>
      <c r="C347" s="118"/>
      <c r="D347" s="118"/>
      <c r="E347" s="118"/>
      <c r="F347" s="118"/>
    </row>
    <row r="348" spans="2:6">
      <c r="B348" s="47"/>
      <c r="C348" s="118"/>
      <c r="D348" s="118"/>
      <c r="E348" s="118"/>
      <c r="F348" s="118"/>
    </row>
    <row r="349" spans="2:6">
      <c r="B349" s="47"/>
      <c r="C349" s="118"/>
      <c r="D349" s="118"/>
      <c r="E349" s="118"/>
      <c r="F349" s="118"/>
    </row>
    <row r="350" spans="2:6">
      <c r="B350" s="47"/>
      <c r="C350" s="118"/>
      <c r="D350" s="118"/>
      <c r="E350" s="118"/>
      <c r="F350" s="118"/>
    </row>
    <row r="351" spans="2:6">
      <c r="B351" s="47"/>
      <c r="C351" s="118"/>
      <c r="D351" s="118"/>
      <c r="E351" s="118"/>
      <c r="F351" s="118"/>
    </row>
    <row r="352" spans="2:6">
      <c r="B352" s="47"/>
      <c r="C352" s="118"/>
      <c r="D352" s="118"/>
      <c r="E352" s="118"/>
      <c r="F352" s="118"/>
    </row>
    <row r="353" spans="2:6">
      <c r="B353" s="47"/>
      <c r="C353" s="118"/>
      <c r="D353" s="118"/>
      <c r="E353" s="118"/>
      <c r="F353" s="118"/>
    </row>
    <row r="354" spans="2:6">
      <c r="B354" s="47"/>
      <c r="C354" s="118"/>
      <c r="D354" s="118"/>
      <c r="E354" s="118"/>
      <c r="F354" s="118"/>
    </row>
    <row r="355" spans="2:6">
      <c r="B355" s="47"/>
      <c r="C355" s="118"/>
      <c r="D355" s="118"/>
      <c r="E355" s="118"/>
      <c r="F355" s="118"/>
    </row>
    <row r="356" spans="2:6">
      <c r="B356" s="47"/>
      <c r="C356" s="118"/>
      <c r="D356" s="118"/>
      <c r="E356" s="118"/>
      <c r="F356" s="118"/>
    </row>
    <row r="357" spans="2:6">
      <c r="B357" s="47"/>
      <c r="C357" s="118"/>
      <c r="D357" s="118"/>
      <c r="E357" s="118"/>
      <c r="F357" s="118"/>
    </row>
    <row r="358" spans="2:6">
      <c r="B358" s="47"/>
      <c r="C358" s="118"/>
      <c r="D358" s="118"/>
      <c r="E358" s="118"/>
      <c r="F358" s="118"/>
    </row>
    <row r="359" spans="2:6">
      <c r="B359" s="47"/>
      <c r="C359" s="118"/>
      <c r="D359" s="118"/>
      <c r="E359" s="118"/>
      <c r="F359" s="118"/>
    </row>
    <row r="360" spans="2:6">
      <c r="B360" s="47"/>
      <c r="C360" s="118"/>
      <c r="D360" s="118"/>
      <c r="E360" s="118"/>
      <c r="F360" s="118"/>
    </row>
    <row r="361" spans="2:6">
      <c r="B361" s="47"/>
      <c r="C361" s="118"/>
      <c r="D361" s="118"/>
      <c r="E361" s="118"/>
      <c r="F361" s="118"/>
    </row>
    <row r="362" spans="2:6">
      <c r="B362" s="47"/>
      <c r="C362" s="118"/>
      <c r="D362" s="118"/>
      <c r="E362" s="118"/>
      <c r="F362" s="118"/>
    </row>
    <row r="363" spans="2:6">
      <c r="B363" s="47"/>
      <c r="C363" s="118"/>
      <c r="D363" s="118"/>
      <c r="E363" s="118"/>
      <c r="F363" s="118"/>
    </row>
    <row r="364" spans="2:6">
      <c r="B364" s="47"/>
      <c r="C364" s="118"/>
      <c r="D364" s="118"/>
      <c r="E364" s="118"/>
      <c r="F364" s="118"/>
    </row>
    <row r="365" spans="2:6">
      <c r="B365" s="47"/>
      <c r="C365" s="118"/>
      <c r="D365" s="118"/>
      <c r="E365" s="118"/>
      <c r="F365" s="118"/>
    </row>
    <row r="366" spans="2:6">
      <c r="B366" s="47"/>
      <c r="C366" s="118"/>
      <c r="D366" s="118"/>
      <c r="E366" s="118"/>
      <c r="F366" s="118"/>
    </row>
    <row r="367" spans="2:6">
      <c r="B367" s="47"/>
      <c r="C367" s="118"/>
      <c r="D367" s="118"/>
      <c r="E367" s="118"/>
      <c r="F367" s="118"/>
    </row>
    <row r="368" spans="2:6">
      <c r="B368" s="47"/>
      <c r="C368" s="118"/>
      <c r="D368" s="118"/>
      <c r="E368" s="118"/>
      <c r="F368" s="118"/>
    </row>
    <row r="369" spans="2:6">
      <c r="B369" s="47"/>
      <c r="C369" s="118"/>
      <c r="D369" s="118"/>
      <c r="E369" s="118"/>
      <c r="F369" s="118"/>
    </row>
    <row r="370" spans="2:6">
      <c r="B370" s="47"/>
      <c r="C370" s="118"/>
      <c r="D370" s="118"/>
      <c r="E370" s="118"/>
      <c r="F370" s="118"/>
    </row>
    <row r="371" spans="2:6">
      <c r="B371" s="47"/>
      <c r="C371" s="118"/>
      <c r="D371" s="118"/>
      <c r="E371" s="118"/>
      <c r="F371" s="118"/>
    </row>
    <row r="372" spans="2:6">
      <c r="B372" s="47"/>
      <c r="C372" s="118"/>
      <c r="D372" s="118"/>
      <c r="E372" s="118"/>
      <c r="F372" s="118"/>
    </row>
    <row r="373" spans="2:6">
      <c r="B373" s="47"/>
      <c r="C373" s="118"/>
      <c r="D373" s="118"/>
      <c r="E373" s="118"/>
      <c r="F373" s="118"/>
    </row>
    <row r="374" spans="2:6">
      <c r="B374" s="47"/>
      <c r="C374" s="118"/>
      <c r="D374" s="118"/>
      <c r="E374" s="118"/>
      <c r="F374" s="118"/>
    </row>
    <row r="375" spans="2:6">
      <c r="B375" s="47"/>
      <c r="C375" s="118"/>
      <c r="D375" s="118"/>
      <c r="E375" s="118"/>
      <c r="F375" s="118"/>
    </row>
    <row r="376" spans="2:6">
      <c r="B376" s="47"/>
      <c r="C376" s="118"/>
      <c r="D376" s="118"/>
      <c r="E376" s="118"/>
      <c r="F376" s="118"/>
    </row>
    <row r="377" spans="2:6">
      <c r="B377" s="47"/>
      <c r="C377" s="118"/>
      <c r="D377" s="118"/>
      <c r="E377" s="118"/>
      <c r="F377" s="118"/>
    </row>
    <row r="378" spans="2:6">
      <c r="B378" s="47"/>
      <c r="C378" s="118"/>
      <c r="D378" s="118"/>
      <c r="E378" s="118"/>
      <c r="F378" s="118"/>
    </row>
    <row r="379" spans="2:6">
      <c r="B379" s="47"/>
      <c r="C379" s="118"/>
      <c r="D379" s="118"/>
      <c r="E379" s="118"/>
      <c r="F379" s="118"/>
    </row>
    <row r="380" spans="2:6">
      <c r="B380" s="47"/>
      <c r="C380" s="118"/>
      <c r="D380" s="118"/>
      <c r="E380" s="118"/>
      <c r="F380" s="118"/>
    </row>
    <row r="381" spans="2:6">
      <c r="B381" s="47"/>
      <c r="C381" s="118"/>
      <c r="D381" s="118"/>
      <c r="E381" s="118"/>
      <c r="F381" s="118"/>
    </row>
    <row r="382" spans="2:6">
      <c r="B382" s="47"/>
      <c r="C382" s="118"/>
      <c r="D382" s="118"/>
      <c r="E382" s="118"/>
      <c r="F382" s="118"/>
    </row>
    <row r="383" spans="2:6">
      <c r="B383" s="47"/>
      <c r="C383" s="118"/>
      <c r="D383" s="118"/>
      <c r="E383" s="118"/>
      <c r="F383" s="118"/>
    </row>
    <row r="384" spans="2:6">
      <c r="B384" s="47"/>
      <c r="C384" s="118"/>
      <c r="D384" s="118"/>
      <c r="E384" s="118"/>
      <c r="F384" s="118"/>
    </row>
    <row r="385" spans="2:6">
      <c r="B385" s="47"/>
      <c r="C385" s="118"/>
      <c r="D385" s="118"/>
      <c r="E385" s="118"/>
      <c r="F385" s="118"/>
    </row>
    <row r="386" spans="2:6">
      <c r="B386" s="47"/>
      <c r="C386" s="118"/>
      <c r="D386" s="118"/>
      <c r="E386" s="118"/>
      <c r="F386" s="118"/>
    </row>
    <row r="387" spans="2:6">
      <c r="B387" s="47"/>
      <c r="C387" s="118"/>
      <c r="D387" s="118"/>
      <c r="E387" s="118"/>
      <c r="F387" s="118"/>
    </row>
    <row r="388" spans="2:6">
      <c r="B388" s="47"/>
      <c r="C388" s="118"/>
      <c r="D388" s="118"/>
      <c r="E388" s="118"/>
      <c r="F388" s="118"/>
    </row>
    <row r="389" spans="2:6">
      <c r="B389" s="47"/>
      <c r="C389" s="118"/>
      <c r="D389" s="118"/>
      <c r="E389" s="118"/>
      <c r="F389" s="118"/>
    </row>
    <row r="390" spans="2:6">
      <c r="B390" s="47"/>
      <c r="C390" s="118"/>
      <c r="D390" s="118"/>
      <c r="E390" s="118"/>
      <c r="F390" s="118"/>
    </row>
    <row r="391" spans="2:6">
      <c r="B391" s="47"/>
      <c r="C391" s="118"/>
      <c r="D391" s="118"/>
      <c r="E391" s="118"/>
      <c r="F391" s="118"/>
    </row>
    <row r="392" spans="2:6">
      <c r="B392" s="47"/>
      <c r="C392" s="118"/>
      <c r="D392" s="118"/>
      <c r="E392" s="118"/>
      <c r="F392" s="118"/>
    </row>
    <row r="393" spans="2:6">
      <c r="B393" s="47"/>
      <c r="C393" s="118"/>
      <c r="D393" s="118"/>
      <c r="E393" s="118"/>
      <c r="F393" s="118"/>
    </row>
    <row r="394" spans="2:6">
      <c r="B394" s="47"/>
      <c r="C394" s="118"/>
      <c r="D394" s="118"/>
      <c r="E394" s="118"/>
      <c r="F394" s="118"/>
    </row>
    <row r="395" spans="2:6">
      <c r="B395" s="47"/>
      <c r="C395" s="118"/>
      <c r="D395" s="118"/>
      <c r="E395" s="118"/>
      <c r="F395" s="118"/>
    </row>
    <row r="396" spans="2:6">
      <c r="B396" s="47"/>
      <c r="C396" s="118"/>
      <c r="D396" s="118"/>
      <c r="E396" s="118"/>
      <c r="F396" s="118"/>
    </row>
    <row r="397" spans="2:6">
      <c r="B397" s="47"/>
      <c r="C397" s="118"/>
      <c r="D397" s="118"/>
      <c r="E397" s="118"/>
      <c r="F397" s="118"/>
    </row>
    <row r="398" spans="2:6">
      <c r="B398" s="47"/>
      <c r="C398" s="118"/>
      <c r="D398" s="118"/>
      <c r="E398" s="118"/>
      <c r="F398" s="118"/>
    </row>
    <row r="399" spans="2:6">
      <c r="B399" s="47"/>
      <c r="C399" s="118"/>
      <c r="D399" s="118"/>
      <c r="E399" s="118"/>
      <c r="F399" s="118"/>
    </row>
    <row r="400" spans="2:6">
      <c r="B400" s="47"/>
      <c r="C400" s="118"/>
      <c r="D400" s="118"/>
      <c r="E400" s="118"/>
      <c r="F400" s="118"/>
    </row>
    <row r="401" spans="2:6">
      <c r="B401" s="47"/>
      <c r="C401" s="118"/>
      <c r="D401" s="118"/>
      <c r="E401" s="118"/>
      <c r="F401" s="118"/>
    </row>
    <row r="402" spans="2:6">
      <c r="B402" s="47"/>
      <c r="C402" s="118"/>
      <c r="D402" s="118"/>
      <c r="E402" s="118"/>
      <c r="F402" s="118"/>
    </row>
    <row r="403" spans="2:6">
      <c r="B403" s="47"/>
      <c r="C403" s="118"/>
      <c r="D403" s="118"/>
      <c r="E403" s="118"/>
      <c r="F403" s="118"/>
    </row>
    <row r="404" spans="2:6">
      <c r="B404" s="47"/>
      <c r="C404" s="118"/>
      <c r="D404" s="118"/>
      <c r="E404" s="118"/>
      <c r="F404" s="118"/>
    </row>
    <row r="405" spans="2:6">
      <c r="B405" s="47"/>
      <c r="C405" s="118"/>
      <c r="D405" s="118"/>
      <c r="E405" s="118"/>
      <c r="F405" s="118"/>
    </row>
    <row r="406" spans="2:6">
      <c r="B406" s="47"/>
      <c r="C406" s="118"/>
      <c r="D406" s="118"/>
      <c r="E406" s="118"/>
      <c r="F406" s="118"/>
    </row>
    <row r="407" spans="2:6">
      <c r="B407" s="47"/>
      <c r="C407" s="118"/>
      <c r="D407" s="118"/>
      <c r="E407" s="118"/>
      <c r="F407" s="118"/>
    </row>
    <row r="408" spans="2:6">
      <c r="B408" s="47"/>
      <c r="C408" s="118"/>
      <c r="D408" s="118"/>
      <c r="E408" s="118"/>
      <c r="F408" s="118"/>
    </row>
    <row r="409" spans="2:6">
      <c r="B409" s="47"/>
      <c r="C409" s="118"/>
      <c r="D409" s="118"/>
      <c r="E409" s="118"/>
      <c r="F409" s="118"/>
    </row>
    <row r="410" spans="2:6">
      <c r="B410" s="47"/>
      <c r="C410" s="118"/>
      <c r="D410" s="118"/>
      <c r="E410" s="118"/>
      <c r="F410" s="118"/>
    </row>
    <row r="411" spans="2:6">
      <c r="B411" s="47"/>
      <c r="C411" s="118"/>
      <c r="D411" s="118"/>
      <c r="E411" s="118"/>
      <c r="F411" s="118"/>
    </row>
    <row r="412" spans="2:6">
      <c r="B412" s="47"/>
      <c r="C412" s="118"/>
      <c r="D412" s="118"/>
      <c r="E412" s="118"/>
      <c r="F412" s="118"/>
    </row>
    <row r="413" spans="2:6">
      <c r="B413" s="47"/>
      <c r="C413" s="118"/>
      <c r="D413" s="118"/>
      <c r="E413" s="118"/>
      <c r="F413" s="118"/>
    </row>
    <row r="414" spans="2:6">
      <c r="B414" s="47"/>
      <c r="C414" s="118"/>
      <c r="D414" s="118"/>
      <c r="E414" s="118"/>
      <c r="F414" s="118"/>
    </row>
    <row r="415" spans="2:6">
      <c r="B415" s="47"/>
      <c r="C415" s="118"/>
      <c r="D415" s="118"/>
      <c r="E415" s="118"/>
      <c r="F415" s="118"/>
    </row>
    <row r="416" spans="2:6">
      <c r="B416" s="47"/>
      <c r="C416" s="118"/>
      <c r="D416" s="118"/>
      <c r="E416" s="118"/>
      <c r="F416" s="118"/>
    </row>
    <row r="417" spans="2:6">
      <c r="B417" s="47"/>
      <c r="C417" s="118"/>
      <c r="D417" s="118"/>
      <c r="E417" s="118"/>
      <c r="F417" s="118"/>
    </row>
    <row r="418" spans="2:6">
      <c r="B418" s="47"/>
      <c r="C418" s="118"/>
      <c r="D418" s="118"/>
      <c r="E418" s="118"/>
      <c r="F418" s="118"/>
    </row>
    <row r="419" spans="2:6">
      <c r="B419" s="47"/>
      <c r="C419" s="118"/>
      <c r="D419" s="118"/>
      <c r="E419" s="118"/>
      <c r="F419" s="118"/>
    </row>
    <row r="420" spans="2:6">
      <c r="B420" s="47"/>
      <c r="C420" s="118"/>
      <c r="D420" s="118"/>
      <c r="E420" s="118"/>
      <c r="F420" s="118"/>
    </row>
    <row r="421" spans="2:6">
      <c r="B421" s="47"/>
      <c r="C421" s="118"/>
      <c r="D421" s="118"/>
      <c r="E421" s="118"/>
      <c r="F421" s="118"/>
    </row>
    <row r="422" spans="2:6">
      <c r="B422" s="47"/>
      <c r="C422" s="118"/>
      <c r="D422" s="118"/>
      <c r="E422" s="118"/>
      <c r="F422" s="118"/>
    </row>
    <row r="423" spans="2:6">
      <c r="B423" s="47"/>
      <c r="C423" s="118"/>
      <c r="D423" s="118"/>
      <c r="E423" s="118"/>
      <c r="F423" s="118"/>
    </row>
    <row r="424" spans="2:6">
      <c r="B424" s="47"/>
      <c r="C424" s="118"/>
      <c r="D424" s="118"/>
      <c r="E424" s="118"/>
      <c r="F424" s="118"/>
    </row>
    <row r="425" spans="2:6">
      <c r="B425" s="47"/>
      <c r="C425" s="118"/>
      <c r="D425" s="118"/>
      <c r="E425" s="118"/>
      <c r="F425" s="118"/>
    </row>
    <row r="426" spans="2:6">
      <c r="B426" s="47"/>
      <c r="C426" s="118"/>
      <c r="D426" s="118"/>
      <c r="E426" s="118"/>
      <c r="F426" s="118"/>
    </row>
    <row r="427" spans="2:6">
      <c r="B427" s="47"/>
      <c r="C427" s="118"/>
      <c r="D427" s="118"/>
      <c r="E427" s="118"/>
      <c r="F427" s="118"/>
    </row>
    <row r="428" spans="2:6">
      <c r="B428" s="47"/>
      <c r="C428" s="118"/>
      <c r="D428" s="118"/>
      <c r="E428" s="118"/>
      <c r="F428" s="118"/>
    </row>
    <row r="429" spans="2:6">
      <c r="B429" s="47"/>
      <c r="C429" s="118"/>
      <c r="D429" s="118"/>
      <c r="E429" s="118"/>
      <c r="F429" s="118"/>
    </row>
    <row r="430" spans="2:6">
      <c r="B430" s="47"/>
      <c r="C430" s="118"/>
      <c r="D430" s="118"/>
      <c r="E430" s="118"/>
      <c r="F430" s="118"/>
    </row>
    <row r="431" spans="2:6">
      <c r="B431" s="47"/>
      <c r="C431" s="118"/>
      <c r="D431" s="118"/>
      <c r="E431" s="118"/>
      <c r="F431" s="118"/>
    </row>
    <row r="432" spans="2:6">
      <c r="B432" s="47"/>
      <c r="C432" s="118"/>
      <c r="D432" s="118"/>
      <c r="E432" s="118"/>
      <c r="F432" s="118"/>
    </row>
    <row r="433" spans="2:6">
      <c r="B433" s="47"/>
      <c r="C433" s="118"/>
      <c r="D433" s="118"/>
      <c r="E433" s="118"/>
      <c r="F433" s="118"/>
    </row>
    <row r="434" spans="2:6">
      <c r="B434" s="47"/>
      <c r="C434" s="118"/>
      <c r="D434" s="118"/>
      <c r="E434" s="118"/>
      <c r="F434" s="118"/>
    </row>
    <row r="435" spans="2:6">
      <c r="B435" s="47"/>
      <c r="C435" s="118"/>
      <c r="D435" s="118"/>
      <c r="E435" s="118"/>
      <c r="F435" s="118"/>
    </row>
    <row r="436" spans="2:6">
      <c r="B436" s="47"/>
      <c r="C436" s="118"/>
      <c r="D436" s="118"/>
      <c r="E436" s="118"/>
      <c r="F436" s="118"/>
    </row>
    <row r="437" spans="2:6">
      <c r="B437" s="47"/>
      <c r="C437" s="118"/>
      <c r="D437" s="118"/>
      <c r="E437" s="118"/>
      <c r="F437" s="118"/>
    </row>
    <row r="438" spans="2:6">
      <c r="B438" s="47"/>
      <c r="C438" s="118"/>
      <c r="D438" s="118"/>
      <c r="E438" s="118"/>
      <c r="F438" s="118"/>
    </row>
    <row r="439" spans="2:6">
      <c r="B439" s="47"/>
      <c r="C439" s="118"/>
      <c r="D439" s="118"/>
      <c r="E439" s="118"/>
      <c r="F439" s="118"/>
    </row>
    <row r="440" spans="2:6">
      <c r="B440" s="47"/>
      <c r="C440" s="118"/>
      <c r="D440" s="118"/>
      <c r="E440" s="118"/>
      <c r="F440" s="118"/>
    </row>
    <row r="441" spans="2:6">
      <c r="B441" s="47"/>
      <c r="C441" s="118"/>
      <c r="D441" s="118"/>
      <c r="E441" s="118"/>
      <c r="F441" s="118"/>
    </row>
    <row r="442" spans="2:6">
      <c r="B442" s="47"/>
      <c r="C442" s="118"/>
      <c r="D442" s="118"/>
      <c r="E442" s="118"/>
      <c r="F442" s="118"/>
    </row>
    <row r="443" spans="2:6">
      <c r="B443" s="47"/>
      <c r="C443" s="118"/>
      <c r="D443" s="118"/>
      <c r="E443" s="118"/>
      <c r="F443" s="118"/>
    </row>
    <row r="444" spans="2:6">
      <c r="B444" s="47"/>
      <c r="C444" s="118"/>
      <c r="D444" s="118"/>
      <c r="E444" s="118"/>
      <c r="F444" s="118"/>
    </row>
    <row r="445" spans="2:6">
      <c r="B445" s="47"/>
      <c r="C445" s="118"/>
      <c r="D445" s="118"/>
      <c r="E445" s="118"/>
      <c r="F445" s="118"/>
    </row>
    <row r="446" spans="2:6">
      <c r="B446" s="47"/>
      <c r="C446" s="118"/>
      <c r="D446" s="118"/>
      <c r="E446" s="118"/>
      <c r="F446" s="118"/>
    </row>
    <row r="447" spans="2:6">
      <c r="B447" s="47"/>
      <c r="C447" s="118"/>
      <c r="D447" s="118"/>
      <c r="E447" s="118"/>
      <c r="F447" s="118"/>
    </row>
    <row r="448" spans="2:6">
      <c r="B448" s="47"/>
      <c r="C448" s="118"/>
      <c r="D448" s="118"/>
      <c r="E448" s="118"/>
      <c r="F448" s="118"/>
    </row>
    <row r="449" spans="2:6">
      <c r="B449" s="47"/>
      <c r="C449" s="118"/>
      <c r="D449" s="118"/>
      <c r="E449" s="118"/>
      <c r="F449" s="118"/>
    </row>
    <row r="450" spans="2:6">
      <c r="B450" s="47"/>
      <c r="C450" s="118"/>
      <c r="D450" s="118"/>
      <c r="E450" s="118"/>
      <c r="F450" s="118"/>
    </row>
    <row r="451" spans="2:6">
      <c r="B451" s="47"/>
      <c r="C451" s="118"/>
      <c r="D451" s="118"/>
      <c r="E451" s="118"/>
      <c r="F451" s="118"/>
    </row>
    <row r="452" spans="2:6">
      <c r="B452" s="47"/>
      <c r="C452" s="118"/>
      <c r="D452" s="118"/>
      <c r="E452" s="118"/>
      <c r="F452" s="118"/>
    </row>
    <row r="453" spans="2:6">
      <c r="B453" s="47"/>
      <c r="C453" s="118"/>
      <c r="D453" s="118"/>
      <c r="E453" s="118"/>
      <c r="F453" s="118"/>
    </row>
    <row r="454" spans="2:6">
      <c r="B454" s="47"/>
      <c r="C454" s="118"/>
      <c r="D454" s="118"/>
      <c r="E454" s="118"/>
      <c r="F454" s="118"/>
    </row>
    <row r="455" spans="2:6">
      <c r="B455" s="47"/>
      <c r="C455" s="118"/>
      <c r="D455" s="118"/>
      <c r="E455" s="118"/>
      <c r="F455" s="118"/>
    </row>
    <row r="456" spans="2:6">
      <c r="B456" s="47"/>
      <c r="C456" s="118"/>
      <c r="D456" s="118"/>
      <c r="E456" s="118"/>
      <c r="F456" s="118"/>
    </row>
    <row r="457" spans="2:6">
      <c r="B457" s="47"/>
      <c r="C457" s="118"/>
      <c r="D457" s="118"/>
      <c r="E457" s="118"/>
      <c r="F457" s="118"/>
    </row>
    <row r="458" spans="2:6">
      <c r="B458" s="47"/>
      <c r="C458" s="118"/>
      <c r="D458" s="118"/>
      <c r="E458" s="118"/>
      <c r="F458" s="118"/>
    </row>
    <row r="459" spans="2:6">
      <c r="B459" s="47"/>
      <c r="C459" s="118"/>
      <c r="D459" s="118"/>
      <c r="E459" s="118"/>
      <c r="F459" s="118"/>
    </row>
    <row r="460" spans="2:6">
      <c r="B460" s="47"/>
      <c r="C460" s="118"/>
      <c r="D460" s="118"/>
      <c r="E460" s="118"/>
      <c r="F460" s="118"/>
    </row>
    <row r="461" spans="2:6">
      <c r="B461" s="47"/>
      <c r="C461" s="118"/>
      <c r="D461" s="118"/>
      <c r="E461" s="118"/>
      <c r="F461" s="118"/>
    </row>
    <row r="462" spans="2:6">
      <c r="B462" s="47"/>
      <c r="C462" s="118"/>
      <c r="D462" s="118"/>
      <c r="E462" s="118"/>
      <c r="F462" s="118"/>
    </row>
    <row r="463" spans="2:6">
      <c r="B463" s="47"/>
      <c r="C463" s="118"/>
      <c r="D463" s="118"/>
      <c r="E463" s="118"/>
      <c r="F463" s="118"/>
    </row>
    <row r="464" spans="2:6">
      <c r="B464" s="47"/>
      <c r="C464" s="118"/>
      <c r="D464" s="118"/>
      <c r="E464" s="118"/>
      <c r="F464" s="118"/>
    </row>
    <row r="465" spans="2:6">
      <c r="B465" s="47"/>
      <c r="C465" s="118"/>
      <c r="D465" s="118"/>
      <c r="E465" s="118"/>
      <c r="F465" s="118"/>
    </row>
    <row r="466" spans="2:6">
      <c r="B466" s="47"/>
      <c r="C466" s="118"/>
      <c r="D466" s="118"/>
      <c r="E466" s="118"/>
      <c r="F466" s="118"/>
    </row>
    <row r="467" spans="2:6">
      <c r="B467" s="47"/>
      <c r="C467" s="118"/>
      <c r="D467" s="118"/>
      <c r="E467" s="118"/>
      <c r="F467" s="118"/>
    </row>
    <row r="468" spans="2:6">
      <c r="B468" s="47"/>
      <c r="C468" s="118"/>
      <c r="D468" s="118"/>
      <c r="E468" s="118"/>
      <c r="F468" s="118"/>
    </row>
    <row r="469" spans="2:6">
      <c r="B469" s="47"/>
      <c r="C469" s="118"/>
      <c r="D469" s="118"/>
      <c r="E469" s="118"/>
      <c r="F469" s="118"/>
    </row>
    <row r="470" spans="2:6">
      <c r="B470" s="47"/>
      <c r="C470" s="118"/>
      <c r="D470" s="118"/>
      <c r="E470" s="118"/>
      <c r="F470" s="118"/>
    </row>
    <row r="471" spans="2:6">
      <c r="B471" s="47"/>
      <c r="C471" s="118"/>
      <c r="D471" s="118"/>
      <c r="E471" s="118"/>
      <c r="F471" s="118"/>
    </row>
    <row r="472" spans="2:6">
      <c r="B472" s="47"/>
      <c r="C472" s="118"/>
      <c r="D472" s="118"/>
      <c r="E472" s="118"/>
      <c r="F472" s="118"/>
    </row>
    <row r="473" spans="2:6">
      <c r="B473" s="47"/>
      <c r="C473" s="118"/>
      <c r="D473" s="118"/>
      <c r="E473" s="118"/>
      <c r="F473" s="118"/>
    </row>
    <row r="474" spans="2:6">
      <c r="B474" s="47"/>
      <c r="C474" s="118"/>
      <c r="D474" s="118"/>
      <c r="E474" s="118"/>
      <c r="F474" s="118"/>
    </row>
    <row r="475" spans="2:6">
      <c r="B475" s="47"/>
      <c r="C475" s="118"/>
      <c r="D475" s="118"/>
      <c r="E475" s="118"/>
      <c r="F475" s="118"/>
    </row>
    <row r="476" spans="2:6">
      <c r="B476" s="47"/>
      <c r="C476" s="118"/>
      <c r="D476" s="118"/>
      <c r="E476" s="118"/>
      <c r="F476" s="118"/>
    </row>
    <row r="477" spans="2:6">
      <c r="B477" s="47"/>
      <c r="C477" s="118"/>
      <c r="D477" s="118"/>
      <c r="E477" s="118"/>
      <c r="F477" s="118"/>
    </row>
    <row r="478" spans="2:6">
      <c r="B478" s="47"/>
      <c r="C478" s="118"/>
      <c r="D478" s="118"/>
      <c r="E478" s="118"/>
      <c r="F478" s="118"/>
    </row>
    <row r="479" spans="2:6">
      <c r="B479" s="47"/>
      <c r="C479" s="118"/>
      <c r="D479" s="118"/>
      <c r="E479" s="118"/>
      <c r="F479" s="118"/>
    </row>
    <row r="480" spans="2:6">
      <c r="B480" s="47"/>
      <c r="C480" s="118"/>
      <c r="D480" s="118"/>
      <c r="E480" s="118"/>
      <c r="F480" s="118"/>
    </row>
    <row r="481" spans="2:6">
      <c r="B481" s="47"/>
      <c r="C481" s="118"/>
      <c r="D481" s="118"/>
      <c r="E481" s="118"/>
      <c r="F481" s="118"/>
    </row>
    <row r="482" spans="2:6">
      <c r="B482" s="47"/>
      <c r="C482" s="118"/>
      <c r="D482" s="118"/>
      <c r="E482" s="118"/>
      <c r="F482" s="118"/>
    </row>
    <row r="483" spans="2:6">
      <c r="B483" s="47"/>
      <c r="C483" s="118"/>
      <c r="D483" s="118"/>
      <c r="E483" s="118"/>
      <c r="F483" s="118"/>
    </row>
    <row r="484" spans="2:6">
      <c r="B484" s="47"/>
      <c r="C484" s="118"/>
      <c r="D484" s="118"/>
      <c r="E484" s="118"/>
      <c r="F484" s="118"/>
    </row>
    <row r="485" spans="2:6">
      <c r="B485" s="47"/>
      <c r="C485" s="118"/>
      <c r="D485" s="118"/>
      <c r="E485" s="118"/>
      <c r="F485" s="118"/>
    </row>
    <row r="486" spans="2:6">
      <c r="B486" s="47"/>
      <c r="C486" s="118"/>
      <c r="D486" s="118"/>
      <c r="E486" s="118"/>
      <c r="F486" s="118"/>
    </row>
    <row r="487" spans="2:6">
      <c r="B487" s="47"/>
      <c r="C487" s="118"/>
      <c r="D487" s="118"/>
      <c r="E487" s="118"/>
      <c r="F487" s="118"/>
    </row>
    <row r="488" spans="2:6">
      <c r="B488" s="47"/>
      <c r="C488" s="118"/>
      <c r="D488" s="118"/>
      <c r="E488" s="118"/>
      <c r="F488" s="118"/>
    </row>
    <row r="489" spans="2:6">
      <c r="B489" s="47"/>
      <c r="C489" s="118"/>
      <c r="D489" s="118"/>
      <c r="E489" s="118"/>
      <c r="F489" s="118"/>
    </row>
    <row r="490" spans="2:6">
      <c r="B490" s="47"/>
      <c r="C490" s="118"/>
      <c r="D490" s="118"/>
      <c r="E490" s="118"/>
      <c r="F490" s="118"/>
    </row>
    <row r="491" spans="2:6">
      <c r="B491" s="47"/>
      <c r="C491" s="118"/>
      <c r="D491" s="118"/>
      <c r="E491" s="118"/>
      <c r="F491" s="118"/>
    </row>
    <row r="492" spans="2:6">
      <c r="B492" s="47"/>
      <c r="C492" s="118"/>
      <c r="D492" s="118"/>
      <c r="E492" s="118"/>
      <c r="F492" s="118"/>
    </row>
    <row r="493" spans="2:6">
      <c r="B493" s="47"/>
      <c r="C493" s="118"/>
      <c r="D493" s="118"/>
      <c r="E493" s="118"/>
      <c r="F493" s="118"/>
    </row>
    <row r="494" spans="2:6">
      <c r="B494" s="47"/>
      <c r="C494" s="118"/>
      <c r="D494" s="118"/>
      <c r="E494" s="118"/>
      <c r="F494" s="118"/>
    </row>
    <row r="495" spans="2:6">
      <c r="B495" s="47"/>
      <c r="C495" s="118"/>
      <c r="D495" s="118"/>
      <c r="E495" s="118"/>
      <c r="F495" s="118"/>
    </row>
    <row r="496" spans="2:6">
      <c r="B496" s="47"/>
      <c r="C496" s="118"/>
      <c r="D496" s="118"/>
      <c r="E496" s="118"/>
      <c r="F496" s="118"/>
    </row>
    <row r="497" spans="2:6">
      <c r="B497" s="47"/>
      <c r="C497" s="118"/>
      <c r="D497" s="118"/>
      <c r="E497" s="118"/>
      <c r="F497" s="118"/>
    </row>
    <row r="498" spans="2:6">
      <c r="B498" s="47"/>
      <c r="C498" s="118"/>
      <c r="D498" s="118"/>
      <c r="E498" s="118"/>
      <c r="F498" s="118"/>
    </row>
    <row r="499" spans="2:6">
      <c r="B499" s="47"/>
      <c r="C499" s="118"/>
      <c r="D499" s="118"/>
      <c r="E499" s="118"/>
      <c r="F499" s="118"/>
    </row>
    <row r="500" spans="2:6">
      <c r="B500" s="47"/>
      <c r="C500" s="118"/>
      <c r="D500" s="118"/>
      <c r="E500" s="118"/>
      <c r="F500" s="118"/>
    </row>
    <row r="501" spans="2:6">
      <c r="B501" s="47"/>
      <c r="C501" s="118"/>
      <c r="D501" s="118"/>
      <c r="E501" s="118"/>
      <c r="F501" s="118"/>
    </row>
    <row r="502" spans="2:6">
      <c r="B502" s="47"/>
      <c r="C502" s="118"/>
      <c r="D502" s="118"/>
      <c r="E502" s="118"/>
      <c r="F502" s="118"/>
    </row>
    <row r="503" spans="2:6">
      <c r="B503" s="47"/>
      <c r="C503" s="118"/>
      <c r="D503" s="118"/>
      <c r="E503" s="118"/>
      <c r="F503" s="118"/>
    </row>
    <row r="504" spans="2:6">
      <c r="B504" s="47"/>
      <c r="C504" s="118"/>
      <c r="D504" s="118"/>
      <c r="E504" s="118"/>
      <c r="F504" s="118"/>
    </row>
    <row r="505" spans="2:6">
      <c r="B505" s="47"/>
      <c r="C505" s="118"/>
      <c r="D505" s="118"/>
      <c r="E505" s="118"/>
      <c r="F505" s="118"/>
    </row>
    <row r="506" spans="2:6">
      <c r="B506" s="47"/>
      <c r="C506" s="118"/>
      <c r="D506" s="118"/>
      <c r="E506" s="118"/>
      <c r="F506" s="118"/>
    </row>
    <row r="507" spans="2:6">
      <c r="B507" s="47"/>
      <c r="C507" s="118"/>
      <c r="D507" s="118"/>
      <c r="E507" s="118"/>
      <c r="F507" s="118"/>
    </row>
    <row r="508" spans="2:6">
      <c r="B508" s="47"/>
      <c r="C508" s="118"/>
      <c r="D508" s="118"/>
      <c r="E508" s="118"/>
      <c r="F508" s="118"/>
    </row>
    <row r="509" spans="2:6">
      <c r="B509" s="47"/>
      <c r="C509" s="118"/>
      <c r="D509" s="118"/>
      <c r="E509" s="118"/>
      <c r="F509" s="118"/>
    </row>
    <row r="510" spans="2:6">
      <c r="B510" s="47"/>
      <c r="C510" s="118"/>
      <c r="D510" s="118"/>
      <c r="E510" s="118"/>
      <c r="F510" s="118"/>
    </row>
    <row r="511" spans="2:6">
      <c r="B511" s="47"/>
      <c r="C511" s="118"/>
      <c r="D511" s="118"/>
      <c r="E511" s="118"/>
      <c r="F511" s="118"/>
    </row>
    <row r="512" spans="2:6">
      <c r="B512" s="47"/>
      <c r="C512" s="118"/>
      <c r="D512" s="118"/>
      <c r="E512" s="118"/>
      <c r="F512" s="118"/>
    </row>
    <row r="513" spans="2:6">
      <c r="B513" s="47"/>
      <c r="C513" s="118"/>
      <c r="D513" s="118"/>
      <c r="E513" s="118"/>
      <c r="F513" s="118"/>
    </row>
    <row r="514" spans="2:6">
      <c r="B514" s="47"/>
      <c r="C514" s="118"/>
      <c r="D514" s="118"/>
      <c r="E514" s="118"/>
      <c r="F514" s="118"/>
    </row>
    <row r="515" spans="2:6">
      <c r="B515" s="47"/>
      <c r="C515" s="118"/>
      <c r="D515" s="118"/>
      <c r="E515" s="118"/>
      <c r="F515" s="118"/>
    </row>
    <row r="516" spans="2:6">
      <c r="B516" s="47"/>
      <c r="C516" s="118"/>
      <c r="D516" s="118"/>
      <c r="E516" s="118"/>
      <c r="F516" s="118"/>
    </row>
    <row r="517" spans="2:6">
      <c r="B517" s="47"/>
      <c r="C517" s="118"/>
      <c r="D517" s="118"/>
      <c r="E517" s="118"/>
      <c r="F517" s="118"/>
    </row>
    <row r="518" spans="2:6">
      <c r="B518" s="47"/>
      <c r="C518" s="118"/>
      <c r="D518" s="118"/>
      <c r="E518" s="118"/>
      <c r="F518" s="118"/>
    </row>
    <row r="519" spans="2:6">
      <c r="B519" s="47"/>
      <c r="C519" s="118"/>
      <c r="D519" s="118"/>
      <c r="E519" s="118"/>
      <c r="F519" s="118"/>
    </row>
    <row r="520" spans="2:6">
      <c r="B520" s="47"/>
      <c r="C520" s="118"/>
      <c r="D520" s="118"/>
      <c r="E520" s="118"/>
      <c r="F520" s="118"/>
    </row>
    <row r="521" spans="2:6">
      <c r="B521" s="47"/>
      <c r="C521" s="118"/>
      <c r="D521" s="118"/>
      <c r="E521" s="118"/>
      <c r="F521" s="118"/>
    </row>
    <row r="522" spans="2:6">
      <c r="B522" s="47"/>
      <c r="C522" s="118"/>
      <c r="D522" s="118"/>
      <c r="E522" s="118"/>
      <c r="F522" s="118"/>
    </row>
    <row r="523" spans="2:6">
      <c r="B523" s="47"/>
      <c r="C523" s="118"/>
      <c r="D523" s="118"/>
      <c r="E523" s="118"/>
      <c r="F523" s="118"/>
    </row>
    <row r="524" spans="2:6">
      <c r="B524" s="47"/>
      <c r="C524" s="118"/>
      <c r="D524" s="118"/>
      <c r="E524" s="118"/>
      <c r="F524" s="118"/>
    </row>
    <row r="525" spans="2:6">
      <c r="B525" s="47"/>
      <c r="C525" s="118"/>
      <c r="D525" s="118"/>
      <c r="E525" s="118"/>
      <c r="F525" s="118"/>
    </row>
    <row r="526" spans="2:6">
      <c r="B526" s="47"/>
      <c r="C526" s="118"/>
      <c r="D526" s="118"/>
      <c r="E526" s="118"/>
      <c r="F526" s="118"/>
    </row>
    <row r="527" spans="2:6">
      <c r="B527" s="47"/>
      <c r="C527" s="118"/>
      <c r="D527" s="118"/>
      <c r="E527" s="118"/>
      <c r="F527" s="118"/>
    </row>
    <row r="528" spans="2:6">
      <c r="B528" s="47"/>
      <c r="C528" s="118"/>
      <c r="D528" s="118"/>
      <c r="E528" s="118"/>
      <c r="F528" s="118"/>
    </row>
    <row r="529" spans="2:6">
      <c r="B529" s="47"/>
      <c r="C529" s="118"/>
      <c r="D529" s="118"/>
      <c r="E529" s="118"/>
      <c r="F529" s="118"/>
    </row>
    <row r="530" spans="2:6">
      <c r="B530" s="47"/>
      <c r="C530" s="118"/>
      <c r="D530" s="118"/>
      <c r="E530" s="118"/>
      <c r="F530" s="118"/>
    </row>
    <row r="531" spans="2:6">
      <c r="B531" s="47"/>
      <c r="C531" s="118"/>
      <c r="D531" s="118"/>
      <c r="E531" s="118"/>
      <c r="F531" s="118"/>
    </row>
    <row r="532" spans="2:6">
      <c r="B532" s="47"/>
      <c r="C532" s="118"/>
      <c r="D532" s="118"/>
      <c r="E532" s="118"/>
      <c r="F532" s="118"/>
    </row>
    <row r="533" spans="2:6">
      <c r="B533" s="47"/>
      <c r="C533" s="118"/>
      <c r="D533" s="118"/>
      <c r="E533" s="118"/>
      <c r="F533" s="118"/>
    </row>
    <row r="534" spans="2:6">
      <c r="B534" s="47"/>
      <c r="C534" s="118"/>
      <c r="D534" s="118"/>
      <c r="E534" s="118"/>
      <c r="F534" s="118"/>
    </row>
    <row r="535" spans="2:6">
      <c r="B535" s="47"/>
      <c r="C535" s="118"/>
      <c r="D535" s="118"/>
      <c r="E535" s="118"/>
      <c r="F535" s="118"/>
    </row>
    <row r="536" spans="2:6">
      <c r="B536" s="47"/>
      <c r="C536" s="118"/>
      <c r="D536" s="118"/>
      <c r="E536" s="118"/>
      <c r="F536" s="118"/>
    </row>
    <row r="537" spans="2:6">
      <c r="B537" s="47"/>
      <c r="C537" s="118"/>
      <c r="D537" s="118"/>
      <c r="E537" s="118"/>
      <c r="F537" s="118"/>
    </row>
    <row r="538" spans="2:6">
      <c r="B538" s="47"/>
      <c r="C538" s="118"/>
      <c r="D538" s="118"/>
      <c r="E538" s="118"/>
      <c r="F538" s="118"/>
    </row>
    <row r="539" spans="2:6">
      <c r="B539" s="47"/>
      <c r="C539" s="118"/>
      <c r="D539" s="118"/>
      <c r="E539" s="118"/>
      <c r="F539" s="118"/>
    </row>
    <row r="540" spans="2:6">
      <c r="B540" s="47"/>
      <c r="C540" s="118"/>
      <c r="D540" s="118"/>
      <c r="E540" s="118"/>
      <c r="F540" s="118"/>
    </row>
    <row r="541" spans="2:6">
      <c r="B541" s="47"/>
      <c r="C541" s="118"/>
      <c r="D541" s="118"/>
      <c r="E541" s="118"/>
      <c r="F541" s="118"/>
    </row>
    <row r="542" spans="2:6">
      <c r="B542" s="47"/>
      <c r="C542" s="118"/>
      <c r="D542" s="118"/>
      <c r="E542" s="118"/>
      <c r="F542" s="118"/>
    </row>
    <row r="543" spans="2:6">
      <c r="B543" s="47"/>
      <c r="C543" s="118"/>
      <c r="D543" s="118"/>
      <c r="E543" s="118"/>
      <c r="F543" s="118"/>
    </row>
    <row r="544" spans="2:6">
      <c r="B544" s="47"/>
      <c r="C544" s="118"/>
      <c r="D544" s="118"/>
      <c r="E544" s="118"/>
      <c r="F544" s="118"/>
    </row>
    <row r="545" spans="2:6">
      <c r="B545" s="47"/>
      <c r="C545" s="118"/>
      <c r="D545" s="118"/>
      <c r="E545" s="118"/>
      <c r="F545" s="118"/>
    </row>
    <row r="546" spans="2:6">
      <c r="B546" s="47"/>
      <c r="C546" s="118"/>
      <c r="D546" s="118"/>
      <c r="E546" s="118"/>
      <c r="F546" s="118"/>
    </row>
    <row r="547" spans="2:6">
      <c r="B547" s="47"/>
      <c r="C547" s="118"/>
      <c r="D547" s="118"/>
      <c r="E547" s="118"/>
      <c r="F547" s="118"/>
    </row>
    <row r="548" spans="2:6">
      <c r="B548" s="47"/>
      <c r="C548" s="118"/>
      <c r="D548" s="118"/>
      <c r="E548" s="118"/>
      <c r="F548" s="118"/>
    </row>
    <row r="549" spans="2:6">
      <c r="B549" s="47"/>
      <c r="C549" s="118"/>
      <c r="D549" s="118"/>
      <c r="E549" s="118"/>
      <c r="F549" s="118"/>
    </row>
    <row r="550" spans="2:6">
      <c r="B550" s="47"/>
      <c r="C550" s="118"/>
      <c r="D550" s="118"/>
      <c r="E550" s="118"/>
      <c r="F550" s="118"/>
    </row>
    <row r="551" spans="2:6">
      <c r="B551" s="47"/>
      <c r="C551" s="118"/>
      <c r="D551" s="118"/>
      <c r="E551" s="118"/>
      <c r="F551" s="118"/>
    </row>
    <row r="552" spans="2:6">
      <c r="B552" s="47"/>
      <c r="C552" s="118"/>
      <c r="D552" s="118"/>
      <c r="E552" s="118"/>
      <c r="F552" s="118"/>
    </row>
    <row r="553" spans="2:6">
      <c r="B553" s="47"/>
      <c r="C553" s="118"/>
      <c r="D553" s="118"/>
      <c r="E553" s="118"/>
      <c r="F553" s="118"/>
    </row>
    <row r="554" spans="2:6">
      <c r="B554" s="47"/>
      <c r="C554" s="118"/>
      <c r="D554" s="118"/>
      <c r="E554" s="118"/>
      <c r="F554" s="118"/>
    </row>
    <row r="555" spans="2:6">
      <c r="B555" s="47"/>
      <c r="C555" s="118"/>
      <c r="D555" s="118"/>
      <c r="E555" s="118"/>
      <c r="F555" s="118"/>
    </row>
    <row r="556" spans="2:6">
      <c r="B556" s="47"/>
      <c r="C556" s="118"/>
      <c r="D556" s="118"/>
      <c r="E556" s="118"/>
      <c r="F556" s="118"/>
    </row>
    <row r="557" spans="2:6">
      <c r="B557" s="47"/>
      <c r="C557" s="118"/>
      <c r="D557" s="118"/>
      <c r="E557" s="118"/>
      <c r="F557" s="118"/>
    </row>
    <row r="558" spans="2:6">
      <c r="B558" s="47"/>
      <c r="C558" s="118"/>
      <c r="D558" s="118"/>
      <c r="E558" s="118"/>
      <c r="F558" s="118"/>
    </row>
    <row r="559" spans="2:6">
      <c r="B559" s="47"/>
      <c r="C559" s="118"/>
      <c r="D559" s="118"/>
      <c r="E559" s="118"/>
      <c r="F559" s="118"/>
    </row>
    <row r="560" spans="2:6">
      <c r="B560" s="47"/>
      <c r="C560" s="118"/>
      <c r="D560" s="118"/>
      <c r="E560" s="118"/>
      <c r="F560" s="118"/>
    </row>
    <row r="561" spans="2:6">
      <c r="B561" s="47"/>
      <c r="C561" s="118"/>
      <c r="D561" s="118"/>
      <c r="E561" s="118"/>
      <c r="F561" s="118"/>
    </row>
    <row r="562" spans="2:6">
      <c r="B562" s="47"/>
      <c r="C562" s="118"/>
      <c r="D562" s="118"/>
      <c r="E562" s="118"/>
      <c r="F562" s="118"/>
    </row>
    <row r="563" spans="2:6">
      <c r="B563" s="47"/>
      <c r="C563" s="118"/>
      <c r="D563" s="118"/>
      <c r="E563" s="118"/>
      <c r="F563" s="118"/>
    </row>
    <row r="564" spans="2:6">
      <c r="B564" s="47"/>
      <c r="C564" s="118"/>
      <c r="D564" s="118"/>
      <c r="E564" s="118"/>
      <c r="F564" s="118"/>
    </row>
    <row r="565" spans="2:6">
      <c r="B565" s="47"/>
      <c r="C565" s="118"/>
      <c r="D565" s="118"/>
      <c r="E565" s="118"/>
      <c r="F565" s="118"/>
    </row>
    <row r="566" spans="2:6">
      <c r="B566" s="47"/>
      <c r="C566" s="118"/>
      <c r="D566" s="118"/>
      <c r="E566" s="118"/>
      <c r="F566" s="118"/>
    </row>
    <row r="567" spans="2:6">
      <c r="B567" s="47"/>
      <c r="C567" s="118"/>
      <c r="D567" s="118"/>
      <c r="E567" s="118"/>
      <c r="F567" s="118"/>
    </row>
    <row r="568" spans="2:6">
      <c r="B568" s="47"/>
      <c r="C568" s="118"/>
      <c r="D568" s="118"/>
      <c r="E568" s="118"/>
      <c r="F568" s="118"/>
    </row>
    <row r="569" spans="2:6">
      <c r="B569" s="47"/>
      <c r="C569" s="118"/>
      <c r="D569" s="118"/>
      <c r="E569" s="118"/>
      <c r="F569" s="118"/>
    </row>
    <row r="570" spans="2:6">
      <c r="B570" s="47"/>
      <c r="C570" s="118"/>
      <c r="D570" s="118"/>
      <c r="E570" s="118"/>
      <c r="F570" s="118"/>
    </row>
    <row r="571" spans="2:6">
      <c r="B571" s="47"/>
      <c r="C571" s="118"/>
      <c r="D571" s="118"/>
      <c r="E571" s="118"/>
      <c r="F571" s="118"/>
    </row>
    <row r="572" spans="2:6">
      <c r="B572" s="47"/>
      <c r="C572" s="118"/>
      <c r="D572" s="118"/>
      <c r="E572" s="118"/>
      <c r="F572" s="118"/>
    </row>
    <row r="573" spans="2:6">
      <c r="B573" s="47"/>
      <c r="C573" s="118"/>
      <c r="D573" s="118"/>
      <c r="E573" s="118"/>
      <c r="F573" s="118"/>
    </row>
    <row r="574" spans="2:6">
      <c r="B574" s="47"/>
      <c r="C574" s="118"/>
      <c r="D574" s="118"/>
      <c r="E574" s="118"/>
      <c r="F574" s="118"/>
    </row>
    <row r="575" spans="2:6">
      <c r="B575" s="47"/>
      <c r="C575" s="118"/>
      <c r="D575" s="118"/>
      <c r="E575" s="118"/>
      <c r="F575" s="118"/>
    </row>
    <row r="576" spans="2:6">
      <c r="B576" s="47"/>
      <c r="C576" s="118"/>
      <c r="D576" s="118"/>
      <c r="E576" s="118"/>
      <c r="F576" s="118"/>
    </row>
    <row r="577" spans="2:6">
      <c r="B577" s="47"/>
      <c r="C577" s="118"/>
      <c r="D577" s="118"/>
      <c r="E577" s="118"/>
      <c r="F577" s="118"/>
    </row>
    <row r="578" spans="2:6">
      <c r="B578" s="47"/>
      <c r="C578" s="118"/>
      <c r="D578" s="118"/>
      <c r="E578" s="118"/>
      <c r="F578" s="118"/>
    </row>
    <row r="579" spans="2:6">
      <c r="B579" s="47"/>
      <c r="C579" s="118"/>
      <c r="D579" s="118"/>
      <c r="E579" s="118"/>
      <c r="F579" s="118"/>
    </row>
    <row r="580" spans="2:6">
      <c r="B580" s="47"/>
      <c r="C580" s="118"/>
      <c r="D580" s="118"/>
      <c r="E580" s="118"/>
      <c r="F580" s="118"/>
    </row>
    <row r="581" spans="2:6">
      <c r="B581" s="47"/>
      <c r="C581" s="118"/>
      <c r="D581" s="118"/>
      <c r="E581" s="118"/>
      <c r="F581" s="118"/>
    </row>
    <row r="582" spans="2:6">
      <c r="B582" s="47"/>
      <c r="C582" s="118"/>
      <c r="D582" s="118"/>
      <c r="E582" s="118"/>
      <c r="F582" s="118"/>
    </row>
    <row r="583" spans="2:6">
      <c r="B583" s="47"/>
      <c r="C583" s="118"/>
      <c r="D583" s="118"/>
      <c r="E583" s="118"/>
      <c r="F583" s="118"/>
    </row>
    <row r="584" spans="2:6">
      <c r="B584" s="47"/>
      <c r="C584" s="118"/>
      <c r="D584" s="118"/>
      <c r="E584" s="118"/>
      <c r="F584" s="118"/>
    </row>
    <row r="585" spans="2:6">
      <c r="B585" s="47"/>
      <c r="C585" s="118"/>
      <c r="D585" s="118"/>
      <c r="E585" s="118"/>
      <c r="F585" s="118"/>
    </row>
    <row r="586" spans="2:6">
      <c r="B586" s="47"/>
      <c r="C586" s="118"/>
      <c r="D586" s="118"/>
      <c r="E586" s="118"/>
      <c r="F586" s="118"/>
    </row>
    <row r="587" spans="2:6">
      <c r="B587" s="47"/>
      <c r="C587" s="118"/>
      <c r="D587" s="118"/>
      <c r="E587" s="118"/>
      <c r="F587" s="118"/>
    </row>
    <row r="588" spans="2:6">
      <c r="B588" s="47"/>
      <c r="C588" s="118"/>
      <c r="D588" s="118"/>
      <c r="E588" s="118"/>
      <c r="F588" s="118"/>
    </row>
    <row r="589" spans="2:6">
      <c r="B589" s="47"/>
      <c r="C589" s="118"/>
      <c r="D589" s="118"/>
      <c r="E589" s="118"/>
      <c r="F589" s="118"/>
    </row>
    <row r="590" spans="2:6">
      <c r="B590" s="47"/>
      <c r="C590" s="118"/>
      <c r="D590" s="118"/>
      <c r="E590" s="118"/>
      <c r="F590" s="118"/>
    </row>
    <row r="591" spans="2:6">
      <c r="B591" s="47"/>
      <c r="C591" s="118"/>
      <c r="D591" s="118"/>
      <c r="E591" s="118"/>
      <c r="F591" s="118"/>
    </row>
    <row r="592" spans="2:6">
      <c r="B592" s="47"/>
      <c r="C592" s="118"/>
      <c r="D592" s="118"/>
      <c r="E592" s="118"/>
      <c r="F592" s="118"/>
    </row>
    <row r="593" spans="2:6">
      <c r="B593" s="47"/>
      <c r="C593" s="118"/>
      <c r="D593" s="118"/>
      <c r="E593" s="118"/>
      <c r="F593" s="118"/>
    </row>
    <row r="594" spans="2:6">
      <c r="B594" s="47"/>
      <c r="C594" s="118"/>
      <c r="D594" s="118"/>
      <c r="E594" s="118"/>
      <c r="F594" s="118"/>
    </row>
    <row r="595" spans="2:6">
      <c r="B595" s="47"/>
      <c r="C595" s="118"/>
      <c r="D595" s="118"/>
      <c r="E595" s="118"/>
      <c r="F595" s="118"/>
    </row>
    <row r="596" spans="2:6">
      <c r="B596" s="47"/>
      <c r="C596" s="118"/>
      <c r="D596" s="118"/>
      <c r="E596" s="118"/>
      <c r="F596" s="118"/>
    </row>
    <row r="597" spans="2:6">
      <c r="B597" s="47"/>
      <c r="C597" s="118"/>
      <c r="D597" s="118"/>
      <c r="E597" s="118"/>
      <c r="F597" s="118"/>
    </row>
    <row r="598" spans="2:6">
      <c r="B598" s="47"/>
      <c r="C598" s="118"/>
      <c r="D598" s="118"/>
      <c r="E598" s="118"/>
      <c r="F598" s="118"/>
    </row>
    <row r="599" spans="2:6">
      <c r="B599" s="47"/>
      <c r="C599" s="118"/>
      <c r="D599" s="118"/>
      <c r="E599" s="118"/>
      <c r="F599" s="118"/>
    </row>
    <row r="600" spans="2:6">
      <c r="B600" s="47"/>
      <c r="C600" s="118"/>
      <c r="D600" s="118"/>
      <c r="E600" s="118"/>
      <c r="F600" s="118"/>
    </row>
    <row r="601" spans="2:6">
      <c r="B601" s="47"/>
      <c r="C601" s="118"/>
      <c r="D601" s="118"/>
      <c r="E601" s="118"/>
      <c r="F601" s="118"/>
    </row>
    <row r="602" spans="2:6">
      <c r="B602" s="47"/>
      <c r="C602" s="118"/>
      <c r="D602" s="118"/>
      <c r="E602" s="118"/>
      <c r="F602" s="118"/>
    </row>
    <row r="603" spans="2:6">
      <c r="B603" s="47"/>
      <c r="C603" s="118"/>
      <c r="D603" s="118"/>
      <c r="E603" s="118"/>
      <c r="F603" s="118"/>
    </row>
    <row r="604" spans="2:6">
      <c r="B604" s="47"/>
      <c r="C604" s="118"/>
      <c r="D604" s="118"/>
      <c r="E604" s="118"/>
      <c r="F604" s="118"/>
    </row>
    <row r="605" spans="2:6">
      <c r="B605" s="47"/>
      <c r="C605" s="118"/>
      <c r="D605" s="118"/>
      <c r="E605" s="118"/>
      <c r="F605" s="118"/>
    </row>
    <row r="606" spans="2:6">
      <c r="B606" s="47"/>
      <c r="C606" s="118"/>
      <c r="D606" s="118"/>
      <c r="E606" s="118"/>
      <c r="F606" s="118"/>
    </row>
    <row r="607" spans="2:6">
      <c r="B607" s="47"/>
      <c r="C607" s="118"/>
      <c r="D607" s="118"/>
      <c r="E607" s="118"/>
      <c r="F607" s="118"/>
    </row>
    <row r="608" spans="2:6">
      <c r="B608" s="47"/>
      <c r="C608" s="118"/>
      <c r="D608" s="118"/>
      <c r="E608" s="118"/>
      <c r="F608" s="118"/>
    </row>
    <row r="609" spans="2:6">
      <c r="B609" s="47"/>
      <c r="C609" s="118"/>
      <c r="D609" s="118"/>
      <c r="E609" s="118"/>
      <c r="F609" s="118"/>
    </row>
    <row r="610" spans="2:6">
      <c r="B610" s="47"/>
      <c r="C610" s="118"/>
      <c r="D610" s="118"/>
      <c r="E610" s="118"/>
      <c r="F610" s="118"/>
    </row>
    <row r="611" spans="2:6">
      <c r="B611" s="47"/>
      <c r="C611" s="118"/>
      <c r="D611" s="118"/>
      <c r="E611" s="118"/>
      <c r="F611" s="118"/>
    </row>
    <row r="612" spans="2:6">
      <c r="B612" s="47"/>
      <c r="C612" s="118"/>
      <c r="D612" s="118"/>
      <c r="E612" s="118"/>
      <c r="F612" s="118"/>
    </row>
    <row r="613" spans="2:6">
      <c r="B613" s="47"/>
      <c r="C613" s="118"/>
      <c r="D613" s="118"/>
      <c r="E613" s="118"/>
      <c r="F613" s="118"/>
    </row>
    <row r="614" spans="2:6">
      <c r="B614" s="47"/>
      <c r="C614" s="118"/>
      <c r="D614" s="118"/>
      <c r="E614" s="118"/>
      <c r="F614" s="118"/>
    </row>
    <row r="615" spans="2:6">
      <c r="B615" s="47"/>
      <c r="C615" s="118"/>
      <c r="D615" s="118"/>
      <c r="E615" s="118"/>
      <c r="F615" s="118"/>
    </row>
    <row r="616" spans="2:6">
      <c r="B616" s="47"/>
      <c r="C616" s="118"/>
      <c r="D616" s="118"/>
      <c r="E616" s="118"/>
      <c r="F616" s="118"/>
    </row>
    <row r="617" spans="2:6">
      <c r="B617" s="47"/>
      <c r="C617" s="118"/>
      <c r="D617" s="118"/>
      <c r="E617" s="118"/>
      <c r="F617" s="118"/>
    </row>
    <row r="618" spans="2:6">
      <c r="B618" s="47"/>
      <c r="C618" s="118"/>
      <c r="D618" s="118"/>
      <c r="E618" s="118"/>
      <c r="F618" s="118"/>
    </row>
    <row r="619" spans="2:6">
      <c r="B619" s="47"/>
      <c r="C619" s="118"/>
      <c r="D619" s="118"/>
      <c r="E619" s="118"/>
      <c r="F619" s="118"/>
    </row>
    <row r="620" spans="2:6">
      <c r="B620" s="47"/>
      <c r="C620" s="118"/>
      <c r="D620" s="118"/>
      <c r="E620" s="118"/>
      <c r="F620" s="118"/>
    </row>
    <row r="621" spans="2:6">
      <c r="B621" s="47"/>
      <c r="C621" s="118"/>
      <c r="D621" s="118"/>
      <c r="E621" s="118"/>
      <c r="F621" s="118"/>
    </row>
    <row r="622" spans="2:6">
      <c r="B622" s="47"/>
      <c r="C622" s="118"/>
      <c r="D622" s="118"/>
      <c r="E622" s="118"/>
      <c r="F622" s="118"/>
    </row>
    <row r="623" spans="2:6">
      <c r="B623" s="47"/>
      <c r="C623" s="118"/>
      <c r="D623" s="118"/>
      <c r="E623" s="118"/>
      <c r="F623" s="118"/>
    </row>
    <row r="624" spans="2:6">
      <c r="B624" s="47"/>
      <c r="C624" s="118"/>
      <c r="D624" s="118"/>
      <c r="E624" s="118"/>
      <c r="F624" s="118"/>
    </row>
    <row r="625" spans="2:6">
      <c r="B625" s="47"/>
      <c r="C625" s="118"/>
      <c r="D625" s="118"/>
      <c r="E625" s="118"/>
      <c r="F625" s="118"/>
    </row>
    <row r="626" spans="2:6">
      <c r="B626" s="47"/>
      <c r="C626" s="118"/>
      <c r="D626" s="118"/>
      <c r="E626" s="118"/>
      <c r="F626" s="118"/>
    </row>
    <row r="627" spans="2:6">
      <c r="B627" s="47"/>
      <c r="C627" s="118"/>
      <c r="D627" s="118"/>
      <c r="E627" s="118"/>
      <c r="F627" s="118"/>
    </row>
    <row r="628" spans="2:6">
      <c r="B628" s="47"/>
      <c r="C628" s="118"/>
      <c r="D628" s="118"/>
      <c r="E628" s="118"/>
      <c r="F628" s="118"/>
    </row>
    <row r="629" spans="2:6">
      <c r="B629" s="47"/>
      <c r="C629" s="118"/>
      <c r="D629" s="118"/>
      <c r="E629" s="118"/>
      <c r="F629" s="118"/>
    </row>
    <row r="630" spans="2:6">
      <c r="B630" s="47"/>
      <c r="C630" s="118"/>
      <c r="D630" s="118"/>
      <c r="E630" s="118"/>
      <c r="F630" s="118"/>
    </row>
    <row r="631" spans="2:6">
      <c r="B631" s="47"/>
      <c r="C631" s="118"/>
      <c r="D631" s="118"/>
      <c r="E631" s="118"/>
      <c r="F631" s="118"/>
    </row>
    <row r="632" spans="2:6">
      <c r="B632" s="47"/>
      <c r="C632" s="118"/>
      <c r="D632" s="118"/>
      <c r="E632" s="118"/>
      <c r="F632" s="118"/>
    </row>
    <row r="633" spans="2:6">
      <c r="B633" s="47"/>
      <c r="C633" s="118"/>
      <c r="D633" s="118"/>
      <c r="E633" s="118"/>
      <c r="F633" s="118"/>
    </row>
    <row r="634" spans="2:6">
      <c r="B634" s="47"/>
      <c r="C634" s="118"/>
      <c r="D634" s="118"/>
      <c r="E634" s="118"/>
      <c r="F634" s="118"/>
    </row>
    <row r="635" spans="2:6">
      <c r="B635" s="47"/>
      <c r="C635" s="118"/>
      <c r="D635" s="118"/>
      <c r="E635" s="118"/>
      <c r="F635" s="118"/>
    </row>
    <row r="636" spans="2:6">
      <c r="B636" s="47"/>
      <c r="C636" s="118"/>
      <c r="D636" s="118"/>
      <c r="E636" s="118"/>
      <c r="F636" s="118"/>
    </row>
    <row r="637" spans="2:6">
      <c r="B637" s="47"/>
      <c r="C637" s="118"/>
      <c r="D637" s="118"/>
      <c r="E637" s="118"/>
      <c r="F637" s="118"/>
    </row>
    <row r="638" spans="2:6">
      <c r="B638" s="47"/>
      <c r="C638" s="118"/>
      <c r="D638" s="118"/>
      <c r="E638" s="118"/>
      <c r="F638" s="118"/>
    </row>
    <row r="639" spans="2:6">
      <c r="B639" s="47"/>
      <c r="C639" s="118"/>
      <c r="D639" s="118"/>
      <c r="E639" s="118"/>
      <c r="F639" s="118"/>
    </row>
    <row r="640" spans="2:6">
      <c r="B640" s="47"/>
      <c r="C640" s="118"/>
      <c r="D640" s="118"/>
      <c r="E640" s="118"/>
      <c r="F640" s="118"/>
    </row>
    <row r="641" spans="2:6">
      <c r="B641" s="47"/>
      <c r="C641" s="118"/>
      <c r="D641" s="118"/>
      <c r="E641" s="118"/>
      <c r="F641" s="118"/>
    </row>
    <row r="642" spans="2:6">
      <c r="B642" s="47"/>
      <c r="C642" s="118"/>
      <c r="D642" s="118"/>
      <c r="E642" s="118"/>
      <c r="F642" s="118"/>
    </row>
    <row r="643" spans="2:6">
      <c r="B643" s="47"/>
      <c r="C643" s="118"/>
      <c r="D643" s="118"/>
      <c r="E643" s="118"/>
      <c r="F643" s="118"/>
    </row>
    <row r="644" spans="2:6">
      <c r="B644" s="47"/>
      <c r="C644" s="118"/>
      <c r="D644" s="118"/>
      <c r="E644" s="118"/>
      <c r="F644" s="118"/>
    </row>
    <row r="645" spans="2:6">
      <c r="B645" s="47"/>
      <c r="C645" s="118"/>
      <c r="D645" s="118"/>
      <c r="E645" s="118"/>
      <c r="F645" s="118"/>
    </row>
    <row r="646" spans="2:6">
      <c r="B646" s="47"/>
      <c r="C646" s="118"/>
      <c r="D646" s="118"/>
      <c r="E646" s="118"/>
      <c r="F646" s="118"/>
    </row>
    <row r="647" spans="2:6">
      <c r="B647" s="47"/>
      <c r="C647" s="118"/>
      <c r="D647" s="118"/>
      <c r="E647" s="118"/>
      <c r="F647" s="118"/>
    </row>
    <row r="648" spans="2:6">
      <c r="B648" s="47"/>
      <c r="C648" s="118"/>
      <c r="D648" s="118"/>
      <c r="E648" s="118"/>
      <c r="F648" s="118"/>
    </row>
    <row r="649" spans="2:6">
      <c r="B649" s="47"/>
      <c r="C649" s="118"/>
      <c r="D649" s="118"/>
      <c r="E649" s="118"/>
      <c r="F649" s="118"/>
    </row>
    <row r="650" spans="2:6">
      <c r="B650" s="47"/>
      <c r="C650" s="118"/>
      <c r="D650" s="118"/>
      <c r="E650" s="118"/>
      <c r="F650" s="118"/>
    </row>
    <row r="651" spans="2:6">
      <c r="B651" s="47"/>
      <c r="C651" s="118"/>
      <c r="D651" s="118"/>
      <c r="E651" s="118"/>
      <c r="F651" s="118"/>
    </row>
    <row r="652" spans="2:6">
      <c r="B652" s="47"/>
      <c r="C652" s="118"/>
      <c r="D652" s="118"/>
      <c r="E652" s="118"/>
      <c r="F652" s="118"/>
    </row>
    <row r="653" spans="2:6">
      <c r="B653" s="47"/>
      <c r="C653" s="118"/>
      <c r="D653" s="118"/>
      <c r="E653" s="118"/>
      <c r="F653" s="118"/>
    </row>
    <row r="654" spans="2:6">
      <c r="B654" s="47"/>
      <c r="C654" s="118"/>
      <c r="D654" s="118"/>
      <c r="E654" s="118"/>
      <c r="F654" s="118"/>
    </row>
    <row r="655" spans="2:6">
      <c r="B655" s="47"/>
      <c r="C655" s="118"/>
      <c r="D655" s="118"/>
      <c r="E655" s="118"/>
      <c r="F655" s="118"/>
    </row>
    <row r="656" spans="2:6">
      <c r="B656" s="47"/>
      <c r="C656" s="118"/>
      <c r="D656" s="118"/>
      <c r="E656" s="118"/>
      <c r="F656" s="118"/>
    </row>
    <row r="657" spans="2:6">
      <c r="B657" s="47"/>
      <c r="C657" s="118"/>
      <c r="D657" s="118"/>
      <c r="E657" s="118"/>
      <c r="F657" s="118"/>
    </row>
    <row r="658" spans="2:6">
      <c r="B658" s="47"/>
      <c r="C658" s="118"/>
      <c r="D658" s="118"/>
      <c r="E658" s="118"/>
      <c r="F658" s="118"/>
    </row>
    <row r="659" spans="2:6">
      <c r="B659" s="47"/>
      <c r="C659" s="118"/>
      <c r="D659" s="118"/>
      <c r="E659" s="118"/>
      <c r="F659" s="118"/>
    </row>
    <row r="660" spans="2:6">
      <c r="B660" s="47"/>
      <c r="C660" s="118"/>
      <c r="D660" s="118"/>
      <c r="E660" s="118"/>
      <c r="F660" s="118"/>
    </row>
    <row r="661" spans="2:6">
      <c r="B661" s="47"/>
      <c r="C661" s="118"/>
      <c r="D661" s="118"/>
      <c r="E661" s="118"/>
      <c r="F661" s="118"/>
    </row>
    <row r="662" spans="2:6">
      <c r="B662" s="47"/>
      <c r="C662" s="118"/>
      <c r="D662" s="118"/>
      <c r="E662" s="118"/>
      <c r="F662" s="118"/>
    </row>
    <row r="663" spans="2:6">
      <c r="B663" s="47"/>
      <c r="C663" s="118"/>
      <c r="D663" s="118"/>
      <c r="E663" s="118"/>
      <c r="F663" s="118"/>
    </row>
    <row r="664" spans="2:6">
      <c r="B664" s="47"/>
      <c r="C664" s="118"/>
      <c r="D664" s="118"/>
      <c r="E664" s="118"/>
      <c r="F664" s="118"/>
    </row>
    <row r="665" spans="2:6">
      <c r="B665" s="47"/>
      <c r="C665" s="118"/>
      <c r="D665" s="118"/>
      <c r="E665" s="118"/>
      <c r="F665" s="118"/>
    </row>
    <row r="666" spans="2:6">
      <c r="B666" s="47"/>
      <c r="C666" s="118"/>
      <c r="D666" s="118"/>
      <c r="E666" s="118"/>
      <c r="F666" s="118"/>
    </row>
    <row r="667" spans="2:6">
      <c r="B667" s="47"/>
      <c r="C667" s="118"/>
      <c r="D667" s="118"/>
      <c r="E667" s="118"/>
      <c r="F667" s="118"/>
    </row>
    <row r="668" spans="2:6">
      <c r="B668" s="47"/>
      <c r="C668" s="118"/>
      <c r="D668" s="118"/>
      <c r="E668" s="118"/>
      <c r="F668" s="118"/>
    </row>
    <row r="669" spans="2:6">
      <c r="B669" s="47"/>
      <c r="C669" s="118"/>
      <c r="D669" s="118"/>
      <c r="E669" s="118"/>
      <c r="F669" s="118"/>
    </row>
    <row r="670" spans="2:6">
      <c r="B670" s="47"/>
      <c r="C670" s="118"/>
      <c r="D670" s="118"/>
      <c r="E670" s="118"/>
      <c r="F670" s="118"/>
    </row>
    <row r="671" spans="2:6">
      <c r="B671" s="47"/>
      <c r="C671" s="118"/>
      <c r="D671" s="118"/>
      <c r="E671" s="118"/>
      <c r="F671" s="118"/>
    </row>
    <row r="672" spans="2:6">
      <c r="B672" s="47"/>
      <c r="C672" s="118"/>
      <c r="D672" s="118"/>
      <c r="E672" s="118"/>
      <c r="F672" s="118"/>
    </row>
    <row r="673" spans="2:6">
      <c r="B673" s="47"/>
      <c r="C673" s="118"/>
      <c r="D673" s="118"/>
      <c r="E673" s="118"/>
      <c r="F673" s="118"/>
    </row>
    <row r="674" spans="2:6">
      <c r="B674" s="47"/>
      <c r="C674" s="118"/>
      <c r="D674" s="118"/>
      <c r="E674" s="118"/>
      <c r="F674" s="118"/>
    </row>
    <row r="675" spans="2:6">
      <c r="B675" s="47"/>
      <c r="C675" s="118"/>
      <c r="D675" s="118"/>
      <c r="E675" s="118"/>
      <c r="F675" s="118"/>
    </row>
    <row r="676" spans="2:6">
      <c r="B676" s="47"/>
      <c r="C676" s="118"/>
      <c r="D676" s="118"/>
      <c r="E676" s="118"/>
      <c r="F676" s="118"/>
    </row>
    <row r="677" spans="2:6">
      <c r="B677" s="47"/>
      <c r="C677" s="118"/>
      <c r="D677" s="118"/>
      <c r="E677" s="118"/>
      <c r="F677" s="118"/>
    </row>
    <row r="678" spans="2:6">
      <c r="B678" s="47"/>
      <c r="C678" s="118"/>
      <c r="D678" s="118"/>
      <c r="E678" s="118"/>
      <c r="F678" s="118"/>
    </row>
    <row r="679" spans="2:6">
      <c r="B679" s="47"/>
      <c r="C679" s="118"/>
      <c r="D679" s="118"/>
      <c r="E679" s="118"/>
      <c r="F679" s="118"/>
    </row>
    <row r="680" spans="2:6">
      <c r="B680" s="47"/>
      <c r="C680" s="118"/>
      <c r="D680" s="118"/>
      <c r="E680" s="118"/>
      <c r="F680" s="118"/>
    </row>
    <row r="681" spans="2:6">
      <c r="B681" s="47"/>
      <c r="C681" s="118"/>
      <c r="D681" s="118"/>
      <c r="E681" s="118"/>
      <c r="F681" s="118"/>
    </row>
    <row r="682" spans="2:6">
      <c r="B682" s="47"/>
      <c r="C682" s="118"/>
      <c r="D682" s="118"/>
      <c r="E682" s="118"/>
      <c r="F682" s="118"/>
    </row>
    <row r="683" spans="2:6">
      <c r="B683" s="47"/>
      <c r="C683" s="118"/>
      <c r="D683" s="118"/>
      <c r="E683" s="118"/>
      <c r="F683" s="118"/>
    </row>
    <row r="684" spans="2:6">
      <c r="B684" s="47"/>
      <c r="C684" s="118"/>
      <c r="D684" s="118"/>
      <c r="E684" s="118"/>
      <c r="F684" s="118"/>
    </row>
    <row r="685" spans="2:6">
      <c r="B685" s="47"/>
      <c r="C685" s="118"/>
      <c r="D685" s="118"/>
      <c r="E685" s="118"/>
      <c r="F685" s="118"/>
    </row>
    <row r="686" spans="2:6">
      <c r="B686" s="47"/>
      <c r="C686" s="118"/>
      <c r="D686" s="118"/>
      <c r="E686" s="118"/>
      <c r="F686" s="118"/>
    </row>
    <row r="687" spans="2:6">
      <c r="B687" s="47"/>
      <c r="C687" s="118"/>
      <c r="D687" s="118"/>
      <c r="E687" s="118"/>
      <c r="F687" s="118"/>
    </row>
    <row r="688" spans="2:6">
      <c r="B688" s="47"/>
      <c r="C688" s="118"/>
      <c r="D688" s="118"/>
      <c r="E688" s="118"/>
      <c r="F688" s="118"/>
    </row>
    <row r="689" spans="2:6">
      <c r="B689" s="47"/>
      <c r="C689" s="118"/>
      <c r="D689" s="118"/>
      <c r="E689" s="118"/>
      <c r="F689" s="118"/>
    </row>
    <row r="690" spans="2:6">
      <c r="B690" s="47"/>
      <c r="C690" s="118"/>
      <c r="D690" s="118"/>
      <c r="E690" s="118"/>
      <c r="F690" s="118"/>
    </row>
    <row r="691" spans="2:6">
      <c r="B691" s="47"/>
      <c r="C691" s="118"/>
      <c r="D691" s="118"/>
      <c r="E691" s="118"/>
      <c r="F691" s="118"/>
    </row>
    <row r="692" spans="2:6">
      <c r="B692" s="47"/>
      <c r="C692" s="118"/>
      <c r="D692" s="118"/>
      <c r="E692" s="118"/>
      <c r="F692" s="118"/>
    </row>
    <row r="693" spans="2:6">
      <c r="B693" s="47"/>
      <c r="C693" s="118"/>
      <c r="D693" s="118"/>
      <c r="E693" s="118"/>
      <c r="F693" s="118"/>
    </row>
    <row r="694" spans="2:6">
      <c r="B694" s="47"/>
      <c r="C694" s="118"/>
      <c r="D694" s="118"/>
      <c r="E694" s="118"/>
      <c r="F694" s="118"/>
    </row>
    <row r="695" spans="2:6">
      <c r="B695" s="47"/>
      <c r="C695" s="118"/>
      <c r="D695" s="118"/>
      <c r="E695" s="118"/>
      <c r="F695" s="118"/>
    </row>
    <row r="696" spans="2:6">
      <c r="B696" s="47"/>
      <c r="C696" s="118"/>
      <c r="D696" s="118"/>
      <c r="E696" s="118"/>
      <c r="F696" s="118"/>
    </row>
    <row r="697" spans="2:6">
      <c r="B697" s="47"/>
      <c r="C697" s="118"/>
      <c r="D697" s="118"/>
      <c r="E697" s="118"/>
      <c r="F697" s="118"/>
    </row>
    <row r="698" spans="2:6">
      <c r="B698" s="47"/>
      <c r="C698" s="118"/>
      <c r="D698" s="118"/>
      <c r="E698" s="118"/>
      <c r="F698" s="118"/>
    </row>
    <row r="699" spans="2:6">
      <c r="B699" s="47"/>
      <c r="C699" s="118"/>
      <c r="D699" s="118"/>
      <c r="E699" s="118"/>
      <c r="F699" s="118"/>
    </row>
    <row r="700" spans="2:6">
      <c r="B700" s="47"/>
      <c r="C700" s="118"/>
      <c r="D700" s="118"/>
      <c r="E700" s="118"/>
      <c r="F700" s="118"/>
    </row>
    <row r="701" spans="2:6">
      <c r="B701" s="47"/>
      <c r="C701" s="118"/>
      <c r="D701" s="118"/>
      <c r="E701" s="118"/>
      <c r="F701" s="118"/>
    </row>
    <row r="702" spans="2:6">
      <c r="B702" s="47"/>
      <c r="C702" s="118"/>
      <c r="D702" s="118"/>
      <c r="E702" s="118"/>
      <c r="F702" s="118"/>
    </row>
    <row r="703" spans="2:6">
      <c r="B703" s="47"/>
      <c r="C703" s="118"/>
      <c r="D703" s="118"/>
      <c r="E703" s="118"/>
      <c r="F703" s="118"/>
    </row>
    <row r="704" spans="2:6">
      <c r="B704" s="47"/>
      <c r="C704" s="118"/>
      <c r="D704" s="118"/>
      <c r="E704" s="118"/>
      <c r="F704" s="118"/>
    </row>
    <row r="705" spans="2:6">
      <c r="B705" s="47"/>
      <c r="C705" s="118"/>
      <c r="D705" s="118"/>
      <c r="E705" s="118"/>
      <c r="F705" s="118"/>
    </row>
    <row r="706" spans="2:6">
      <c r="B706" s="47"/>
      <c r="C706" s="118"/>
      <c r="D706" s="118"/>
      <c r="E706" s="118"/>
      <c r="F706" s="118"/>
    </row>
    <row r="707" spans="2:6">
      <c r="B707" s="47"/>
      <c r="C707" s="118"/>
      <c r="D707" s="118"/>
      <c r="E707" s="118"/>
      <c r="F707" s="118"/>
    </row>
    <row r="708" spans="2:6">
      <c r="B708" s="47"/>
      <c r="C708" s="118"/>
      <c r="D708" s="118"/>
      <c r="E708" s="118"/>
      <c r="F708" s="118"/>
    </row>
    <row r="709" spans="2:6">
      <c r="B709" s="47"/>
      <c r="C709" s="118"/>
      <c r="D709" s="118"/>
      <c r="E709" s="118"/>
      <c r="F709" s="118"/>
    </row>
    <row r="710" spans="2:6">
      <c r="B710" s="47"/>
      <c r="C710" s="118"/>
      <c r="D710" s="118"/>
      <c r="E710" s="118"/>
      <c r="F710" s="118"/>
    </row>
    <row r="711" spans="2:6">
      <c r="B711" s="47"/>
      <c r="C711" s="118"/>
      <c r="D711" s="118"/>
      <c r="E711" s="118"/>
      <c r="F711" s="118"/>
    </row>
    <row r="712" spans="2:6">
      <c r="B712" s="47"/>
      <c r="C712" s="118"/>
      <c r="D712" s="118"/>
      <c r="E712" s="118"/>
      <c r="F712" s="118"/>
    </row>
    <row r="713" spans="2:6">
      <c r="B713" s="47"/>
      <c r="C713" s="118"/>
      <c r="D713" s="118"/>
      <c r="E713" s="118"/>
      <c r="F713" s="118"/>
    </row>
    <row r="714" spans="2:6">
      <c r="B714" s="47"/>
      <c r="C714" s="118"/>
      <c r="D714" s="118"/>
      <c r="E714" s="118"/>
      <c r="F714" s="118"/>
    </row>
    <row r="715" spans="2:6">
      <c r="B715" s="47"/>
      <c r="C715" s="118"/>
      <c r="D715" s="118"/>
      <c r="E715" s="118"/>
      <c r="F715" s="118"/>
    </row>
    <row r="716" spans="2:6">
      <c r="B716" s="47"/>
      <c r="C716" s="118"/>
      <c r="D716" s="118"/>
      <c r="E716" s="118"/>
      <c r="F716" s="118"/>
    </row>
    <row r="717" spans="2:6">
      <c r="B717" s="47"/>
      <c r="C717" s="118"/>
      <c r="D717" s="118"/>
      <c r="E717" s="118"/>
      <c r="F717" s="118"/>
    </row>
    <row r="718" spans="2:6">
      <c r="B718" s="47"/>
      <c r="C718" s="118"/>
      <c r="D718" s="118"/>
      <c r="E718" s="118"/>
      <c r="F718" s="118"/>
    </row>
    <row r="719" spans="2:6">
      <c r="B719" s="47"/>
      <c r="C719" s="118"/>
      <c r="D719" s="118"/>
      <c r="E719" s="118"/>
      <c r="F719" s="118"/>
    </row>
    <row r="720" spans="2:6">
      <c r="B720" s="47"/>
      <c r="C720" s="118"/>
      <c r="D720" s="118"/>
      <c r="E720" s="118"/>
      <c r="F720" s="118"/>
    </row>
    <row r="721" spans="2:6">
      <c r="B721" s="47"/>
      <c r="C721" s="118"/>
      <c r="D721" s="118"/>
      <c r="E721" s="118"/>
      <c r="F721" s="118"/>
    </row>
    <row r="722" spans="2:6">
      <c r="B722" s="47"/>
      <c r="C722" s="118"/>
      <c r="D722" s="118"/>
      <c r="E722" s="118"/>
      <c r="F722" s="118"/>
    </row>
    <row r="723" spans="2:6">
      <c r="B723" s="47"/>
      <c r="C723" s="118"/>
      <c r="D723" s="118"/>
      <c r="E723" s="118"/>
      <c r="F723" s="118"/>
    </row>
    <row r="724" spans="2:6">
      <c r="B724" s="47"/>
      <c r="C724" s="118"/>
      <c r="D724" s="118"/>
      <c r="E724" s="118"/>
      <c r="F724" s="118"/>
    </row>
    <row r="725" spans="2:6">
      <c r="B725" s="47"/>
      <c r="C725" s="118"/>
      <c r="D725" s="118"/>
      <c r="E725" s="118"/>
      <c r="F725" s="118"/>
    </row>
    <row r="726" spans="2:6">
      <c r="B726" s="47"/>
      <c r="C726" s="118"/>
      <c r="D726" s="118"/>
      <c r="E726" s="118"/>
      <c r="F726" s="118"/>
    </row>
    <row r="727" spans="2:6">
      <c r="B727" s="47"/>
      <c r="C727" s="118"/>
      <c r="D727" s="118"/>
      <c r="E727" s="118"/>
      <c r="F727" s="118"/>
    </row>
    <row r="728" spans="2:6">
      <c r="B728" s="47"/>
      <c r="C728" s="118"/>
      <c r="D728" s="118"/>
      <c r="E728" s="118"/>
      <c r="F728" s="118"/>
    </row>
    <row r="729" spans="2:6">
      <c r="B729" s="47"/>
      <c r="C729" s="118"/>
      <c r="D729" s="118"/>
      <c r="E729" s="118"/>
      <c r="F729" s="118"/>
    </row>
    <row r="730" spans="2:6">
      <c r="B730" s="47"/>
      <c r="C730" s="118"/>
      <c r="D730" s="118"/>
      <c r="E730" s="118"/>
      <c r="F730" s="118"/>
    </row>
    <row r="731" spans="2:6">
      <c r="B731" s="47"/>
      <c r="C731" s="118"/>
      <c r="D731" s="118"/>
      <c r="E731" s="118"/>
      <c r="F731" s="118"/>
    </row>
    <row r="732" spans="2:6">
      <c r="B732" s="47"/>
      <c r="C732" s="118"/>
      <c r="D732" s="118"/>
      <c r="E732" s="118"/>
      <c r="F732" s="118"/>
    </row>
    <row r="733" spans="2:6">
      <c r="B733" s="47"/>
      <c r="C733" s="118"/>
      <c r="D733" s="118"/>
      <c r="E733" s="118"/>
      <c r="F733" s="118"/>
    </row>
    <row r="734" spans="2:6">
      <c r="B734" s="47"/>
      <c r="C734" s="118"/>
      <c r="D734" s="118"/>
      <c r="E734" s="118"/>
      <c r="F734" s="118"/>
    </row>
    <row r="735" spans="2:6">
      <c r="B735" s="47"/>
      <c r="C735" s="118"/>
      <c r="D735" s="118"/>
      <c r="E735" s="118"/>
      <c r="F735" s="118"/>
    </row>
    <row r="736" spans="2:6">
      <c r="B736" s="47"/>
      <c r="C736" s="118"/>
      <c r="D736" s="118"/>
      <c r="E736" s="118"/>
      <c r="F736" s="118"/>
    </row>
    <row r="737" spans="2:6">
      <c r="B737" s="47"/>
      <c r="C737" s="118"/>
      <c r="D737" s="118"/>
      <c r="E737" s="118"/>
      <c r="F737" s="118"/>
    </row>
    <row r="738" spans="2:6">
      <c r="B738" s="47"/>
      <c r="C738" s="118"/>
      <c r="D738" s="118"/>
      <c r="E738" s="118"/>
      <c r="F738" s="118"/>
    </row>
    <row r="739" spans="2:6">
      <c r="B739" s="47"/>
      <c r="C739" s="118"/>
      <c r="D739" s="118"/>
      <c r="E739" s="118"/>
      <c r="F739" s="118"/>
    </row>
    <row r="740" spans="2:6">
      <c r="B740" s="47"/>
      <c r="C740" s="118"/>
      <c r="D740" s="118"/>
      <c r="E740" s="118"/>
      <c r="F740" s="118"/>
    </row>
    <row r="741" spans="2:6">
      <c r="B741" s="47"/>
      <c r="C741" s="118"/>
      <c r="D741" s="118"/>
      <c r="E741" s="118"/>
      <c r="F741" s="118"/>
    </row>
    <row r="742" spans="2:6">
      <c r="B742" s="47"/>
      <c r="C742" s="118"/>
      <c r="D742" s="118"/>
      <c r="E742" s="118"/>
      <c r="F742" s="118"/>
    </row>
    <row r="743" spans="2:6">
      <c r="B743" s="47"/>
      <c r="C743" s="118"/>
      <c r="D743" s="118"/>
      <c r="E743" s="118"/>
      <c r="F743" s="118"/>
    </row>
    <row r="744" spans="2:6">
      <c r="B744" s="47"/>
      <c r="C744" s="118"/>
      <c r="D744" s="118"/>
      <c r="E744" s="118"/>
      <c r="F744" s="118"/>
    </row>
    <row r="745" spans="2:6">
      <c r="B745" s="47"/>
      <c r="C745" s="118"/>
      <c r="D745" s="118"/>
      <c r="E745" s="118"/>
      <c r="F745" s="118"/>
    </row>
    <row r="746" spans="2:6">
      <c r="B746" s="47"/>
      <c r="C746" s="118"/>
      <c r="D746" s="118"/>
      <c r="E746" s="118"/>
      <c r="F746" s="118"/>
    </row>
    <row r="747" spans="2:6">
      <c r="B747" s="47"/>
      <c r="C747" s="118"/>
      <c r="D747" s="118"/>
      <c r="E747" s="118"/>
      <c r="F747" s="118"/>
    </row>
    <row r="748" spans="2:6">
      <c r="B748" s="47"/>
      <c r="C748" s="118"/>
      <c r="D748" s="118"/>
      <c r="E748" s="118"/>
      <c r="F748" s="118"/>
    </row>
    <row r="749" spans="2:6">
      <c r="B749" s="47"/>
      <c r="C749" s="118"/>
      <c r="D749" s="118"/>
      <c r="E749" s="118"/>
      <c r="F749" s="118"/>
    </row>
    <row r="750" spans="2:6">
      <c r="B750" s="47"/>
      <c r="C750" s="118"/>
      <c r="D750" s="118"/>
      <c r="E750" s="118"/>
      <c r="F750" s="118"/>
    </row>
    <row r="751" spans="2:6">
      <c r="B751" s="47"/>
      <c r="C751" s="118"/>
      <c r="D751" s="118"/>
      <c r="E751" s="118"/>
      <c r="F751" s="118"/>
    </row>
    <row r="752" spans="2:6">
      <c r="B752" s="47"/>
      <c r="C752" s="118"/>
      <c r="D752" s="118"/>
      <c r="E752" s="118"/>
      <c r="F752" s="118"/>
    </row>
    <row r="753" spans="2:6">
      <c r="B753" s="47"/>
      <c r="C753" s="118"/>
      <c r="D753" s="118"/>
      <c r="E753" s="118"/>
      <c r="F753" s="118"/>
    </row>
    <row r="754" spans="2:6">
      <c r="B754" s="47"/>
      <c r="C754" s="118"/>
      <c r="D754" s="118"/>
      <c r="E754" s="118"/>
      <c r="F754" s="118"/>
    </row>
    <row r="755" spans="2:6">
      <c r="B755" s="47"/>
      <c r="C755" s="118"/>
      <c r="D755" s="118"/>
      <c r="E755" s="118"/>
      <c r="F755" s="118"/>
    </row>
    <row r="756" spans="2:6">
      <c r="B756" s="47"/>
      <c r="C756" s="118"/>
      <c r="D756" s="118"/>
      <c r="E756" s="118"/>
      <c r="F756" s="118"/>
    </row>
    <row r="757" spans="2:6">
      <c r="B757" s="47"/>
      <c r="C757" s="118"/>
      <c r="D757" s="118"/>
      <c r="E757" s="118"/>
      <c r="F757" s="118"/>
    </row>
    <row r="758" spans="2:6">
      <c r="B758" s="47"/>
      <c r="C758" s="118"/>
      <c r="D758" s="118"/>
      <c r="E758" s="118"/>
      <c r="F758" s="118"/>
    </row>
    <row r="759" spans="2:6">
      <c r="B759" s="47"/>
      <c r="C759" s="118"/>
      <c r="D759" s="118"/>
      <c r="E759" s="118"/>
      <c r="F759" s="118"/>
    </row>
    <row r="760" spans="2:6">
      <c r="B760" s="47"/>
      <c r="C760" s="118"/>
      <c r="D760" s="118"/>
      <c r="E760" s="118"/>
      <c r="F760" s="118"/>
    </row>
    <row r="761" spans="2:6">
      <c r="B761" s="47"/>
      <c r="C761" s="118"/>
      <c r="D761" s="118"/>
      <c r="E761" s="118"/>
      <c r="F761" s="118"/>
    </row>
    <row r="762" spans="2:6">
      <c r="B762" s="47"/>
      <c r="C762" s="118"/>
      <c r="D762" s="118"/>
      <c r="E762" s="118"/>
      <c r="F762" s="118"/>
    </row>
    <row r="763" spans="2:6">
      <c r="B763" s="47"/>
      <c r="C763" s="118"/>
      <c r="D763" s="118"/>
      <c r="E763" s="118"/>
      <c r="F763" s="118"/>
    </row>
    <row r="764" spans="2:6">
      <c r="B764" s="47"/>
      <c r="C764" s="118"/>
      <c r="D764" s="118"/>
      <c r="E764" s="118"/>
      <c r="F764" s="118"/>
    </row>
    <row r="765" spans="2:6">
      <c r="B765" s="47"/>
      <c r="C765" s="118"/>
      <c r="D765" s="118"/>
      <c r="E765" s="118"/>
      <c r="F765" s="118"/>
    </row>
    <row r="766" spans="2:6">
      <c r="B766" s="47"/>
      <c r="C766" s="118"/>
      <c r="D766" s="118"/>
      <c r="E766" s="118"/>
      <c r="F766" s="118"/>
    </row>
    <row r="767" spans="2:6">
      <c r="B767" s="47"/>
      <c r="C767" s="118"/>
      <c r="D767" s="118"/>
      <c r="E767" s="118"/>
      <c r="F767" s="118"/>
    </row>
    <row r="768" spans="2:6">
      <c r="B768" s="47"/>
      <c r="C768" s="118"/>
      <c r="D768" s="118"/>
      <c r="E768" s="118"/>
      <c r="F768" s="118"/>
    </row>
    <row r="769" spans="2:6">
      <c r="B769" s="47"/>
      <c r="C769" s="118"/>
      <c r="D769" s="118"/>
      <c r="E769" s="118"/>
      <c r="F769" s="118"/>
    </row>
    <row r="770" spans="2:6">
      <c r="B770" s="47"/>
      <c r="C770" s="118"/>
      <c r="D770" s="118"/>
      <c r="E770" s="118"/>
      <c r="F770" s="118"/>
    </row>
    <row r="771" spans="2:6">
      <c r="B771" s="47"/>
      <c r="C771" s="118"/>
      <c r="D771" s="118"/>
      <c r="E771" s="118"/>
      <c r="F771" s="118"/>
    </row>
    <row r="772" spans="2:6">
      <c r="B772" s="47"/>
      <c r="C772" s="118"/>
      <c r="D772" s="118"/>
      <c r="E772" s="118"/>
      <c r="F772" s="118"/>
    </row>
    <row r="773" spans="2:6">
      <c r="B773" s="47"/>
      <c r="C773" s="118"/>
      <c r="D773" s="118"/>
      <c r="E773" s="118"/>
      <c r="F773" s="118"/>
    </row>
    <row r="774" spans="2:6">
      <c r="B774" s="47"/>
      <c r="C774" s="118"/>
      <c r="D774" s="118"/>
      <c r="E774" s="118"/>
      <c r="F774" s="118"/>
    </row>
    <row r="775" spans="2:6">
      <c r="B775" s="47"/>
      <c r="C775" s="118"/>
      <c r="D775" s="118"/>
      <c r="E775" s="118"/>
      <c r="F775" s="118"/>
    </row>
    <row r="776" spans="2:6">
      <c r="B776" s="47"/>
      <c r="C776" s="118"/>
      <c r="D776" s="118"/>
      <c r="E776" s="118"/>
      <c r="F776" s="118"/>
    </row>
    <row r="777" spans="2:6">
      <c r="B777" s="47"/>
      <c r="C777" s="118"/>
      <c r="D777" s="118"/>
      <c r="E777" s="118"/>
      <c r="F777" s="118"/>
    </row>
    <row r="778" spans="2:6">
      <c r="B778" s="47"/>
      <c r="C778" s="118"/>
      <c r="D778" s="118"/>
      <c r="E778" s="118"/>
      <c r="F778" s="118"/>
    </row>
    <row r="779" spans="2:6">
      <c r="B779" s="47"/>
      <c r="C779" s="118"/>
      <c r="D779" s="118"/>
      <c r="E779" s="118"/>
      <c r="F779" s="118"/>
    </row>
    <row r="780" spans="2:6">
      <c r="B780" s="47"/>
      <c r="C780" s="118"/>
      <c r="D780" s="118"/>
      <c r="E780" s="118"/>
      <c r="F780" s="118"/>
    </row>
    <row r="781" spans="2:6">
      <c r="B781" s="47"/>
      <c r="C781" s="118"/>
      <c r="D781" s="118"/>
      <c r="E781" s="118"/>
      <c r="F781" s="118"/>
    </row>
    <row r="782" spans="2:6">
      <c r="B782" s="47"/>
      <c r="C782" s="118"/>
      <c r="D782" s="118"/>
      <c r="E782" s="118"/>
      <c r="F782" s="118"/>
    </row>
    <row r="783" spans="2:6">
      <c r="B783" s="47"/>
      <c r="C783" s="118"/>
      <c r="D783" s="118"/>
      <c r="E783" s="118"/>
      <c r="F783" s="118"/>
    </row>
    <row r="784" spans="2:6">
      <c r="B784" s="47"/>
      <c r="C784" s="118"/>
      <c r="D784" s="118"/>
      <c r="E784" s="118"/>
      <c r="F784" s="118"/>
    </row>
    <row r="785" spans="2:6">
      <c r="B785" s="47"/>
      <c r="C785" s="118"/>
      <c r="D785" s="118"/>
      <c r="E785" s="118"/>
      <c r="F785" s="118"/>
    </row>
    <row r="786" spans="2:6">
      <c r="B786" s="47"/>
      <c r="C786" s="118"/>
      <c r="D786" s="118"/>
      <c r="E786" s="118"/>
      <c r="F786" s="118"/>
    </row>
    <row r="787" spans="2:6">
      <c r="B787" s="47"/>
      <c r="C787" s="118"/>
      <c r="D787" s="118"/>
      <c r="E787" s="118"/>
      <c r="F787" s="118"/>
    </row>
    <row r="788" spans="2:6">
      <c r="B788" s="47"/>
      <c r="C788" s="118"/>
      <c r="D788" s="118"/>
      <c r="E788" s="118"/>
      <c r="F788" s="118"/>
    </row>
    <row r="789" spans="2:6">
      <c r="B789" s="47"/>
      <c r="C789" s="118"/>
      <c r="D789" s="118"/>
      <c r="E789" s="118"/>
      <c r="F789" s="118"/>
    </row>
    <row r="790" spans="2:6">
      <c r="B790" s="47"/>
      <c r="C790" s="118"/>
      <c r="D790" s="118"/>
      <c r="E790" s="118"/>
      <c r="F790" s="118"/>
    </row>
    <row r="791" spans="2:6">
      <c r="B791" s="47"/>
      <c r="C791" s="118"/>
      <c r="D791" s="118"/>
      <c r="E791" s="118"/>
      <c r="F791" s="118"/>
    </row>
    <row r="792" spans="2:6">
      <c r="B792" s="47"/>
      <c r="C792" s="118"/>
      <c r="D792" s="118"/>
      <c r="E792" s="118"/>
      <c r="F792" s="118"/>
    </row>
    <row r="793" spans="2:6">
      <c r="B793" s="47"/>
      <c r="C793" s="118"/>
      <c r="D793" s="118"/>
      <c r="E793" s="118"/>
      <c r="F793" s="118"/>
    </row>
    <row r="794" spans="2:6">
      <c r="B794" s="47"/>
      <c r="C794" s="118"/>
      <c r="D794" s="118"/>
      <c r="E794" s="118"/>
      <c r="F794" s="118"/>
    </row>
    <row r="795" spans="2:6">
      <c r="B795" s="47"/>
      <c r="C795" s="118"/>
      <c r="D795" s="118"/>
      <c r="E795" s="118"/>
      <c r="F795" s="118"/>
    </row>
    <row r="796" spans="2:6">
      <c r="B796" s="47"/>
      <c r="C796" s="118"/>
      <c r="D796" s="118"/>
      <c r="E796" s="118"/>
      <c r="F796" s="118"/>
    </row>
    <row r="797" spans="2:6">
      <c r="B797" s="47"/>
      <c r="C797" s="118"/>
      <c r="D797" s="118"/>
      <c r="E797" s="118"/>
      <c r="F797" s="118"/>
    </row>
    <row r="798" spans="2:6">
      <c r="B798" s="47"/>
      <c r="C798" s="118"/>
      <c r="D798" s="118"/>
      <c r="E798" s="118"/>
      <c r="F798" s="118"/>
    </row>
    <row r="799" spans="2:6">
      <c r="B799" s="47"/>
      <c r="C799" s="118"/>
      <c r="D799" s="118"/>
      <c r="E799" s="118"/>
      <c r="F799" s="118"/>
    </row>
    <row r="800" spans="2:6">
      <c r="B800" s="47"/>
      <c r="C800" s="118"/>
      <c r="D800" s="118"/>
      <c r="E800" s="118"/>
      <c r="F800" s="118"/>
    </row>
    <row r="801" spans="2:6">
      <c r="B801" s="47"/>
      <c r="C801" s="118"/>
      <c r="D801" s="118"/>
      <c r="E801" s="118"/>
      <c r="F801" s="118"/>
    </row>
    <row r="802" spans="2:6">
      <c r="B802" s="47"/>
      <c r="C802" s="118"/>
      <c r="D802" s="118"/>
      <c r="E802" s="118"/>
      <c r="F802" s="118"/>
    </row>
    <row r="803" spans="2:6">
      <c r="B803" s="47"/>
      <c r="C803" s="118"/>
      <c r="D803" s="118"/>
      <c r="E803" s="118"/>
      <c r="F803" s="118"/>
    </row>
    <row r="804" spans="2:6">
      <c r="B804" s="47"/>
      <c r="C804" s="118"/>
      <c r="D804" s="118"/>
      <c r="E804" s="118"/>
      <c r="F804" s="118"/>
    </row>
    <row r="805" spans="2:6">
      <c r="B805" s="47"/>
      <c r="C805" s="118"/>
      <c r="D805" s="118"/>
      <c r="E805" s="118"/>
      <c r="F805" s="118"/>
    </row>
    <row r="806" spans="2:6">
      <c r="B806" s="47"/>
      <c r="C806" s="118"/>
      <c r="D806" s="118"/>
      <c r="E806" s="118"/>
      <c r="F806" s="118"/>
    </row>
    <row r="807" spans="2:6">
      <c r="B807" s="47"/>
      <c r="C807" s="118"/>
      <c r="D807" s="118"/>
      <c r="E807" s="118"/>
      <c r="F807" s="118"/>
    </row>
    <row r="808" spans="2:6">
      <c r="B808" s="47"/>
      <c r="C808" s="118"/>
      <c r="D808" s="118"/>
      <c r="E808" s="118"/>
      <c r="F808" s="118"/>
    </row>
    <row r="809" spans="2:6">
      <c r="B809" s="47"/>
      <c r="C809" s="118"/>
      <c r="D809" s="118"/>
      <c r="E809" s="118"/>
      <c r="F809" s="118"/>
    </row>
    <row r="810" spans="2:6">
      <c r="B810" s="47"/>
      <c r="C810" s="118"/>
      <c r="D810" s="118"/>
      <c r="E810" s="118"/>
      <c r="F810" s="118"/>
    </row>
    <row r="811" spans="2:6">
      <c r="B811" s="47"/>
      <c r="C811" s="118"/>
      <c r="D811" s="118"/>
      <c r="E811" s="118"/>
      <c r="F811" s="118"/>
    </row>
    <row r="812" spans="2:6">
      <c r="B812" s="47"/>
      <c r="C812" s="118"/>
      <c r="D812" s="118"/>
      <c r="E812" s="118"/>
      <c r="F812" s="118"/>
    </row>
    <row r="813" spans="2:6">
      <c r="B813" s="47"/>
      <c r="C813" s="118"/>
      <c r="D813" s="118"/>
      <c r="E813" s="118"/>
      <c r="F813" s="118"/>
    </row>
    <row r="814" spans="2:6">
      <c r="B814" s="47"/>
      <c r="C814" s="118"/>
      <c r="D814" s="118"/>
      <c r="E814" s="118"/>
      <c r="F814" s="118"/>
    </row>
    <row r="815" spans="2:6">
      <c r="B815" s="47"/>
      <c r="C815" s="118"/>
      <c r="D815" s="118"/>
      <c r="E815" s="118"/>
      <c r="F815" s="118"/>
    </row>
    <row r="816" spans="2:6">
      <c r="B816" s="47"/>
      <c r="C816" s="118"/>
      <c r="D816" s="118"/>
      <c r="E816" s="118"/>
      <c r="F816" s="118"/>
    </row>
    <row r="817" spans="2:6">
      <c r="B817" s="47"/>
      <c r="C817" s="118"/>
      <c r="D817" s="118"/>
      <c r="E817" s="118"/>
      <c r="F817" s="118"/>
    </row>
    <row r="818" spans="2:6">
      <c r="B818" s="47"/>
      <c r="C818" s="118"/>
      <c r="D818" s="118"/>
      <c r="E818" s="118"/>
      <c r="F818" s="118"/>
    </row>
    <row r="819" spans="2:6">
      <c r="B819" s="47"/>
      <c r="C819" s="118"/>
      <c r="D819" s="118"/>
      <c r="E819" s="118"/>
      <c r="F819" s="118"/>
    </row>
    <row r="820" spans="2:6">
      <c r="B820" s="47"/>
      <c r="C820" s="118"/>
      <c r="D820" s="118"/>
      <c r="E820" s="118"/>
      <c r="F820" s="118"/>
    </row>
    <row r="821" spans="2:6">
      <c r="B821" s="47"/>
      <c r="C821" s="118"/>
      <c r="D821" s="118"/>
      <c r="E821" s="118"/>
      <c r="F821" s="118"/>
    </row>
    <row r="822" spans="2:6">
      <c r="B822" s="47"/>
      <c r="C822" s="118"/>
      <c r="D822" s="118"/>
      <c r="E822" s="118"/>
      <c r="F822" s="118"/>
    </row>
    <row r="823" spans="2:6">
      <c r="B823" s="47"/>
      <c r="C823" s="118"/>
      <c r="D823" s="118"/>
      <c r="E823" s="118"/>
      <c r="F823" s="118"/>
    </row>
    <row r="824" spans="2:6">
      <c r="B824" s="47"/>
      <c r="C824" s="118"/>
      <c r="D824" s="118"/>
      <c r="E824" s="118"/>
      <c r="F824" s="118"/>
    </row>
    <row r="825" spans="2:6">
      <c r="B825" s="47"/>
      <c r="C825" s="118"/>
      <c r="D825" s="118"/>
      <c r="E825" s="118"/>
      <c r="F825" s="118"/>
    </row>
    <row r="826" spans="2:6">
      <c r="B826" s="47"/>
      <c r="C826" s="118"/>
      <c r="D826" s="118"/>
      <c r="E826" s="118"/>
      <c r="F826" s="118"/>
    </row>
    <row r="827" spans="2:6">
      <c r="B827" s="47"/>
      <c r="C827" s="118"/>
      <c r="D827" s="118"/>
      <c r="E827" s="118"/>
      <c r="F827" s="118"/>
    </row>
    <row r="828" spans="2:6">
      <c r="B828" s="47"/>
      <c r="C828" s="118"/>
      <c r="D828" s="118"/>
      <c r="E828" s="118"/>
      <c r="F828" s="118"/>
    </row>
    <row r="829" spans="2:6">
      <c r="B829" s="47"/>
      <c r="C829" s="118"/>
      <c r="D829" s="118"/>
      <c r="E829" s="118"/>
      <c r="F829" s="118"/>
    </row>
    <row r="830" spans="2:6">
      <c r="B830" s="47"/>
      <c r="C830" s="118"/>
      <c r="D830" s="118"/>
      <c r="E830" s="118"/>
      <c r="F830" s="118"/>
    </row>
    <row r="831" spans="2:6">
      <c r="B831" s="47"/>
      <c r="C831" s="118"/>
      <c r="D831" s="118"/>
      <c r="E831" s="118"/>
      <c r="F831" s="118"/>
    </row>
    <row r="832" spans="2:6">
      <c r="B832" s="47"/>
      <c r="C832" s="118"/>
      <c r="D832" s="118"/>
      <c r="E832" s="118"/>
      <c r="F832" s="118"/>
    </row>
    <row r="833" spans="2:6">
      <c r="B833" s="47"/>
      <c r="C833" s="118"/>
      <c r="D833" s="118"/>
      <c r="E833" s="118"/>
      <c r="F833" s="118"/>
    </row>
    <row r="834" spans="2:6">
      <c r="B834" s="47"/>
      <c r="C834" s="118"/>
      <c r="D834" s="118"/>
      <c r="E834" s="118"/>
      <c r="F834" s="118"/>
    </row>
    <row r="835" spans="2:6">
      <c r="B835" s="47"/>
      <c r="C835" s="118"/>
      <c r="D835" s="118"/>
      <c r="E835" s="118"/>
      <c r="F835" s="118"/>
    </row>
    <row r="836" spans="2:6">
      <c r="B836" s="47"/>
      <c r="C836" s="118"/>
      <c r="D836" s="118"/>
      <c r="E836" s="118"/>
      <c r="F836" s="118"/>
    </row>
    <row r="837" spans="2:6">
      <c r="B837" s="47"/>
      <c r="C837" s="118"/>
      <c r="D837" s="118"/>
      <c r="E837" s="118"/>
      <c r="F837" s="118"/>
    </row>
    <row r="838" spans="2:6">
      <c r="B838" s="47"/>
      <c r="C838" s="118"/>
      <c r="D838" s="118"/>
      <c r="E838" s="118"/>
      <c r="F838" s="118"/>
    </row>
    <row r="839" spans="2:6">
      <c r="B839" s="47"/>
      <c r="C839" s="118"/>
      <c r="D839" s="118"/>
      <c r="E839" s="118"/>
      <c r="F839" s="118"/>
    </row>
    <row r="840" spans="2:6">
      <c r="B840" s="47"/>
      <c r="C840" s="118"/>
      <c r="D840" s="118"/>
      <c r="E840" s="118"/>
      <c r="F840" s="118"/>
    </row>
    <row r="841" spans="2:6">
      <c r="B841" s="47"/>
      <c r="C841" s="118"/>
      <c r="D841" s="118"/>
      <c r="E841" s="118"/>
      <c r="F841" s="118"/>
    </row>
    <row r="842" spans="2:6">
      <c r="B842" s="47"/>
      <c r="C842" s="118"/>
      <c r="D842" s="118"/>
      <c r="E842" s="118"/>
      <c r="F842" s="118"/>
    </row>
    <row r="843" spans="2:6">
      <c r="B843" s="47"/>
      <c r="C843" s="118"/>
      <c r="D843" s="118"/>
      <c r="E843" s="118"/>
      <c r="F843" s="118"/>
    </row>
    <row r="844" spans="2:6">
      <c r="B844" s="47"/>
      <c r="C844" s="118"/>
      <c r="D844" s="118"/>
      <c r="E844" s="118"/>
      <c r="F844" s="118"/>
    </row>
    <row r="845" spans="2:6">
      <c r="B845" s="47"/>
      <c r="C845" s="118"/>
      <c r="D845" s="118"/>
      <c r="E845" s="118"/>
      <c r="F845" s="118"/>
    </row>
    <row r="846" spans="2:6">
      <c r="B846" s="47"/>
      <c r="C846" s="118"/>
      <c r="D846" s="118"/>
      <c r="E846" s="118"/>
      <c r="F846" s="118"/>
    </row>
    <row r="847" spans="2:6">
      <c r="B847" s="47"/>
      <c r="C847" s="118"/>
      <c r="D847" s="118"/>
      <c r="E847" s="118"/>
      <c r="F847" s="118"/>
    </row>
    <row r="848" spans="2:6">
      <c r="B848" s="47"/>
      <c r="C848" s="118"/>
      <c r="D848" s="118"/>
      <c r="E848" s="118"/>
      <c r="F848" s="118"/>
    </row>
    <row r="849" spans="2:6">
      <c r="B849" s="47"/>
      <c r="C849" s="118"/>
      <c r="D849" s="118"/>
      <c r="E849" s="118"/>
      <c r="F849" s="118"/>
    </row>
    <row r="850" spans="2:6">
      <c r="B850" s="47"/>
      <c r="C850" s="118"/>
      <c r="D850" s="118"/>
      <c r="E850" s="118"/>
      <c r="F850" s="118"/>
    </row>
    <row r="851" spans="2:6">
      <c r="B851" s="47"/>
      <c r="C851" s="118"/>
      <c r="D851" s="118"/>
      <c r="E851" s="118"/>
      <c r="F851" s="118"/>
    </row>
    <row r="852" spans="2:6">
      <c r="B852" s="47"/>
      <c r="C852" s="118"/>
      <c r="D852" s="118"/>
      <c r="E852" s="118"/>
      <c r="F852" s="118"/>
    </row>
    <row r="853" spans="2:6">
      <c r="B853" s="47"/>
      <c r="C853" s="118"/>
      <c r="D853" s="118"/>
      <c r="E853" s="118"/>
      <c r="F853" s="118"/>
    </row>
    <row r="854" spans="2:6">
      <c r="B854" s="47"/>
      <c r="C854" s="118"/>
      <c r="D854" s="118"/>
      <c r="E854" s="118"/>
      <c r="F854" s="118"/>
    </row>
    <row r="855" spans="2:6">
      <c r="B855" s="47"/>
      <c r="C855" s="118"/>
      <c r="D855" s="118"/>
      <c r="E855" s="118"/>
      <c r="F855" s="118"/>
    </row>
    <row r="856" spans="2:6">
      <c r="B856" s="47"/>
      <c r="C856" s="118"/>
      <c r="D856" s="118"/>
      <c r="E856" s="118"/>
      <c r="F856" s="118"/>
    </row>
    <row r="857" spans="2:6">
      <c r="B857" s="47"/>
      <c r="C857" s="118"/>
      <c r="D857" s="118"/>
      <c r="E857" s="118"/>
      <c r="F857" s="118"/>
    </row>
    <row r="858" spans="2:6">
      <c r="B858" s="47"/>
      <c r="C858" s="118"/>
      <c r="D858" s="118"/>
      <c r="E858" s="118"/>
      <c r="F858" s="118"/>
    </row>
    <row r="859" spans="2:6">
      <c r="B859" s="47"/>
      <c r="C859" s="118"/>
      <c r="D859" s="118"/>
      <c r="E859" s="118"/>
      <c r="F859" s="118"/>
    </row>
    <row r="860" spans="2:6">
      <c r="B860" s="47"/>
      <c r="C860" s="118"/>
      <c r="D860" s="118"/>
      <c r="E860" s="118"/>
      <c r="F860" s="118"/>
    </row>
    <row r="861" spans="2:6">
      <c r="B861" s="47"/>
      <c r="C861" s="118"/>
      <c r="D861" s="118"/>
      <c r="E861" s="118"/>
      <c r="F861" s="118"/>
    </row>
    <row r="862" spans="2:6">
      <c r="B862" s="47"/>
      <c r="C862" s="118"/>
      <c r="D862" s="118"/>
      <c r="E862" s="118"/>
      <c r="F862" s="118"/>
    </row>
    <row r="863" spans="2:6">
      <c r="B863" s="47"/>
      <c r="C863" s="118"/>
      <c r="D863" s="118"/>
      <c r="E863" s="118"/>
      <c r="F863" s="118"/>
    </row>
    <row r="864" spans="2:6">
      <c r="B864" s="47"/>
      <c r="C864" s="118"/>
      <c r="D864" s="118"/>
      <c r="E864" s="118"/>
      <c r="F864" s="118"/>
    </row>
    <row r="865" spans="2:6">
      <c r="B865" s="47"/>
      <c r="C865" s="118"/>
      <c r="D865" s="118"/>
      <c r="E865" s="118"/>
      <c r="F865" s="118"/>
    </row>
    <row r="866" spans="2:6">
      <c r="B866" s="47"/>
      <c r="C866" s="118"/>
      <c r="D866" s="118"/>
      <c r="E866" s="118"/>
      <c r="F866" s="118"/>
    </row>
    <row r="867" spans="2:6">
      <c r="B867" s="47"/>
      <c r="C867" s="118"/>
      <c r="D867" s="118"/>
      <c r="E867" s="118"/>
      <c r="F867" s="118"/>
    </row>
    <row r="868" spans="2:6">
      <c r="B868" s="47"/>
      <c r="C868" s="118"/>
      <c r="D868" s="118"/>
      <c r="E868" s="118"/>
      <c r="F868" s="118"/>
    </row>
    <row r="869" spans="2:6">
      <c r="B869" s="47"/>
      <c r="C869" s="118"/>
      <c r="D869" s="118"/>
      <c r="E869" s="118"/>
      <c r="F869" s="118"/>
    </row>
    <row r="870" spans="2:6">
      <c r="B870" s="47"/>
      <c r="C870" s="118"/>
      <c r="D870" s="118"/>
      <c r="E870" s="118"/>
      <c r="F870" s="118"/>
    </row>
    <row r="871" spans="2:6">
      <c r="B871" s="47"/>
      <c r="C871" s="118"/>
      <c r="D871" s="118"/>
      <c r="E871" s="118"/>
      <c r="F871" s="118"/>
    </row>
    <row r="872" spans="2:6">
      <c r="B872" s="47"/>
      <c r="C872" s="118"/>
      <c r="D872" s="118"/>
      <c r="E872" s="118"/>
      <c r="F872" s="118"/>
    </row>
    <row r="873" spans="2:6">
      <c r="B873" s="47"/>
      <c r="C873" s="118"/>
      <c r="D873" s="118"/>
      <c r="E873" s="118"/>
      <c r="F873" s="118"/>
    </row>
    <row r="874" spans="2:6">
      <c r="B874" s="47"/>
      <c r="C874" s="118"/>
      <c r="D874" s="118"/>
      <c r="E874" s="118"/>
      <c r="F874" s="118"/>
    </row>
    <row r="875" spans="2:6">
      <c r="B875" s="47"/>
      <c r="C875" s="118"/>
      <c r="D875" s="118"/>
      <c r="E875" s="118"/>
      <c r="F875" s="118"/>
    </row>
    <row r="876" spans="2:6">
      <c r="B876" s="47"/>
      <c r="C876" s="118"/>
      <c r="D876" s="118"/>
      <c r="E876" s="118"/>
      <c r="F876" s="118"/>
    </row>
    <row r="877" spans="2:6">
      <c r="B877" s="47"/>
      <c r="C877" s="118"/>
      <c r="D877" s="118"/>
      <c r="E877" s="118"/>
      <c r="F877" s="118"/>
    </row>
    <row r="878" spans="2:6">
      <c r="B878" s="47"/>
      <c r="C878" s="118"/>
      <c r="D878" s="118"/>
      <c r="E878" s="118"/>
      <c r="F878" s="118"/>
    </row>
    <row r="879" spans="2:6">
      <c r="B879" s="47"/>
      <c r="C879" s="118"/>
      <c r="D879" s="118"/>
      <c r="E879" s="118"/>
      <c r="F879" s="118"/>
    </row>
    <row r="880" spans="2:6">
      <c r="B880" s="47"/>
      <c r="C880" s="118"/>
      <c r="D880" s="118"/>
      <c r="E880" s="118"/>
      <c r="F880" s="118"/>
    </row>
    <row r="881" spans="2:6">
      <c r="B881" s="47"/>
      <c r="C881" s="118"/>
      <c r="D881" s="118"/>
      <c r="E881" s="118"/>
      <c r="F881" s="118"/>
    </row>
    <row r="882" spans="2:6">
      <c r="B882" s="47"/>
      <c r="C882" s="118"/>
      <c r="D882" s="118"/>
      <c r="E882" s="118"/>
      <c r="F882" s="118"/>
    </row>
    <row r="883" spans="2:6">
      <c r="B883" s="47"/>
      <c r="C883" s="118"/>
      <c r="D883" s="118"/>
      <c r="E883" s="118"/>
      <c r="F883" s="118"/>
    </row>
    <row r="884" spans="2:6">
      <c r="B884" s="47"/>
      <c r="C884" s="118"/>
      <c r="D884" s="118"/>
      <c r="E884" s="118"/>
      <c r="F884" s="118"/>
    </row>
    <row r="885" spans="2:6">
      <c r="B885" s="47"/>
      <c r="C885" s="118"/>
      <c r="D885" s="118"/>
      <c r="E885" s="118"/>
      <c r="F885" s="118"/>
    </row>
    <row r="886" spans="2:6">
      <c r="B886" s="47"/>
      <c r="C886" s="118"/>
      <c r="D886" s="118"/>
      <c r="E886" s="118"/>
      <c r="F886" s="118"/>
    </row>
    <row r="887" spans="2:6">
      <c r="B887" s="47"/>
      <c r="C887" s="118"/>
      <c r="D887" s="118"/>
      <c r="E887" s="118"/>
      <c r="F887" s="118"/>
    </row>
    <row r="888" spans="2:6">
      <c r="B888" s="47"/>
      <c r="C888" s="118"/>
      <c r="D888" s="118"/>
      <c r="E888" s="118"/>
      <c r="F888" s="118"/>
    </row>
    <row r="889" spans="2:6">
      <c r="B889" s="47"/>
      <c r="C889" s="118"/>
      <c r="D889" s="118"/>
      <c r="E889" s="118"/>
      <c r="F889" s="118"/>
    </row>
    <row r="890" spans="2:6">
      <c r="B890" s="47"/>
      <c r="C890" s="118"/>
      <c r="D890" s="118"/>
      <c r="E890" s="118"/>
      <c r="F890" s="118"/>
    </row>
    <row r="891" spans="2:6">
      <c r="B891" s="47"/>
      <c r="C891" s="118"/>
      <c r="D891" s="118"/>
      <c r="E891" s="118"/>
      <c r="F891" s="118"/>
    </row>
    <row r="892" spans="2:6">
      <c r="B892" s="47"/>
      <c r="C892" s="118"/>
      <c r="D892" s="118"/>
      <c r="E892" s="118"/>
      <c r="F892" s="118"/>
    </row>
    <row r="893" spans="2:6">
      <c r="B893" s="47"/>
      <c r="C893" s="118"/>
      <c r="D893" s="118"/>
      <c r="E893" s="118"/>
      <c r="F893" s="118"/>
    </row>
    <row r="894" spans="2:6">
      <c r="B894" s="47"/>
      <c r="C894" s="118"/>
      <c r="D894" s="118"/>
      <c r="E894" s="118"/>
      <c r="F894" s="118"/>
    </row>
    <row r="895" spans="2:6">
      <c r="B895" s="47"/>
      <c r="C895" s="118"/>
      <c r="D895" s="118"/>
      <c r="E895" s="118"/>
      <c r="F895" s="118"/>
    </row>
    <row r="896" spans="2:6">
      <c r="B896" s="47"/>
      <c r="C896" s="118"/>
      <c r="D896" s="118"/>
      <c r="E896" s="118"/>
      <c r="F896" s="118"/>
    </row>
    <row r="897" spans="2:6">
      <c r="B897" s="47"/>
      <c r="C897" s="118"/>
      <c r="D897" s="118"/>
      <c r="E897" s="118"/>
      <c r="F897" s="118"/>
    </row>
    <row r="898" spans="2:6">
      <c r="B898" s="47"/>
      <c r="C898" s="118"/>
      <c r="D898" s="118"/>
      <c r="E898" s="118"/>
      <c r="F898" s="118"/>
    </row>
    <row r="899" spans="2:6">
      <c r="B899" s="47"/>
      <c r="C899" s="118"/>
      <c r="D899" s="118"/>
      <c r="E899" s="118"/>
      <c r="F899" s="118"/>
    </row>
    <row r="900" spans="2:6">
      <c r="B900" s="47"/>
      <c r="C900" s="118"/>
      <c r="D900" s="118"/>
      <c r="E900" s="118"/>
      <c r="F900" s="118"/>
    </row>
    <row r="901" spans="2:6">
      <c r="B901" s="47"/>
      <c r="C901" s="118"/>
      <c r="D901" s="118"/>
      <c r="E901" s="118"/>
      <c r="F901" s="118"/>
    </row>
    <row r="902" spans="2:6">
      <c r="B902" s="47"/>
      <c r="C902" s="118"/>
      <c r="D902" s="118"/>
      <c r="E902" s="118"/>
      <c r="F902" s="118"/>
    </row>
    <row r="903" spans="2:6">
      <c r="B903" s="47"/>
      <c r="C903" s="118"/>
      <c r="D903" s="118"/>
      <c r="E903" s="118"/>
      <c r="F903" s="118"/>
    </row>
    <row r="904" spans="2:6">
      <c r="B904" s="47"/>
      <c r="C904" s="118"/>
      <c r="D904" s="118"/>
      <c r="E904" s="118"/>
      <c r="F904" s="118"/>
    </row>
    <row r="905" spans="2:6">
      <c r="B905" s="47"/>
      <c r="C905" s="118"/>
      <c r="D905" s="118"/>
      <c r="E905" s="118"/>
      <c r="F905" s="118"/>
    </row>
    <row r="906" spans="2:6">
      <c r="B906" s="47"/>
      <c r="C906" s="118"/>
      <c r="D906" s="118"/>
      <c r="E906" s="118"/>
      <c r="F906" s="118"/>
    </row>
    <row r="907" spans="2:6">
      <c r="B907" s="47"/>
      <c r="C907" s="118"/>
      <c r="D907" s="118"/>
      <c r="E907" s="118"/>
      <c r="F907" s="118"/>
    </row>
    <row r="908" spans="2:6">
      <c r="B908" s="47"/>
      <c r="C908" s="118"/>
      <c r="D908" s="118"/>
      <c r="E908" s="118"/>
      <c r="F908" s="118"/>
    </row>
    <row r="909" spans="2:6">
      <c r="B909" s="47"/>
      <c r="C909" s="118"/>
      <c r="D909" s="118"/>
      <c r="E909" s="118"/>
      <c r="F909" s="118"/>
    </row>
    <row r="910" spans="2:6">
      <c r="B910" s="47"/>
      <c r="C910" s="118"/>
      <c r="D910" s="118"/>
      <c r="E910" s="118"/>
      <c r="F910" s="118"/>
    </row>
    <row r="911" spans="2:6">
      <c r="B911" s="47"/>
      <c r="C911" s="118"/>
      <c r="D911" s="118"/>
      <c r="E911" s="118"/>
      <c r="F911" s="118"/>
    </row>
    <row r="912" spans="2:6">
      <c r="B912" s="47"/>
      <c r="C912" s="118"/>
      <c r="D912" s="118"/>
      <c r="E912" s="118"/>
      <c r="F912" s="118"/>
    </row>
    <row r="913" spans="2:6">
      <c r="B913" s="47"/>
      <c r="C913" s="118"/>
      <c r="D913" s="118"/>
      <c r="E913" s="118"/>
      <c r="F913" s="118"/>
    </row>
    <row r="914" spans="2:6">
      <c r="B914" s="47"/>
      <c r="C914" s="118"/>
      <c r="D914" s="118"/>
      <c r="E914" s="118"/>
      <c r="F914" s="118"/>
    </row>
    <row r="915" spans="2:6">
      <c r="B915" s="47"/>
      <c r="C915" s="118"/>
      <c r="D915" s="118"/>
      <c r="E915" s="118"/>
      <c r="F915" s="118"/>
    </row>
    <row r="916" spans="2:6">
      <c r="B916" s="47"/>
      <c r="C916" s="118"/>
      <c r="D916" s="118"/>
      <c r="E916" s="118"/>
      <c r="F916" s="118"/>
    </row>
    <row r="917" spans="2:6">
      <c r="B917" s="47"/>
      <c r="C917" s="118"/>
      <c r="D917" s="118"/>
      <c r="E917" s="118"/>
      <c r="F917" s="118"/>
    </row>
    <row r="918" spans="2:6">
      <c r="B918" s="47"/>
      <c r="C918" s="118"/>
      <c r="D918" s="118"/>
      <c r="E918" s="118"/>
      <c r="F918" s="118"/>
    </row>
    <row r="919" spans="2:6">
      <c r="B919" s="47"/>
      <c r="C919" s="118"/>
      <c r="D919" s="118"/>
      <c r="E919" s="118"/>
      <c r="F919" s="118"/>
    </row>
    <row r="920" spans="2:6">
      <c r="B920" s="47"/>
      <c r="C920" s="118"/>
      <c r="D920" s="118"/>
      <c r="E920" s="118"/>
      <c r="F920" s="118"/>
    </row>
    <row r="921" spans="2:6">
      <c r="B921" s="47"/>
      <c r="C921" s="118"/>
      <c r="D921" s="118"/>
      <c r="E921" s="118"/>
      <c r="F921" s="118"/>
    </row>
    <row r="922" spans="2:6">
      <c r="B922" s="47"/>
      <c r="C922" s="118"/>
      <c r="D922" s="118"/>
      <c r="E922" s="118"/>
      <c r="F922" s="118"/>
    </row>
    <row r="923" spans="2:6">
      <c r="B923" s="47"/>
      <c r="C923" s="118"/>
      <c r="D923" s="118"/>
      <c r="E923" s="118"/>
      <c r="F923" s="118"/>
    </row>
    <row r="924" spans="2:6">
      <c r="B924" s="47"/>
      <c r="C924" s="118"/>
      <c r="D924" s="118"/>
      <c r="E924" s="118"/>
      <c r="F924" s="118"/>
    </row>
    <row r="925" spans="2:6">
      <c r="B925" s="47"/>
      <c r="C925" s="118"/>
      <c r="D925" s="118"/>
      <c r="E925" s="118"/>
      <c r="F925" s="118"/>
    </row>
    <row r="926" spans="2:6">
      <c r="B926" s="47"/>
      <c r="C926" s="118"/>
      <c r="D926" s="118"/>
      <c r="E926" s="118"/>
      <c r="F926" s="118"/>
    </row>
    <row r="927" spans="2:6">
      <c r="B927" s="47"/>
      <c r="C927" s="118"/>
      <c r="D927" s="118"/>
      <c r="E927" s="118"/>
      <c r="F927" s="118"/>
    </row>
    <row r="928" spans="2:6">
      <c r="B928" s="47"/>
      <c r="C928" s="118"/>
      <c r="D928" s="118"/>
      <c r="E928" s="118"/>
      <c r="F928" s="118"/>
    </row>
    <row r="929" spans="2:6">
      <c r="B929" s="47"/>
      <c r="C929" s="118"/>
      <c r="D929" s="118"/>
      <c r="E929" s="118"/>
      <c r="F929" s="118"/>
    </row>
    <row r="930" spans="2:6">
      <c r="B930" s="47"/>
      <c r="C930" s="118"/>
      <c r="D930" s="118"/>
      <c r="E930" s="118"/>
      <c r="F930" s="118"/>
    </row>
    <row r="931" spans="2:6">
      <c r="B931" s="47"/>
      <c r="C931" s="118"/>
      <c r="D931" s="118"/>
      <c r="E931" s="118"/>
      <c r="F931" s="118"/>
    </row>
    <row r="932" spans="2:6">
      <c r="B932" s="47"/>
      <c r="C932" s="118"/>
      <c r="D932" s="118"/>
      <c r="E932" s="118"/>
      <c r="F932" s="118"/>
    </row>
    <row r="933" spans="2:6">
      <c r="B933" s="47"/>
      <c r="C933" s="118"/>
      <c r="D933" s="118"/>
      <c r="E933" s="118"/>
      <c r="F933" s="118"/>
    </row>
    <row r="934" spans="2:6">
      <c r="B934" s="47"/>
      <c r="C934" s="118"/>
      <c r="D934" s="118"/>
      <c r="E934" s="118"/>
      <c r="F934" s="118"/>
    </row>
    <row r="935" spans="2:6">
      <c r="B935" s="47"/>
      <c r="C935" s="118"/>
      <c r="D935" s="118"/>
      <c r="E935" s="118"/>
      <c r="F935" s="118"/>
    </row>
    <row r="936" spans="2:6">
      <c r="B936" s="47"/>
      <c r="C936" s="118"/>
      <c r="D936" s="118"/>
      <c r="E936" s="118"/>
      <c r="F936" s="118"/>
    </row>
    <row r="937" spans="2:6">
      <c r="B937" s="47"/>
      <c r="C937" s="118"/>
      <c r="D937" s="118"/>
      <c r="E937" s="118"/>
      <c r="F937" s="118"/>
    </row>
    <row r="938" spans="2:6">
      <c r="B938" s="47"/>
      <c r="C938" s="118"/>
      <c r="D938" s="118"/>
      <c r="E938" s="118"/>
      <c r="F938" s="118"/>
    </row>
    <row r="939" spans="2:6">
      <c r="B939" s="47"/>
      <c r="C939" s="118"/>
      <c r="D939" s="118"/>
      <c r="E939" s="118"/>
      <c r="F939" s="118"/>
    </row>
    <row r="940" spans="2:6">
      <c r="B940" s="47"/>
      <c r="C940" s="118"/>
      <c r="D940" s="118"/>
      <c r="E940" s="118"/>
      <c r="F940" s="118"/>
    </row>
    <row r="941" spans="2:6">
      <c r="B941" s="47"/>
      <c r="C941" s="118"/>
      <c r="D941" s="118"/>
      <c r="E941" s="118"/>
      <c r="F941" s="118"/>
    </row>
    <row r="942" spans="2:6">
      <c r="B942" s="47"/>
      <c r="C942" s="118"/>
      <c r="D942" s="118"/>
      <c r="E942" s="118"/>
      <c r="F942" s="118"/>
    </row>
    <row r="943" spans="2:6">
      <c r="B943" s="47"/>
      <c r="C943" s="118"/>
      <c r="D943" s="118"/>
      <c r="E943" s="118"/>
      <c r="F943" s="118"/>
    </row>
    <row r="944" spans="2:6">
      <c r="B944" s="47"/>
      <c r="C944" s="118"/>
      <c r="D944" s="118"/>
      <c r="E944" s="118"/>
      <c r="F944" s="118"/>
    </row>
    <row r="945" spans="2:6">
      <c r="B945" s="47"/>
      <c r="C945" s="118"/>
      <c r="D945" s="118"/>
      <c r="E945" s="118"/>
      <c r="F945" s="118"/>
    </row>
    <row r="946" spans="2:6">
      <c r="B946" s="47"/>
      <c r="C946" s="118"/>
      <c r="D946" s="118"/>
      <c r="E946" s="118"/>
      <c r="F946" s="118"/>
    </row>
    <row r="947" spans="2:6">
      <c r="B947" s="47"/>
      <c r="C947" s="118"/>
      <c r="D947" s="118"/>
      <c r="E947" s="118"/>
      <c r="F947" s="118"/>
    </row>
    <row r="948" spans="2:6">
      <c r="B948" s="47"/>
      <c r="C948" s="118"/>
      <c r="D948" s="118"/>
      <c r="E948" s="118"/>
      <c r="F948" s="118"/>
    </row>
    <row r="949" spans="2:6">
      <c r="B949" s="47"/>
      <c r="C949" s="118"/>
      <c r="D949" s="118"/>
      <c r="E949" s="118"/>
      <c r="F949" s="118"/>
    </row>
    <row r="950" spans="2:6">
      <c r="B950" s="47"/>
      <c r="C950" s="118"/>
      <c r="D950" s="118"/>
      <c r="E950" s="118"/>
      <c r="F950" s="118"/>
    </row>
    <row r="951" spans="2:6">
      <c r="B951" s="47"/>
      <c r="C951" s="118"/>
      <c r="D951" s="118"/>
      <c r="E951" s="118"/>
      <c r="F951" s="118"/>
    </row>
    <row r="952" spans="2:6">
      <c r="B952" s="47"/>
      <c r="C952" s="118"/>
      <c r="D952" s="118"/>
      <c r="E952" s="118"/>
      <c r="F952" s="118"/>
    </row>
    <row r="953" spans="2:6">
      <c r="B953" s="47"/>
      <c r="C953" s="118"/>
      <c r="D953" s="118"/>
      <c r="E953" s="118"/>
      <c r="F953" s="118"/>
    </row>
    <row r="954" spans="2:6">
      <c r="B954" s="47"/>
      <c r="C954" s="118"/>
      <c r="D954" s="118"/>
      <c r="E954" s="118"/>
      <c r="F954" s="118"/>
    </row>
    <row r="955" spans="2:6">
      <c r="B955" s="47"/>
      <c r="C955" s="118"/>
      <c r="D955" s="118"/>
      <c r="E955" s="118"/>
      <c r="F955" s="118"/>
    </row>
    <row r="956" spans="2:6">
      <c r="B956" s="47"/>
      <c r="C956" s="118"/>
      <c r="D956" s="118"/>
      <c r="E956" s="118"/>
      <c r="F956" s="118"/>
    </row>
    <row r="957" spans="2:6">
      <c r="B957" s="47"/>
      <c r="C957" s="118"/>
      <c r="D957" s="118"/>
      <c r="E957" s="118"/>
      <c r="F957" s="118"/>
    </row>
    <row r="958" spans="2:6">
      <c r="B958" s="47"/>
      <c r="C958" s="118"/>
      <c r="D958" s="118"/>
      <c r="E958" s="118"/>
      <c r="F958" s="118"/>
    </row>
    <row r="959" spans="2:6">
      <c r="B959" s="47"/>
      <c r="C959" s="118"/>
      <c r="D959" s="118"/>
      <c r="E959" s="118"/>
      <c r="F959" s="118"/>
    </row>
    <row r="960" spans="2:6">
      <c r="B960" s="47"/>
      <c r="C960" s="118"/>
      <c r="D960" s="118"/>
      <c r="E960" s="118"/>
      <c r="F960" s="118"/>
    </row>
    <row r="961" spans="2:6">
      <c r="B961" s="47"/>
      <c r="C961" s="118"/>
      <c r="D961" s="118"/>
      <c r="E961" s="118"/>
      <c r="F961" s="118"/>
    </row>
    <row r="962" spans="2:6">
      <c r="B962" s="47"/>
      <c r="C962" s="118"/>
      <c r="D962" s="118"/>
      <c r="E962" s="118"/>
      <c r="F962" s="118"/>
    </row>
    <row r="963" spans="2:6">
      <c r="B963" s="47"/>
      <c r="C963" s="118"/>
      <c r="D963" s="118"/>
      <c r="E963" s="118"/>
      <c r="F963" s="118"/>
    </row>
    <row r="964" spans="2:6">
      <c r="B964" s="47"/>
      <c r="C964" s="118"/>
      <c r="D964" s="118"/>
      <c r="E964" s="118"/>
      <c r="F964" s="118"/>
    </row>
    <row r="965" spans="2:6">
      <c r="B965" s="47"/>
      <c r="C965" s="118"/>
      <c r="D965" s="118"/>
      <c r="E965" s="118"/>
      <c r="F965" s="118"/>
    </row>
    <row r="966" spans="2:6">
      <c r="B966" s="47"/>
      <c r="C966" s="118"/>
      <c r="D966" s="118"/>
      <c r="E966" s="118"/>
      <c r="F966" s="118"/>
    </row>
    <row r="967" spans="2:6">
      <c r="B967" s="47"/>
      <c r="C967" s="118"/>
      <c r="D967" s="118"/>
      <c r="E967" s="118"/>
      <c r="F967" s="118"/>
    </row>
    <row r="968" spans="2:6">
      <c r="B968" s="47"/>
      <c r="C968" s="118"/>
      <c r="D968" s="118"/>
      <c r="E968" s="118"/>
      <c r="F968" s="118"/>
    </row>
    <row r="969" spans="2:6">
      <c r="B969" s="47"/>
      <c r="C969" s="118"/>
      <c r="D969" s="118"/>
      <c r="E969" s="118"/>
      <c r="F969" s="118"/>
    </row>
    <row r="970" spans="2:6">
      <c r="B970" s="47"/>
      <c r="C970" s="118"/>
      <c r="D970" s="118"/>
      <c r="E970" s="118"/>
      <c r="F970" s="118"/>
    </row>
    <row r="971" spans="2:6">
      <c r="B971" s="47"/>
      <c r="C971" s="118"/>
      <c r="D971" s="118"/>
      <c r="E971" s="118"/>
      <c r="F971" s="118"/>
    </row>
    <row r="972" spans="2:6">
      <c r="B972" s="47"/>
      <c r="C972" s="118"/>
      <c r="D972" s="118"/>
      <c r="E972" s="118"/>
      <c r="F972" s="118"/>
    </row>
    <row r="973" spans="2:6">
      <c r="B973" s="47"/>
      <c r="C973" s="118"/>
      <c r="D973" s="118"/>
      <c r="E973" s="118"/>
      <c r="F973" s="118"/>
    </row>
    <row r="974" spans="2:6">
      <c r="B974" s="47"/>
      <c r="C974" s="118"/>
      <c r="D974" s="118"/>
      <c r="E974" s="118"/>
      <c r="F974" s="118"/>
    </row>
    <row r="975" spans="2:6">
      <c r="B975" s="47"/>
      <c r="C975" s="118"/>
      <c r="D975" s="118"/>
      <c r="E975" s="118"/>
      <c r="F975" s="118"/>
    </row>
    <row r="976" spans="2:6">
      <c r="B976" s="47"/>
      <c r="C976" s="118"/>
      <c r="D976" s="118"/>
      <c r="E976" s="118"/>
      <c r="F976" s="118"/>
    </row>
    <row r="977" spans="2:6">
      <c r="B977" s="47"/>
      <c r="C977" s="118"/>
      <c r="D977" s="118"/>
      <c r="E977" s="118"/>
      <c r="F977" s="118"/>
    </row>
    <row r="978" spans="2:6">
      <c r="B978" s="47"/>
      <c r="C978" s="118"/>
      <c r="D978" s="118"/>
      <c r="E978" s="118"/>
      <c r="F978" s="118"/>
    </row>
    <row r="979" spans="2:6">
      <c r="B979" s="47"/>
      <c r="C979" s="118"/>
      <c r="D979" s="118"/>
      <c r="E979" s="118"/>
      <c r="F979" s="118"/>
    </row>
    <row r="980" spans="2:6">
      <c r="B980" s="47"/>
      <c r="C980" s="118"/>
      <c r="D980" s="118"/>
      <c r="E980" s="118"/>
      <c r="F980" s="118"/>
    </row>
    <row r="981" spans="2:6">
      <c r="B981" s="47"/>
      <c r="C981" s="118"/>
      <c r="D981" s="118"/>
      <c r="E981" s="118"/>
      <c r="F981" s="118"/>
    </row>
    <row r="982" spans="2:6">
      <c r="B982" s="47"/>
      <c r="C982" s="118"/>
      <c r="D982" s="118"/>
      <c r="E982" s="118"/>
      <c r="F982" s="118"/>
    </row>
    <row r="983" spans="2:6">
      <c r="B983" s="47"/>
      <c r="C983" s="118"/>
      <c r="D983" s="118"/>
      <c r="E983" s="118"/>
      <c r="F983" s="118"/>
    </row>
    <row r="984" spans="2:6">
      <c r="B984" s="47"/>
      <c r="C984" s="118"/>
      <c r="D984" s="118"/>
      <c r="E984" s="118"/>
      <c r="F984" s="118"/>
    </row>
    <row r="985" spans="2:6">
      <c r="B985" s="47"/>
      <c r="C985" s="118"/>
      <c r="D985" s="118"/>
      <c r="E985" s="118"/>
      <c r="F985" s="118"/>
    </row>
    <row r="986" spans="2:6">
      <c r="B986" s="47"/>
      <c r="C986" s="118"/>
      <c r="D986" s="118"/>
      <c r="E986" s="118"/>
      <c r="F986" s="118"/>
    </row>
    <row r="987" spans="2:6">
      <c r="B987" s="47"/>
      <c r="C987" s="118"/>
      <c r="D987" s="118"/>
      <c r="E987" s="118"/>
      <c r="F987" s="118"/>
    </row>
    <row r="988" spans="2:6">
      <c r="B988" s="47"/>
      <c r="C988" s="118"/>
      <c r="D988" s="118"/>
      <c r="E988" s="118"/>
      <c r="F988" s="118"/>
    </row>
    <row r="989" spans="2:6">
      <c r="B989" s="47"/>
      <c r="C989" s="118"/>
      <c r="D989" s="118"/>
      <c r="E989" s="118"/>
      <c r="F989" s="118"/>
    </row>
    <row r="990" spans="2:6">
      <c r="B990" s="47"/>
      <c r="C990" s="118"/>
      <c r="D990" s="118"/>
      <c r="E990" s="118"/>
      <c r="F990" s="118"/>
    </row>
    <row r="991" spans="2:6">
      <c r="B991" s="47"/>
      <c r="C991" s="118"/>
      <c r="D991" s="118"/>
      <c r="E991" s="118"/>
      <c r="F991" s="118"/>
    </row>
    <row r="992" spans="2:6">
      <c r="B992" s="47"/>
      <c r="C992" s="118"/>
      <c r="D992" s="118"/>
      <c r="E992" s="118"/>
      <c r="F992" s="118"/>
    </row>
    <row r="993" spans="2:6">
      <c r="B993" s="47"/>
      <c r="C993" s="118"/>
      <c r="D993" s="118"/>
      <c r="E993" s="118"/>
      <c r="F993" s="118"/>
    </row>
    <row r="994" spans="2:6">
      <c r="B994" s="47"/>
      <c r="C994" s="118"/>
      <c r="D994" s="118"/>
      <c r="E994" s="118"/>
      <c r="F994" s="118"/>
    </row>
    <row r="995" spans="2:6">
      <c r="B995" s="47"/>
      <c r="C995" s="118"/>
      <c r="D995" s="118"/>
      <c r="E995" s="118"/>
      <c r="F995" s="118"/>
    </row>
    <row r="996" spans="2:6">
      <c r="B996" s="47"/>
      <c r="C996" s="118"/>
      <c r="D996" s="118"/>
      <c r="E996" s="118"/>
      <c r="F996" s="118"/>
    </row>
    <row r="997" spans="2:6">
      <c r="B997" s="47"/>
      <c r="C997" s="118"/>
      <c r="D997" s="118"/>
      <c r="E997" s="118"/>
      <c r="F997" s="118"/>
    </row>
    <row r="998" spans="2:6">
      <c r="B998" s="47"/>
      <c r="C998" s="118"/>
      <c r="D998" s="118"/>
      <c r="E998" s="118"/>
      <c r="F998" s="118"/>
    </row>
    <row r="999" spans="2:6">
      <c r="B999" s="47"/>
      <c r="C999" s="118"/>
      <c r="D999" s="118"/>
      <c r="E999" s="118"/>
      <c r="F999" s="118"/>
    </row>
    <row r="1000" spans="2:6">
      <c r="B1000" s="47"/>
      <c r="C1000" s="118"/>
      <c r="D1000" s="118"/>
      <c r="E1000" s="118"/>
      <c r="F1000" s="118"/>
    </row>
    <row r="1001" spans="2:6">
      <c r="B1001" s="47"/>
      <c r="C1001" s="118"/>
      <c r="D1001" s="118"/>
      <c r="E1001" s="118"/>
      <c r="F1001" s="118"/>
    </row>
    <row r="1002" spans="2:6">
      <c r="B1002" s="47"/>
      <c r="C1002" s="118"/>
      <c r="D1002" s="118"/>
      <c r="E1002" s="118"/>
      <c r="F1002" s="118"/>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47" t="s">
        <v>290</v>
      </c>
      <c r="C1" s="138"/>
      <c r="D1" s="139"/>
      <c r="E1" s="139"/>
      <c r="F1" s="118"/>
      <c r="G1" s="118"/>
      <c r="H1" s="118"/>
      <c r="I1" s="118"/>
      <c r="K1" s="118"/>
      <c r="L1" s="118"/>
    </row>
    <row r="2" spans="2:12" ht="13.5" thickBot="1">
      <c r="B2" s="47" t="s">
        <v>3</v>
      </c>
      <c r="C2" s="634" t="s">
        <v>291</v>
      </c>
      <c r="D2" s="139"/>
      <c r="E2" s="139"/>
      <c r="F2" s="118" t="s">
        <v>292</v>
      </c>
      <c r="G2" s="118"/>
      <c r="H2" s="118"/>
      <c r="I2" s="118"/>
      <c r="K2" s="75" t="s">
        <v>293</v>
      </c>
      <c r="L2" s="118"/>
    </row>
    <row r="3" spans="2:12" ht="25.5">
      <c r="B3" s="439" t="s">
        <v>5</v>
      </c>
      <c r="C3" s="817" t="s">
        <v>294</v>
      </c>
      <c r="D3" s="817" t="s">
        <v>295</v>
      </c>
      <c r="E3" s="817" t="s">
        <v>296</v>
      </c>
      <c r="F3" s="817" t="s">
        <v>297</v>
      </c>
      <c r="G3" s="817" t="s">
        <v>298</v>
      </c>
      <c r="H3" s="817" t="s">
        <v>299</v>
      </c>
      <c r="I3" s="817" t="s">
        <v>300</v>
      </c>
      <c r="K3" s="821" t="s">
        <v>301</v>
      </c>
      <c r="L3" s="822" t="s">
        <v>302</v>
      </c>
    </row>
    <row r="4" spans="2:12" ht="25.5">
      <c r="B4" s="148" t="s">
        <v>16</v>
      </c>
      <c r="C4" s="639" t="s">
        <v>303</v>
      </c>
      <c r="D4" s="639" t="s">
        <v>304</v>
      </c>
      <c r="E4" s="639" t="s">
        <v>305</v>
      </c>
      <c r="F4" s="639" t="s">
        <v>306</v>
      </c>
      <c r="G4" t="s">
        <v>307</v>
      </c>
      <c r="H4" s="639" t="s">
        <v>308</v>
      </c>
      <c r="I4" t="s">
        <v>309</v>
      </c>
      <c r="K4" s="183" t="s">
        <v>310</v>
      </c>
      <c r="L4" s="184" t="s">
        <v>311</v>
      </c>
    </row>
    <row r="5" spans="2:12" ht="76.5">
      <c r="B5" s="635" t="s">
        <v>27</v>
      </c>
      <c r="C5" s="636" t="s">
        <v>312</v>
      </c>
      <c r="D5" s="636" t="s">
        <v>313</v>
      </c>
      <c r="E5" s="636" t="s">
        <v>314</v>
      </c>
      <c r="F5" s="636" t="s">
        <v>315</v>
      </c>
      <c r="G5" s="636" t="s">
        <v>316</v>
      </c>
      <c r="H5" s="636" t="s">
        <v>279</v>
      </c>
      <c r="I5" s="636" t="s">
        <v>317</v>
      </c>
      <c r="K5" s="823" t="s">
        <v>318</v>
      </c>
      <c r="L5" s="824" t="s">
        <v>319</v>
      </c>
    </row>
    <row r="6" spans="2:12" ht="25.5">
      <c r="B6" s="343">
        <v>1</v>
      </c>
      <c r="C6" s="637" t="s">
        <v>320</v>
      </c>
      <c r="D6" s="637"/>
      <c r="E6" s="637"/>
      <c r="F6" s="637"/>
      <c r="G6" s="637"/>
      <c r="H6" s="637"/>
      <c r="I6" s="637"/>
      <c r="J6">
        <f t="shared" ref="J6:J14" si="0">B6</f>
        <v>1</v>
      </c>
      <c r="K6" s="825" t="s">
        <v>321</v>
      </c>
      <c r="L6" s="643" t="s">
        <v>322</v>
      </c>
    </row>
    <row r="7" spans="2:12" ht="51">
      <c r="B7" s="343">
        <v>2</v>
      </c>
      <c r="C7" s="637"/>
      <c r="D7" s="637"/>
      <c r="E7" s="637"/>
      <c r="F7" s="637"/>
      <c r="G7" s="637"/>
      <c r="H7" s="637" t="s">
        <v>323</v>
      </c>
      <c r="I7" s="637"/>
      <c r="J7">
        <f t="shared" si="0"/>
        <v>2</v>
      </c>
      <c r="K7" s="825" t="s">
        <v>324</v>
      </c>
      <c r="L7" s="643" t="s">
        <v>325</v>
      </c>
    </row>
    <row r="8" spans="2:12" ht="51">
      <c r="B8" s="343">
        <v>3</v>
      </c>
      <c r="C8" s="637"/>
      <c r="D8" s="637" t="s">
        <v>326</v>
      </c>
      <c r="E8" s="637"/>
      <c r="F8" s="637" t="s">
        <v>327</v>
      </c>
      <c r="G8" s="637"/>
      <c r="H8" s="637"/>
      <c r="I8" s="637"/>
      <c r="J8">
        <f t="shared" si="0"/>
        <v>3</v>
      </c>
      <c r="K8" s="825" t="s">
        <v>328</v>
      </c>
      <c r="L8" s="643" t="s">
        <v>329</v>
      </c>
    </row>
    <row r="9" spans="2:12" ht="51.75" thickBot="1">
      <c r="B9" s="343">
        <v>4</v>
      </c>
      <c r="C9" s="637"/>
      <c r="D9" s="637" t="s">
        <v>330</v>
      </c>
      <c r="E9" s="637"/>
      <c r="F9" s="637" t="s">
        <v>331</v>
      </c>
      <c r="G9" s="637"/>
      <c r="H9" s="637"/>
      <c r="I9" s="637"/>
      <c r="J9">
        <f t="shared" si="0"/>
        <v>4</v>
      </c>
      <c r="K9" s="826" t="s">
        <v>332</v>
      </c>
      <c r="L9" s="827"/>
    </row>
    <row r="10" spans="2:12">
      <c r="B10" s="343">
        <v>5</v>
      </c>
      <c r="C10" s="637"/>
      <c r="D10" s="637"/>
      <c r="E10" s="637"/>
      <c r="F10" s="637"/>
      <c r="G10" s="637"/>
      <c r="H10" s="637"/>
      <c r="I10" s="637"/>
      <c r="J10">
        <f t="shared" si="0"/>
        <v>5</v>
      </c>
      <c r="K10" s="439"/>
      <c r="L10" s="439"/>
    </row>
    <row r="11" spans="2:12" ht="51">
      <c r="B11" s="343">
        <v>6</v>
      </c>
      <c r="C11" s="637"/>
      <c r="D11" s="637" t="s">
        <v>333</v>
      </c>
      <c r="E11" s="637"/>
      <c r="F11" s="637" t="s">
        <v>333</v>
      </c>
      <c r="G11" s="638"/>
      <c r="H11" s="637" t="s">
        <v>334</v>
      </c>
      <c r="I11" s="637"/>
      <c r="J11">
        <f t="shared" si="0"/>
        <v>6</v>
      </c>
      <c r="K11" s="439"/>
      <c r="L11" s="439"/>
    </row>
    <row r="12" spans="2:12" ht="38.25">
      <c r="B12" s="343">
        <v>7</v>
      </c>
      <c r="C12" s="637"/>
      <c r="D12" s="637"/>
      <c r="E12" s="637" t="s">
        <v>335</v>
      </c>
      <c r="F12" s="637"/>
      <c r="G12" s="637" t="s">
        <v>336</v>
      </c>
      <c r="H12" s="637"/>
      <c r="I12" s="637"/>
      <c r="J12">
        <f t="shared" si="0"/>
        <v>7</v>
      </c>
      <c r="K12" s="439"/>
      <c r="L12" s="439"/>
    </row>
    <row r="13" spans="2:12" ht="51">
      <c r="B13" s="343">
        <v>8</v>
      </c>
      <c r="C13" s="637"/>
      <c r="D13" s="637" t="s">
        <v>337</v>
      </c>
      <c r="E13" s="637"/>
      <c r="F13" s="637" t="s">
        <v>338</v>
      </c>
      <c r="G13" s="820"/>
      <c r="H13" s="637" t="s">
        <v>339</v>
      </c>
      <c r="I13" s="637"/>
      <c r="J13">
        <f t="shared" si="0"/>
        <v>8</v>
      </c>
      <c r="K13" s="439"/>
      <c r="L13" s="439"/>
    </row>
    <row r="14" spans="2:12" ht="51">
      <c r="B14" s="343">
        <v>9</v>
      </c>
      <c r="C14" s="637"/>
      <c r="D14" s="637" t="s">
        <v>340</v>
      </c>
      <c r="E14" s="637"/>
      <c r="F14" s="637"/>
      <c r="G14" s="820"/>
      <c r="H14" s="637" t="s">
        <v>341</v>
      </c>
      <c r="I14" s="637" t="s">
        <v>49</v>
      </c>
      <c r="J14">
        <f t="shared" si="0"/>
        <v>9</v>
      </c>
      <c r="K14" s="439"/>
      <c r="L14" s="439"/>
    </row>
    <row r="15" spans="2:12" ht="25.5">
      <c r="B15" s="343">
        <v>9</v>
      </c>
      <c r="C15" s="637"/>
      <c r="D15" s="637" t="s">
        <v>342</v>
      </c>
      <c r="E15" s="637"/>
      <c r="F15" s="637"/>
      <c r="G15" s="820"/>
      <c r="H15" s="637"/>
      <c r="I15" s="820"/>
      <c r="J15">
        <v>9</v>
      </c>
      <c r="K15" s="439"/>
      <c r="L15" s="439"/>
    </row>
    <row r="16" spans="2:12" ht="51">
      <c r="B16" s="343">
        <v>10</v>
      </c>
      <c r="C16" s="637" t="s">
        <v>343</v>
      </c>
      <c r="D16" s="637" t="s">
        <v>344</v>
      </c>
      <c r="E16" s="637" t="s">
        <v>345</v>
      </c>
      <c r="F16" s="637" t="s">
        <v>344</v>
      </c>
      <c r="G16" s="638" t="s">
        <v>346</v>
      </c>
      <c r="H16" s="637" t="s">
        <v>347</v>
      </c>
      <c r="I16" s="637" t="s">
        <v>62</v>
      </c>
      <c r="J16">
        <f>B16</f>
        <v>10</v>
      </c>
      <c r="K16" s="439"/>
      <c r="L16" s="439"/>
    </row>
    <row r="17" spans="2:18">
      <c r="B17" s="88"/>
      <c r="C17" s="439"/>
      <c r="D17" s="439"/>
      <c r="E17" s="439"/>
      <c r="F17" s="439"/>
      <c r="G17" s="439"/>
      <c r="H17" s="439"/>
      <c r="I17" s="439"/>
      <c r="K17" s="439"/>
      <c r="L17" s="439"/>
    </row>
    <row r="18" spans="2:18">
      <c r="B18" s="88"/>
      <c r="C18" s="439"/>
      <c r="D18" s="439"/>
      <c r="E18" s="439"/>
      <c r="F18" s="439"/>
      <c r="G18" s="439"/>
      <c r="H18" s="439"/>
      <c r="I18" s="439"/>
      <c r="K18" s="439"/>
      <c r="L18" s="439"/>
    </row>
    <row r="19" spans="2:18">
      <c r="B19" s="88"/>
      <c r="C19" s="439"/>
      <c r="D19" s="439"/>
      <c r="E19" s="439"/>
      <c r="F19" s="439"/>
      <c r="G19" s="439"/>
      <c r="H19" s="439"/>
      <c r="I19" s="439"/>
      <c r="K19" s="439"/>
      <c r="L19" s="439"/>
    </row>
    <row r="20" spans="2:18">
      <c r="B20" s="88"/>
      <c r="C20" s="439"/>
      <c r="D20" s="439"/>
      <c r="E20" s="439"/>
      <c r="F20" s="439"/>
      <c r="G20" s="439"/>
      <c r="H20" s="439"/>
      <c r="I20" s="439"/>
      <c r="K20" s="439"/>
      <c r="L20" s="439"/>
    </row>
    <row r="21" spans="2:18">
      <c r="B21" s="88"/>
      <c r="C21" s="439"/>
      <c r="D21" s="439"/>
      <c r="E21" s="439"/>
      <c r="F21" s="439"/>
      <c r="G21" s="439"/>
      <c r="H21" s="439"/>
      <c r="I21" s="439"/>
      <c r="K21" s="439"/>
      <c r="L21" s="439"/>
    </row>
    <row r="22" spans="2:18">
      <c r="B22" s="88"/>
      <c r="C22" s="439"/>
      <c r="D22" s="439"/>
      <c r="E22" s="439"/>
      <c r="F22" s="439"/>
      <c r="G22" s="439"/>
      <c r="H22" s="439"/>
      <c r="I22" s="439"/>
      <c r="K22" s="439"/>
      <c r="L22" s="439"/>
    </row>
    <row r="23" spans="2:18" s="134" customFormat="1" ht="38.25">
      <c r="B23" s="125" t="s">
        <v>70</v>
      </c>
      <c r="C23" s="439" t="str">
        <f>C6</f>
        <v>No reactive testing conducted</v>
      </c>
      <c r="D23" s="439" t="str">
        <f>D8</f>
        <v>No proactive small meter testing activity to date</v>
      </c>
      <c r="E23" s="439" t="str">
        <f>E12</f>
        <v>Testing targeted to subsets of meters ie oldest meters</v>
      </c>
      <c r="F23" s="439" t="str">
        <f>F8</f>
        <v>No proactive large meter testing activity to date</v>
      </c>
      <c r="G23" s="439" t="str">
        <f>G12</f>
        <v>Testing targeted to subsets of meters (ie most revenue generating or customer types)</v>
      </c>
      <c r="H23" s="439" t="str">
        <f>H7</f>
        <v>Guesstimated without any customer meter testing data as a reference</v>
      </c>
      <c r="I23" s="439" t="str">
        <f>I14</f>
        <v>No</v>
      </c>
      <c r="K23" s="439"/>
      <c r="L23" s="439"/>
    </row>
    <row r="24" spans="2:18" s="134" customFormat="1" ht="51">
      <c r="B24" s="125"/>
      <c r="C24" s="439" t="str">
        <f>C16</f>
        <v>Reactive testing conducted</v>
      </c>
      <c r="D24" s="439" t="str">
        <f>D9</f>
        <v>Not recurring, last effort conducted more than 5 years prior to audit period</v>
      </c>
      <c r="E24" s="439" t="str">
        <f>E16</f>
        <v>Proactive - representative sample (for small meters)</v>
      </c>
      <c r="F24" s="439" t="str">
        <f>F9</f>
        <v>Not recurring, last testing effort occurred more than 5 years prior to audit period</v>
      </c>
      <c r="G24" s="439" t="str">
        <f>G16</f>
        <v>Proactive - all large meters are on a testing schedule</v>
      </c>
      <c r="H24" s="439" t="str">
        <f>H11</f>
        <v>Meter accuracy test results or manufacturer specs are referenced but not analyzed and used directly in calculation</v>
      </c>
      <c r="I24" s="439" t="str">
        <f>I16</f>
        <v>Yes</v>
      </c>
      <c r="K24" s="439"/>
      <c r="L24" s="439"/>
    </row>
    <row r="25" spans="2:18" s="134" customFormat="1" ht="38.25">
      <c r="B25" s="125"/>
      <c r="C25" s="439"/>
      <c r="D25" s="439" t="str">
        <f>D11</f>
        <v>Not recurring, but conducted within 5 years prior to audit period</v>
      </c>
      <c r="E25" s="439"/>
      <c r="F25" s="439" t="str">
        <f>F11</f>
        <v>Not recurring, but conducted within 5 years prior to audit period</v>
      </c>
      <c r="G25" s="439"/>
      <c r="H25" s="439" t="str">
        <f>H13</f>
        <v>Calculated based on most recent meter accuracy tests, but not comprehensive of all meter performance</v>
      </c>
      <c r="I25" s="439"/>
      <c r="K25" s="439"/>
      <c r="L25" s="439"/>
    </row>
    <row r="26" spans="2:18" s="134" customFormat="1" ht="51">
      <c r="B26" s="125"/>
      <c r="C26" s="439"/>
      <c r="D26" s="439" t="str">
        <f>D13</f>
        <v>Recurring, within 5 years prior to audit period</v>
      </c>
      <c r="E26" s="439"/>
      <c r="F26" s="439" t="str">
        <f>F13</f>
        <v>Recurring, within 5 years prior to audit period, but less frequently than annually</v>
      </c>
      <c r="H26" s="134" t="str">
        <f>H14</f>
        <v>No test results were used, but at least 50% of meter stock has been replaced within two years of the audit period</v>
      </c>
      <c r="I26" s="439"/>
      <c r="K26" s="439"/>
      <c r="L26" s="439"/>
      <c r="P26" s="439"/>
      <c r="R26" s="439"/>
    </row>
    <row r="27" spans="2:18" s="134" customFormat="1" ht="51">
      <c r="B27" s="125"/>
      <c r="C27" s="439"/>
      <c r="D27" s="439" t="str">
        <f>D14</f>
        <v>No testing conducted, but at least 10% of meter stock has been replaced within two years of the audit period</v>
      </c>
      <c r="E27" s="439"/>
      <c r="F27" s="439" t="str">
        <f>F16</f>
        <v>Ongoing, conducted annually</v>
      </c>
      <c r="H27" s="134" t="str">
        <f>H16</f>
        <v>Calculated based on most recent meter accuracy tests, comprehensive of all meter performance</v>
      </c>
      <c r="I27" s="439"/>
      <c r="K27" s="439"/>
      <c r="L27" s="439"/>
      <c r="R27" s="439"/>
    </row>
    <row r="28" spans="2:18" s="134" customFormat="1" ht="25.5">
      <c r="B28" s="125"/>
      <c r="C28" s="439"/>
      <c r="D28" s="439" t="str">
        <f>D15</f>
        <v>Recurring, within two years of the audit period</v>
      </c>
      <c r="E28" s="439"/>
      <c r="F28" s="439"/>
      <c r="G28" s="439"/>
      <c r="H28" s="439"/>
      <c r="I28" s="439"/>
      <c r="K28" s="439"/>
      <c r="L28" s="439"/>
    </row>
    <row r="29" spans="2:18" s="134" customFormat="1">
      <c r="B29" s="125"/>
      <c r="C29" s="439"/>
      <c r="D29" s="439" t="str">
        <f>D16</f>
        <v>Ongoing, conducted annually</v>
      </c>
      <c r="E29" s="439"/>
      <c r="F29" s="439"/>
      <c r="G29" s="439"/>
      <c r="H29" s="439"/>
      <c r="I29" s="439"/>
      <c r="K29" s="439"/>
      <c r="L29" s="439"/>
    </row>
    <row r="30" spans="2:18">
      <c r="B30" s="121"/>
      <c r="C30" s="439"/>
      <c r="D30" s="439"/>
      <c r="E30" s="439"/>
      <c r="F30" s="439"/>
      <c r="G30" s="439"/>
      <c r="H30" s="439"/>
      <c r="I30" s="439"/>
      <c r="K30" s="439"/>
      <c r="L30" s="439"/>
    </row>
    <row r="31" spans="2:18">
      <c r="B31" s="121"/>
      <c r="C31" s="439"/>
      <c r="D31" s="439"/>
      <c r="E31" s="439"/>
      <c r="F31" s="439"/>
      <c r="G31" s="439"/>
      <c r="H31" s="439"/>
      <c r="I31" s="439"/>
      <c r="K31" s="439"/>
      <c r="L31" s="439"/>
    </row>
    <row r="32" spans="2:18">
      <c r="B32" s="125"/>
      <c r="C32" s="439"/>
      <c r="D32" s="439"/>
      <c r="E32" s="439"/>
      <c r="F32" s="439"/>
      <c r="G32" s="439"/>
      <c r="H32" s="439"/>
      <c r="I32" s="439"/>
      <c r="K32" s="439"/>
      <c r="L32" s="439"/>
    </row>
    <row r="33" spans="1:12">
      <c r="B33" s="119" t="s">
        <v>71</v>
      </c>
      <c r="C33" s="439"/>
      <c r="D33" s="439"/>
      <c r="E33" s="439"/>
      <c r="F33" s="439"/>
      <c r="G33" s="439"/>
      <c r="H33" s="439"/>
      <c r="I33" s="439"/>
      <c r="K33" s="439"/>
      <c r="L33" s="439"/>
    </row>
    <row r="34" spans="1:12">
      <c r="A34" s="118" t="s">
        <v>348</v>
      </c>
      <c r="B34" t="s">
        <v>291</v>
      </c>
      <c r="C34" s="439"/>
      <c r="D34" s="439"/>
      <c r="E34" s="439"/>
      <c r="F34" s="439"/>
      <c r="G34" s="439"/>
      <c r="H34" s="439"/>
      <c r="I34" s="439"/>
      <c r="K34" s="439"/>
      <c r="L34" s="439"/>
    </row>
    <row r="35" spans="1:12">
      <c r="A35" s="118" t="s">
        <v>294</v>
      </c>
      <c r="B35" s="136" t="s">
        <v>312</v>
      </c>
      <c r="C35" s="439"/>
      <c r="D35" s="439"/>
      <c r="E35" s="439"/>
      <c r="F35" s="439"/>
      <c r="G35" s="439"/>
      <c r="H35" s="439"/>
      <c r="I35" s="439"/>
      <c r="K35" s="439"/>
      <c r="L35" s="439"/>
    </row>
    <row r="36" spans="1:12">
      <c r="A36" s="118" t="s">
        <v>295</v>
      </c>
      <c r="B36" s="136" t="s">
        <v>313</v>
      </c>
      <c r="C36" s="439"/>
      <c r="D36" s="439"/>
      <c r="E36" s="439"/>
      <c r="F36" s="439"/>
      <c r="G36" s="439"/>
      <c r="H36" s="439"/>
      <c r="I36" s="439"/>
      <c r="K36" s="439"/>
      <c r="L36" s="439"/>
    </row>
    <row r="37" spans="1:12">
      <c r="A37" s="118" t="s">
        <v>349</v>
      </c>
      <c r="B37" s="136" t="s">
        <v>314</v>
      </c>
      <c r="C37" s="439"/>
      <c r="D37" s="439"/>
      <c r="E37" s="439"/>
      <c r="F37" s="439"/>
      <c r="G37" s="439"/>
      <c r="H37" s="439"/>
      <c r="I37" s="439"/>
      <c r="K37" s="439"/>
      <c r="L37" s="439"/>
    </row>
    <row r="38" spans="1:12">
      <c r="A38" s="118" t="s">
        <v>297</v>
      </c>
      <c r="B38" s="136" t="s">
        <v>315</v>
      </c>
      <c r="C38" s="439"/>
      <c r="D38" s="439"/>
      <c r="E38" s="439"/>
      <c r="F38" s="439"/>
      <c r="G38" s="439"/>
      <c r="H38" s="439"/>
      <c r="I38" s="439"/>
      <c r="K38" s="439"/>
      <c r="L38" s="439"/>
    </row>
    <row r="39" spans="1:12">
      <c r="A39" s="118" t="s">
        <v>350</v>
      </c>
      <c r="B39" s="136" t="s">
        <v>316</v>
      </c>
      <c r="C39" s="439"/>
      <c r="D39" s="439"/>
      <c r="E39" s="439"/>
      <c r="F39" s="439"/>
      <c r="G39" s="439"/>
      <c r="H39" s="439"/>
      <c r="I39" s="439"/>
      <c r="K39" s="439"/>
      <c r="L39" s="439"/>
    </row>
    <row r="40" spans="1:12">
      <c r="A40" s="118" t="s">
        <v>299</v>
      </c>
      <c r="B40" s="136" t="s">
        <v>279</v>
      </c>
      <c r="C40" s="439"/>
      <c r="D40" s="439"/>
      <c r="E40" s="439"/>
      <c r="F40" s="439"/>
      <c r="G40" s="439"/>
      <c r="H40" s="439"/>
      <c r="I40" s="439"/>
      <c r="K40" s="439"/>
      <c r="L40" s="439"/>
    </row>
    <row r="41" spans="1:12">
      <c r="A41" s="118" t="s">
        <v>300</v>
      </c>
      <c r="B41" s="136" t="s">
        <v>317</v>
      </c>
      <c r="C41" s="439"/>
      <c r="D41" s="439"/>
      <c r="E41" s="439"/>
      <c r="F41" s="439"/>
      <c r="G41" s="439"/>
      <c r="H41" s="439"/>
      <c r="I41" s="439"/>
      <c r="K41" s="439"/>
      <c r="L41" s="439"/>
    </row>
    <row r="42" spans="1:12">
      <c r="A42" s="118" t="s">
        <v>301</v>
      </c>
      <c r="B42" t="s">
        <v>318</v>
      </c>
      <c r="C42" s="439"/>
      <c r="D42" s="439"/>
      <c r="E42" s="439"/>
      <c r="F42" s="439"/>
      <c r="G42" s="439"/>
      <c r="H42" s="439"/>
      <c r="I42" s="439"/>
      <c r="K42" s="439"/>
      <c r="L42" s="439"/>
    </row>
    <row r="43" spans="1:12">
      <c r="A43" s="118" t="s">
        <v>302</v>
      </c>
      <c r="B43" s="136" t="s">
        <v>319</v>
      </c>
      <c r="C43" s="439"/>
      <c r="D43" s="439"/>
      <c r="E43" s="439"/>
      <c r="F43" s="439"/>
      <c r="G43" s="439"/>
      <c r="H43" s="439"/>
      <c r="I43" s="439"/>
      <c r="K43" s="439"/>
      <c r="L43" s="439"/>
    </row>
    <row r="44" spans="1:12">
      <c r="B44" s="88"/>
      <c r="C44" s="439"/>
      <c r="D44" s="439"/>
      <c r="E44" s="439"/>
      <c r="F44" s="439"/>
      <c r="G44" s="439"/>
      <c r="H44" s="439"/>
      <c r="I44" s="439"/>
      <c r="K44" s="439"/>
      <c r="L44" s="439"/>
    </row>
    <row r="45" spans="1:12">
      <c r="B45" s="88"/>
      <c r="C45" s="439"/>
      <c r="D45" s="439"/>
      <c r="E45" s="439"/>
      <c r="F45" s="439"/>
      <c r="G45" s="439"/>
      <c r="H45" s="439"/>
      <c r="I45" s="439"/>
      <c r="K45" s="439"/>
      <c r="L45" s="439"/>
    </row>
    <row r="46" spans="1:12">
      <c r="B46" s="88"/>
      <c r="C46" s="439"/>
      <c r="D46" s="439"/>
      <c r="E46" s="439"/>
      <c r="F46" s="439"/>
      <c r="G46" s="439"/>
      <c r="H46" s="439"/>
      <c r="I46" s="439"/>
      <c r="K46" s="439"/>
      <c r="L46" s="439"/>
    </row>
    <row r="47" spans="1:12">
      <c r="B47" s="88"/>
      <c r="C47" s="439"/>
      <c r="D47" s="439"/>
      <c r="E47" s="439"/>
      <c r="F47" s="439"/>
      <c r="G47" s="439"/>
      <c r="H47" s="439"/>
      <c r="I47" s="439"/>
      <c r="K47" s="439"/>
      <c r="L47" s="439"/>
    </row>
    <row r="48" spans="1:12">
      <c r="B48" s="88"/>
      <c r="C48" s="439"/>
      <c r="D48" s="439"/>
      <c r="E48" s="439"/>
      <c r="F48" s="439"/>
      <c r="G48" s="439"/>
      <c r="H48" s="439"/>
      <c r="I48" s="439"/>
      <c r="K48" s="439"/>
      <c r="L48" s="439"/>
    </row>
    <row r="49" spans="2:12">
      <c r="B49" s="88"/>
      <c r="C49" s="439"/>
      <c r="D49" s="439"/>
      <c r="E49" s="439"/>
      <c r="F49" s="439"/>
      <c r="G49" s="439"/>
      <c r="H49" s="439"/>
      <c r="I49" s="439"/>
      <c r="K49" s="439"/>
      <c r="L49" s="439"/>
    </row>
    <row r="50" spans="2:12">
      <c r="B50" s="88"/>
      <c r="C50" s="439"/>
      <c r="D50" s="439"/>
      <c r="E50" s="439"/>
      <c r="F50" s="439"/>
      <c r="G50" s="439"/>
      <c r="H50" s="439"/>
      <c r="I50" s="439"/>
      <c r="K50" s="439"/>
      <c r="L50" s="439"/>
    </row>
    <row r="51" spans="2:12">
      <c r="B51" s="88"/>
      <c r="C51" s="439"/>
      <c r="D51" s="439"/>
      <c r="E51" s="439"/>
      <c r="F51" s="439"/>
      <c r="G51" s="439"/>
      <c r="H51" s="439"/>
      <c r="I51" s="439"/>
      <c r="K51" s="439"/>
      <c r="L51" s="439"/>
    </row>
    <row r="52" spans="2:12">
      <c r="B52" s="88"/>
      <c r="C52" s="439"/>
      <c r="D52" s="439"/>
      <c r="E52" s="439"/>
      <c r="F52" s="439"/>
      <c r="G52" s="439"/>
      <c r="H52" s="439"/>
      <c r="I52" s="439"/>
      <c r="K52" s="439"/>
      <c r="L52" s="439"/>
    </row>
    <row r="53" spans="2:12">
      <c r="B53" s="88"/>
      <c r="C53" s="439"/>
      <c r="D53" s="439"/>
      <c r="E53" s="439"/>
      <c r="F53" s="439"/>
      <c r="G53" s="439"/>
      <c r="H53" s="439"/>
      <c r="I53" s="439"/>
      <c r="K53" s="439"/>
      <c r="L53" s="439"/>
    </row>
    <row r="54" spans="2:12">
      <c r="B54" s="88"/>
      <c r="C54" s="439"/>
      <c r="D54" s="439"/>
      <c r="E54" s="439"/>
      <c r="F54" s="439"/>
      <c r="G54" s="439"/>
      <c r="H54" s="439"/>
      <c r="I54" s="439"/>
      <c r="K54" s="439"/>
      <c r="L54" s="439"/>
    </row>
    <row r="55" spans="2:12">
      <c r="B55" s="88"/>
      <c r="C55" s="439"/>
      <c r="D55" s="439"/>
      <c r="E55" s="439"/>
      <c r="F55" s="439"/>
      <c r="G55" s="439"/>
      <c r="H55" s="439"/>
      <c r="I55" s="439"/>
      <c r="K55" s="439"/>
      <c r="L55" s="439"/>
    </row>
    <row r="56" spans="2:12">
      <c r="B56" s="88"/>
      <c r="C56" s="439"/>
      <c r="D56" s="439"/>
      <c r="E56" s="439"/>
      <c r="F56" s="439"/>
      <c r="G56" s="439"/>
      <c r="H56" s="439"/>
      <c r="I56" s="439"/>
      <c r="K56" s="439"/>
      <c r="L56" s="439"/>
    </row>
    <row r="57" spans="2:12">
      <c r="B57" s="88"/>
      <c r="C57" s="439"/>
      <c r="D57" s="439"/>
      <c r="E57" s="439"/>
      <c r="F57" s="439"/>
      <c r="G57" s="439"/>
      <c r="H57" s="439"/>
      <c r="I57" s="439"/>
      <c r="K57" s="439"/>
      <c r="L57" s="439"/>
    </row>
    <row r="58" spans="2:12">
      <c r="B58" s="88"/>
      <c r="C58" s="439"/>
      <c r="D58" s="439"/>
      <c r="E58" s="439"/>
      <c r="F58" s="439"/>
      <c r="G58" s="439"/>
      <c r="H58" s="439"/>
      <c r="I58" s="439"/>
      <c r="K58" s="439"/>
      <c r="L58" s="439"/>
    </row>
    <row r="59" spans="2:12">
      <c r="B59" s="88"/>
      <c r="C59" s="439"/>
      <c r="D59" s="439"/>
      <c r="E59" s="439"/>
      <c r="F59" s="439"/>
      <c r="G59" s="439"/>
      <c r="H59" s="439"/>
      <c r="I59" s="439"/>
      <c r="K59" s="439"/>
      <c r="L59" s="439"/>
    </row>
    <row r="60" spans="2:12">
      <c r="B60" s="88"/>
      <c r="C60" s="439"/>
      <c r="D60" s="439"/>
      <c r="E60" s="439"/>
      <c r="F60" s="439"/>
      <c r="G60" s="439"/>
      <c r="H60" s="439"/>
      <c r="I60" s="439"/>
      <c r="K60" s="439"/>
      <c r="L60" s="439"/>
    </row>
    <row r="61" spans="2:12">
      <c r="B61" s="88"/>
      <c r="C61" s="439"/>
      <c r="D61" s="439"/>
      <c r="E61" s="439"/>
      <c r="F61" s="439"/>
      <c r="G61" s="439"/>
      <c r="H61" s="439"/>
      <c r="I61" s="439"/>
      <c r="K61" s="439"/>
      <c r="L61" s="439"/>
    </row>
    <row r="62" spans="2:12">
      <c r="B62" s="88"/>
      <c r="C62" s="439"/>
      <c r="D62" s="439"/>
      <c r="E62" s="439"/>
      <c r="F62" s="439"/>
      <c r="G62" s="439"/>
      <c r="H62" s="439"/>
      <c r="I62" s="439"/>
      <c r="K62" s="439"/>
      <c r="L62" s="439"/>
    </row>
    <row r="63" spans="2:12">
      <c r="B63" s="88"/>
      <c r="C63" s="439"/>
      <c r="D63" s="439"/>
      <c r="E63" s="439"/>
      <c r="F63" s="439"/>
      <c r="G63" s="439"/>
      <c r="H63" s="439"/>
      <c r="I63" s="439"/>
      <c r="K63" s="439"/>
      <c r="L63" s="439"/>
    </row>
    <row r="64" spans="2:12">
      <c r="B64" s="88"/>
      <c r="C64" s="439"/>
      <c r="D64" s="439"/>
      <c r="E64" s="439"/>
      <c r="F64" s="439"/>
      <c r="G64" s="439"/>
      <c r="H64" s="439"/>
      <c r="I64" s="439"/>
      <c r="K64" s="439"/>
      <c r="L64" s="439"/>
    </row>
    <row r="65" spans="2:12">
      <c r="B65" s="88"/>
      <c r="C65" s="439"/>
      <c r="D65" s="439"/>
      <c r="E65" s="439"/>
      <c r="F65" s="439"/>
      <c r="G65" s="439"/>
      <c r="H65" s="439"/>
      <c r="I65" s="439"/>
      <c r="K65" s="439"/>
      <c r="L65" s="439"/>
    </row>
    <row r="66" spans="2:12">
      <c r="B66" s="88"/>
      <c r="C66" s="439"/>
      <c r="D66" s="439"/>
      <c r="E66" s="439"/>
      <c r="F66" s="439"/>
      <c r="G66" s="439"/>
      <c r="H66" s="439"/>
      <c r="I66" s="439"/>
      <c r="K66" s="439"/>
      <c r="L66" s="439"/>
    </row>
    <row r="67" spans="2:12">
      <c r="B67" s="88"/>
      <c r="C67" s="439"/>
      <c r="D67" s="439"/>
      <c r="E67" s="439"/>
      <c r="F67" s="439"/>
      <c r="G67" s="439"/>
      <c r="H67" s="439"/>
      <c r="I67" s="439"/>
      <c r="K67" s="439"/>
      <c r="L67" s="439"/>
    </row>
    <row r="68" spans="2:12">
      <c r="B68" s="88"/>
      <c r="C68" s="439"/>
      <c r="D68" s="439"/>
      <c r="E68" s="439"/>
      <c r="F68" s="439"/>
      <c r="G68" s="439"/>
      <c r="H68" s="439"/>
      <c r="I68" s="439"/>
      <c r="K68" s="439"/>
      <c r="L68" s="439"/>
    </row>
    <row r="69" spans="2:12">
      <c r="B69" s="88"/>
      <c r="C69" s="439"/>
      <c r="D69" s="439"/>
      <c r="E69" s="439"/>
      <c r="F69" s="439"/>
      <c r="G69" s="439"/>
      <c r="H69" s="439"/>
      <c r="I69" s="439"/>
      <c r="K69" s="439"/>
      <c r="L69" s="439"/>
    </row>
    <row r="70" spans="2:12">
      <c r="B70" s="88"/>
      <c r="C70" s="439"/>
      <c r="D70" s="439"/>
      <c r="E70" s="439"/>
      <c r="F70" s="439"/>
      <c r="G70" s="439"/>
      <c r="H70" s="439"/>
      <c r="I70" s="439"/>
      <c r="K70" s="439"/>
      <c r="L70" s="439"/>
    </row>
    <row r="71" spans="2:12">
      <c r="B71" s="88"/>
      <c r="C71" s="439"/>
      <c r="D71" s="439"/>
      <c r="E71" s="439"/>
      <c r="F71" s="439"/>
      <c r="G71" s="439"/>
      <c r="H71" s="439"/>
      <c r="I71" s="439"/>
      <c r="K71" s="439"/>
      <c r="L71" s="439"/>
    </row>
    <row r="72" spans="2:12">
      <c r="B72" s="88"/>
      <c r="C72" s="439"/>
      <c r="D72" s="439"/>
      <c r="E72" s="439"/>
      <c r="F72" s="439"/>
      <c r="G72" s="439"/>
      <c r="H72" s="439"/>
      <c r="I72" s="439"/>
      <c r="K72" s="439"/>
      <c r="L72" s="439"/>
    </row>
    <row r="73" spans="2:12">
      <c r="B73" s="88"/>
      <c r="C73" s="439"/>
      <c r="D73" s="439"/>
      <c r="E73" s="439"/>
      <c r="F73" s="439"/>
      <c r="G73" s="439"/>
      <c r="H73" s="439"/>
      <c r="I73" s="439"/>
      <c r="K73" s="439"/>
      <c r="L73" s="439"/>
    </row>
    <row r="74" spans="2:12">
      <c r="B74" s="88"/>
      <c r="C74" s="439"/>
      <c r="D74" s="439"/>
      <c r="E74" s="439"/>
      <c r="F74" s="439"/>
      <c r="G74" s="439"/>
      <c r="H74" s="439"/>
      <c r="I74" s="439"/>
      <c r="K74" s="439"/>
      <c r="L74" s="439"/>
    </row>
    <row r="75" spans="2:12">
      <c r="B75" s="88"/>
      <c r="C75" s="439"/>
      <c r="D75" s="439"/>
      <c r="E75" s="439"/>
      <c r="F75" s="439"/>
      <c r="G75" s="439"/>
      <c r="H75" s="439"/>
      <c r="I75" s="439"/>
      <c r="K75" s="439"/>
      <c r="L75" s="439"/>
    </row>
    <row r="76" spans="2:12">
      <c r="B76" s="88"/>
      <c r="C76" s="439"/>
      <c r="D76" s="439"/>
      <c r="E76" s="439"/>
      <c r="F76" s="439"/>
      <c r="G76" s="439"/>
      <c r="H76" s="439"/>
      <c r="I76" s="439"/>
      <c r="K76" s="439"/>
      <c r="L76" s="439"/>
    </row>
    <row r="77" spans="2:12">
      <c r="B77" s="88"/>
      <c r="C77" s="439"/>
      <c r="D77" s="439"/>
      <c r="E77" s="439"/>
      <c r="F77" s="439"/>
      <c r="G77" s="439"/>
      <c r="H77" s="439"/>
      <c r="I77" s="439"/>
      <c r="K77" s="439"/>
      <c r="L77" s="439"/>
    </row>
    <row r="78" spans="2:12">
      <c r="B78" s="88"/>
      <c r="C78" s="439"/>
      <c r="D78" s="439"/>
      <c r="E78" s="439"/>
      <c r="F78" s="439"/>
      <c r="G78" s="439"/>
      <c r="H78" s="439"/>
      <c r="I78" s="439"/>
      <c r="K78" s="439"/>
      <c r="L78" s="439"/>
    </row>
    <row r="79" spans="2:12">
      <c r="B79" s="88"/>
      <c r="C79" s="439"/>
      <c r="D79" s="439"/>
      <c r="E79" s="439"/>
      <c r="F79" s="439"/>
      <c r="G79" s="439"/>
      <c r="H79" s="439"/>
      <c r="I79" s="439"/>
      <c r="K79" s="439"/>
      <c r="L79" s="439"/>
    </row>
    <row r="80" spans="2:12">
      <c r="B80" s="88"/>
      <c r="C80" s="439"/>
      <c r="D80" s="439"/>
      <c r="E80" s="439"/>
      <c r="F80" s="439"/>
      <c r="G80" s="439"/>
      <c r="H80" s="439"/>
      <c r="I80" s="439"/>
      <c r="K80" s="439"/>
      <c r="L80" s="439"/>
    </row>
    <row r="81" spans="2:12">
      <c r="B81" s="88"/>
      <c r="C81" s="439"/>
      <c r="D81" s="439"/>
      <c r="E81" s="439"/>
      <c r="F81" s="439"/>
      <c r="G81" s="439"/>
      <c r="H81" s="439"/>
      <c r="I81" s="439"/>
      <c r="K81" s="439"/>
      <c r="L81" s="439"/>
    </row>
    <row r="82" spans="2:12">
      <c r="B82" s="88"/>
      <c r="C82" s="439"/>
      <c r="D82" s="439"/>
      <c r="E82" s="439"/>
      <c r="F82" s="439"/>
      <c r="G82" s="439"/>
      <c r="H82" s="439"/>
      <c r="I82" s="439"/>
      <c r="K82" s="439"/>
      <c r="L82" s="439"/>
    </row>
    <row r="83" spans="2:12">
      <c r="B83" s="88"/>
      <c r="C83" s="439"/>
      <c r="D83" s="439"/>
      <c r="E83" s="439"/>
      <c r="F83" s="439"/>
      <c r="G83" s="439"/>
      <c r="H83" s="439"/>
      <c r="I83" s="439"/>
      <c r="K83" s="439"/>
      <c r="L83" s="439"/>
    </row>
    <row r="84" spans="2:12">
      <c r="B84" s="88"/>
      <c r="C84" s="439"/>
      <c r="D84" s="439"/>
      <c r="E84" s="439"/>
      <c r="F84" s="439"/>
      <c r="G84" s="439"/>
      <c r="H84" s="439"/>
      <c r="I84" s="439"/>
      <c r="K84" s="439"/>
      <c r="L84" s="439"/>
    </row>
    <row r="85" spans="2:12">
      <c r="B85" s="88"/>
      <c r="C85" s="439"/>
      <c r="D85" s="439"/>
      <c r="E85" s="439"/>
      <c r="F85" s="439"/>
      <c r="G85" s="439"/>
      <c r="H85" s="439"/>
      <c r="I85" s="439"/>
      <c r="K85" s="439"/>
      <c r="L85" s="439"/>
    </row>
    <row r="86" spans="2:12">
      <c r="B86" s="88"/>
      <c r="C86" s="439"/>
      <c r="D86" s="439"/>
      <c r="E86" s="439"/>
      <c r="F86" s="439"/>
      <c r="G86" s="439"/>
      <c r="H86" s="439"/>
      <c r="I86" s="439"/>
      <c r="K86" s="439"/>
      <c r="L86" s="439"/>
    </row>
    <row r="87" spans="2:12">
      <c r="B87" s="88"/>
      <c r="C87" s="439"/>
      <c r="D87" s="439"/>
      <c r="E87" s="439"/>
      <c r="F87" s="439"/>
      <c r="G87" s="439"/>
      <c r="H87" s="439"/>
      <c r="I87" s="439"/>
      <c r="K87" s="439"/>
      <c r="L87" s="439"/>
    </row>
    <row r="88" spans="2:12">
      <c r="B88" s="88"/>
      <c r="C88" s="439"/>
      <c r="D88" s="439"/>
      <c r="E88" s="439"/>
      <c r="F88" s="439"/>
      <c r="G88" s="439"/>
      <c r="H88" s="439"/>
      <c r="I88" s="439"/>
      <c r="K88" s="439"/>
      <c r="L88" s="439"/>
    </row>
    <row r="89" spans="2:12">
      <c r="B89" s="88"/>
      <c r="C89" s="439"/>
      <c r="D89" s="439"/>
      <c r="E89" s="439"/>
      <c r="F89" s="439"/>
      <c r="G89" s="439"/>
      <c r="H89" s="439"/>
      <c r="I89" s="439"/>
      <c r="K89" s="439"/>
      <c r="L89" s="439"/>
    </row>
    <row r="90" spans="2:12">
      <c r="B90" s="88"/>
      <c r="C90" s="439"/>
      <c r="D90" s="439"/>
      <c r="E90" s="439"/>
      <c r="F90" s="439"/>
      <c r="G90" s="439"/>
      <c r="H90" s="439"/>
      <c r="I90" s="439"/>
      <c r="K90" s="439"/>
      <c r="L90" s="439"/>
    </row>
    <row r="91" spans="2:12">
      <c r="B91" s="88"/>
      <c r="C91" s="439"/>
      <c r="D91" s="439"/>
      <c r="E91" s="439"/>
      <c r="F91" s="439"/>
      <c r="G91" s="439"/>
      <c r="H91" s="439"/>
      <c r="I91" s="439"/>
      <c r="K91" s="439"/>
      <c r="L91" s="439"/>
    </row>
    <row r="92" spans="2:12">
      <c r="B92" s="88"/>
      <c r="C92" s="439"/>
      <c r="D92" s="439"/>
      <c r="E92" s="439"/>
      <c r="F92" s="439"/>
      <c r="G92" s="439"/>
      <c r="H92" s="439"/>
      <c r="I92" s="439"/>
      <c r="K92" s="439"/>
      <c r="L92" s="439"/>
    </row>
    <row r="93" spans="2:12">
      <c r="B93" s="88"/>
      <c r="C93" s="439"/>
      <c r="D93" s="439"/>
      <c r="E93" s="439"/>
      <c r="F93" s="439"/>
      <c r="G93" s="439"/>
      <c r="H93" s="439"/>
      <c r="I93" s="439"/>
      <c r="K93" s="439"/>
      <c r="L93" s="439"/>
    </row>
    <row r="94" spans="2:12">
      <c r="B94" s="88"/>
      <c r="C94" s="439"/>
      <c r="D94" s="439"/>
      <c r="E94" s="439"/>
      <c r="F94" s="439"/>
      <c r="G94" s="439"/>
      <c r="H94" s="439"/>
      <c r="I94" s="439"/>
      <c r="K94" s="439"/>
      <c r="L94" s="439"/>
    </row>
    <row r="95" spans="2:12">
      <c r="B95" s="88"/>
      <c r="C95" s="439"/>
      <c r="D95" s="439"/>
      <c r="E95" s="439"/>
      <c r="F95" s="439"/>
      <c r="G95" s="439"/>
      <c r="H95" s="439"/>
      <c r="I95" s="439"/>
      <c r="K95" s="439"/>
      <c r="L95" s="439"/>
    </row>
    <row r="96" spans="2:12">
      <c r="B96" s="88"/>
      <c r="C96" s="439"/>
      <c r="D96" s="439"/>
      <c r="E96" s="439"/>
      <c r="F96" s="439"/>
      <c r="G96" s="439"/>
      <c r="H96" s="439"/>
      <c r="I96" s="439"/>
      <c r="K96" s="439"/>
      <c r="L96" s="439"/>
    </row>
    <row r="97" spans="2:12">
      <c r="B97" s="88"/>
      <c r="C97" s="439"/>
      <c r="D97" s="439"/>
      <c r="E97" s="439"/>
      <c r="F97" s="439"/>
      <c r="G97" s="439"/>
      <c r="H97" s="439"/>
      <c r="I97" s="439"/>
      <c r="K97" s="439"/>
      <c r="L97" s="439"/>
    </row>
    <row r="98" spans="2:12">
      <c r="B98" s="88"/>
      <c r="C98" s="439"/>
      <c r="D98" s="439"/>
      <c r="E98" s="439"/>
      <c r="F98" s="439"/>
      <c r="G98" s="439"/>
      <c r="H98" s="439"/>
      <c r="I98" s="439"/>
      <c r="K98" s="439"/>
      <c r="L98" s="439"/>
    </row>
    <row r="99" spans="2:12">
      <c r="B99" s="88"/>
      <c r="C99" s="439"/>
      <c r="D99" s="439"/>
      <c r="E99" s="439"/>
      <c r="F99" s="439"/>
      <c r="G99" s="439"/>
      <c r="H99" s="439"/>
      <c r="I99" s="439"/>
      <c r="K99" s="439"/>
      <c r="L99" s="439"/>
    </row>
    <row r="100" spans="2:12">
      <c r="B100" s="88"/>
      <c r="C100" s="439"/>
      <c r="D100" s="439"/>
      <c r="E100" s="439"/>
      <c r="F100" s="439"/>
      <c r="G100" s="439"/>
      <c r="H100" s="439"/>
      <c r="I100" s="439"/>
      <c r="K100" s="439"/>
      <c r="L100" s="439"/>
    </row>
    <row r="101" spans="2:12">
      <c r="B101" s="88"/>
      <c r="C101" s="439"/>
      <c r="D101" s="439"/>
      <c r="E101" s="439"/>
      <c r="F101" s="439"/>
      <c r="G101" s="439"/>
      <c r="H101" s="439"/>
      <c r="I101" s="439"/>
      <c r="K101" s="439"/>
      <c r="L101" s="439"/>
    </row>
    <row r="102" spans="2:12">
      <c r="B102" s="88"/>
      <c r="C102" s="439"/>
      <c r="D102" s="439"/>
      <c r="E102" s="439"/>
      <c r="F102" s="439"/>
      <c r="G102" s="439"/>
      <c r="H102" s="439"/>
      <c r="I102" s="439"/>
      <c r="K102" s="439"/>
      <c r="L102" s="439"/>
    </row>
    <row r="103" spans="2:12">
      <c r="B103" s="88"/>
      <c r="C103" s="439"/>
      <c r="D103" s="439"/>
      <c r="E103" s="439"/>
      <c r="F103" s="439"/>
      <c r="G103" s="439"/>
      <c r="H103" s="439"/>
      <c r="I103" s="439"/>
      <c r="K103" s="439"/>
      <c r="L103" s="439"/>
    </row>
    <row r="104" spans="2:12">
      <c r="B104" s="88"/>
      <c r="C104" s="439"/>
      <c r="D104" s="439"/>
      <c r="E104" s="439"/>
      <c r="F104" s="439"/>
      <c r="G104" s="439"/>
      <c r="H104" s="439"/>
      <c r="I104" s="439"/>
      <c r="K104" s="439"/>
      <c r="L104" s="439"/>
    </row>
    <row r="105" spans="2:12">
      <c r="B105" s="88"/>
      <c r="C105" s="439"/>
      <c r="D105" s="439"/>
      <c r="E105" s="439"/>
      <c r="F105" s="439"/>
      <c r="G105" s="439"/>
      <c r="H105" s="439"/>
      <c r="I105" s="439"/>
      <c r="K105" s="439"/>
      <c r="L105" s="439"/>
    </row>
    <row r="106" spans="2:12">
      <c r="B106" s="88"/>
      <c r="C106" s="439"/>
      <c r="D106" s="439"/>
      <c r="E106" s="439"/>
      <c r="F106" s="439"/>
      <c r="G106" s="439"/>
      <c r="H106" s="439"/>
      <c r="I106" s="439"/>
      <c r="K106" s="439"/>
      <c r="L106" s="439"/>
    </row>
    <row r="107" spans="2:12">
      <c r="B107" s="88"/>
      <c r="C107" s="439"/>
      <c r="D107" s="439"/>
      <c r="E107" s="439"/>
      <c r="F107" s="439"/>
      <c r="G107" s="439"/>
      <c r="H107" s="439"/>
      <c r="I107" s="439"/>
      <c r="K107" s="439"/>
      <c r="L107" s="439"/>
    </row>
    <row r="108" spans="2:12">
      <c r="B108" s="88"/>
      <c r="C108" s="439"/>
      <c r="D108" s="439"/>
      <c r="E108" s="439"/>
      <c r="F108" s="439"/>
      <c r="G108" s="439"/>
      <c r="H108" s="439"/>
      <c r="I108" s="439"/>
      <c r="K108" s="439"/>
      <c r="L108" s="439"/>
    </row>
    <row r="109" spans="2:12">
      <c r="B109" s="88"/>
      <c r="C109" s="439"/>
      <c r="D109" s="439"/>
      <c r="E109" s="439"/>
      <c r="F109" s="439"/>
      <c r="G109" s="439"/>
      <c r="H109" s="439"/>
      <c r="I109" s="439"/>
      <c r="K109" s="439"/>
      <c r="L109" s="439"/>
    </row>
    <row r="110" spans="2:12">
      <c r="B110" s="88"/>
      <c r="C110" s="439"/>
      <c r="D110" s="439"/>
      <c r="E110" s="439"/>
      <c r="F110" s="439"/>
      <c r="G110" s="439"/>
      <c r="H110" s="439"/>
      <c r="I110" s="439"/>
      <c r="K110" s="439"/>
      <c r="L110" s="439"/>
    </row>
    <row r="111" spans="2:12">
      <c r="B111" s="88"/>
      <c r="C111" s="439"/>
      <c r="D111" s="439"/>
      <c r="E111" s="439"/>
      <c r="F111" s="439"/>
      <c r="G111" s="439"/>
      <c r="H111" s="439"/>
      <c r="I111" s="439"/>
      <c r="K111" s="439"/>
      <c r="L111" s="439"/>
    </row>
    <row r="112" spans="2:12">
      <c r="B112" s="88"/>
      <c r="C112" s="439"/>
      <c r="D112" s="439"/>
      <c r="E112" s="439"/>
      <c r="F112" s="439"/>
      <c r="G112" s="439"/>
      <c r="H112" s="439"/>
      <c r="I112" s="439"/>
      <c r="K112" s="439"/>
      <c r="L112" s="439"/>
    </row>
    <row r="113" spans="2:12">
      <c r="B113" s="88"/>
      <c r="C113" s="439"/>
      <c r="D113" s="439"/>
      <c r="E113" s="439"/>
      <c r="F113" s="439"/>
      <c r="G113" s="439"/>
      <c r="H113" s="439"/>
      <c r="I113" s="439"/>
      <c r="K113" s="439"/>
      <c r="L113" s="439"/>
    </row>
    <row r="114" spans="2:12">
      <c r="B114" s="88"/>
      <c r="C114" s="439"/>
      <c r="D114" s="439"/>
      <c r="E114" s="439"/>
      <c r="F114" s="439"/>
      <c r="G114" s="439"/>
      <c r="H114" s="439"/>
      <c r="I114" s="439"/>
      <c r="K114" s="439"/>
      <c r="L114" s="439"/>
    </row>
    <row r="115" spans="2:12">
      <c r="B115" s="88"/>
      <c r="C115" s="439"/>
      <c r="D115" s="439"/>
      <c r="E115" s="439"/>
      <c r="F115" s="439"/>
      <c r="G115" s="439"/>
      <c r="H115" s="439"/>
      <c r="I115" s="439"/>
      <c r="K115" s="439"/>
      <c r="L115" s="439"/>
    </row>
    <row r="116" spans="2:12">
      <c r="B116" s="88"/>
      <c r="C116" s="439"/>
      <c r="D116" s="439"/>
      <c r="E116" s="439"/>
      <c r="F116" s="439"/>
      <c r="G116" s="439"/>
      <c r="H116" s="439"/>
      <c r="I116" s="439"/>
      <c r="K116" s="439"/>
      <c r="L116" s="439"/>
    </row>
    <row r="117" spans="2:12">
      <c r="B117" s="88"/>
      <c r="C117" s="439"/>
      <c r="D117" s="439"/>
      <c r="E117" s="439"/>
      <c r="F117" s="439"/>
      <c r="G117" s="439"/>
      <c r="H117" s="439"/>
      <c r="I117" s="439"/>
      <c r="K117" s="439"/>
      <c r="L117" s="439"/>
    </row>
    <row r="118" spans="2:12">
      <c r="B118" s="88"/>
      <c r="C118" s="439"/>
      <c r="D118" s="439"/>
      <c r="E118" s="439"/>
      <c r="F118" s="439"/>
      <c r="G118" s="439"/>
      <c r="H118" s="439"/>
      <c r="I118" s="439"/>
      <c r="K118" s="439"/>
      <c r="L118" s="439"/>
    </row>
    <row r="119" spans="2:12">
      <c r="B119" s="88"/>
      <c r="C119" s="439"/>
      <c r="D119" s="439"/>
      <c r="E119" s="439"/>
      <c r="F119" s="439"/>
      <c r="G119" s="439"/>
      <c r="H119" s="439"/>
      <c r="I119" s="439"/>
      <c r="K119" s="439"/>
      <c r="L119" s="439"/>
    </row>
    <row r="120" spans="2:12">
      <c r="B120" s="88"/>
      <c r="C120" s="439"/>
      <c r="D120" s="439"/>
      <c r="E120" s="439"/>
      <c r="F120" s="439"/>
      <c r="G120" s="439"/>
      <c r="H120" s="439"/>
      <c r="I120" s="439"/>
      <c r="K120" s="439"/>
      <c r="L120" s="439"/>
    </row>
    <row r="121" spans="2:12">
      <c r="B121" s="88"/>
      <c r="C121" s="439"/>
      <c r="D121" s="439"/>
      <c r="E121" s="439"/>
      <c r="F121" s="439"/>
      <c r="G121" s="439"/>
      <c r="H121" s="439"/>
      <c r="I121" s="439"/>
      <c r="K121" s="439"/>
      <c r="L121" s="439"/>
    </row>
    <row r="122" spans="2:12">
      <c r="B122" s="88"/>
      <c r="C122" s="439"/>
      <c r="D122" s="439"/>
      <c r="E122" s="439"/>
      <c r="F122" s="439"/>
      <c r="G122" s="439"/>
      <c r="H122" s="439"/>
      <c r="I122" s="439"/>
      <c r="K122" s="439"/>
      <c r="L122" s="439"/>
    </row>
    <row r="123" spans="2:12">
      <c r="B123" s="88"/>
      <c r="C123" s="439"/>
      <c r="D123" s="439"/>
      <c r="E123" s="439"/>
      <c r="F123" s="439"/>
      <c r="G123" s="439"/>
      <c r="H123" s="439"/>
      <c r="I123" s="439"/>
      <c r="K123" s="439"/>
      <c r="L123" s="439"/>
    </row>
    <row r="124" spans="2:12">
      <c r="B124" s="88"/>
      <c r="C124" s="439"/>
      <c r="D124" s="439"/>
      <c r="E124" s="439"/>
      <c r="F124" s="439"/>
      <c r="G124" s="439"/>
      <c r="H124" s="439"/>
      <c r="I124" s="439"/>
      <c r="K124" s="439"/>
      <c r="L124" s="439"/>
    </row>
    <row r="125" spans="2:12">
      <c r="B125" s="88"/>
      <c r="C125" s="439"/>
      <c r="D125" s="439"/>
      <c r="E125" s="439"/>
      <c r="F125" s="439"/>
      <c r="G125" s="439"/>
      <c r="H125" s="439"/>
      <c r="I125" s="439"/>
      <c r="K125" s="439"/>
      <c r="L125" s="439"/>
    </row>
    <row r="126" spans="2:12">
      <c r="B126" s="88"/>
      <c r="C126" s="439"/>
      <c r="D126" s="439"/>
      <c r="E126" s="439"/>
      <c r="F126" s="439"/>
      <c r="G126" s="439"/>
      <c r="H126" s="439"/>
      <c r="I126" s="439"/>
      <c r="K126" s="439"/>
      <c r="L126" s="439"/>
    </row>
    <row r="127" spans="2:12">
      <c r="B127" s="88"/>
      <c r="C127" s="439"/>
      <c r="D127" s="439"/>
      <c r="E127" s="439"/>
      <c r="F127" s="439"/>
      <c r="G127" s="439"/>
      <c r="H127" s="439"/>
      <c r="I127" s="439"/>
      <c r="K127" s="439"/>
      <c r="L127" s="439"/>
    </row>
    <row r="128" spans="2:12">
      <c r="B128" s="88"/>
      <c r="C128" s="439"/>
      <c r="D128" s="439"/>
      <c r="E128" s="439"/>
      <c r="F128" s="439"/>
      <c r="G128" s="439"/>
      <c r="H128" s="439"/>
      <c r="I128" s="439"/>
      <c r="K128" s="439"/>
      <c r="L128" s="439"/>
    </row>
    <row r="129" spans="2:12">
      <c r="B129" s="88"/>
      <c r="C129" s="439"/>
      <c r="D129" s="439"/>
      <c r="E129" s="439"/>
      <c r="F129" s="439"/>
      <c r="G129" s="439"/>
      <c r="H129" s="439"/>
      <c r="I129" s="439"/>
      <c r="K129" s="439"/>
      <c r="L129" s="439"/>
    </row>
    <row r="130" spans="2:12">
      <c r="B130" s="88"/>
      <c r="C130" s="439"/>
      <c r="D130" s="439"/>
      <c r="E130" s="439"/>
      <c r="F130" s="439"/>
      <c r="G130" s="439"/>
      <c r="H130" s="439"/>
      <c r="I130" s="439"/>
      <c r="K130" s="439"/>
      <c r="L130" s="439"/>
    </row>
    <row r="131" spans="2:12">
      <c r="B131" s="88"/>
      <c r="C131" s="439"/>
      <c r="D131" s="439"/>
      <c r="E131" s="439"/>
      <c r="F131" s="439"/>
      <c r="G131" s="439"/>
      <c r="H131" s="439"/>
      <c r="I131" s="439"/>
      <c r="K131" s="439"/>
      <c r="L131" s="439"/>
    </row>
    <row r="132" spans="2:12">
      <c r="B132" s="88"/>
      <c r="C132" s="439"/>
      <c r="D132" s="439"/>
      <c r="E132" s="439"/>
      <c r="F132" s="439"/>
      <c r="G132" s="439"/>
      <c r="H132" s="439"/>
      <c r="I132" s="439"/>
      <c r="K132" s="439"/>
      <c r="L132" s="439"/>
    </row>
    <row r="133" spans="2:12">
      <c r="B133" s="88"/>
      <c r="C133" s="439"/>
      <c r="D133" s="439"/>
      <c r="E133" s="439"/>
      <c r="F133" s="439"/>
      <c r="G133" s="439"/>
      <c r="H133" s="439"/>
      <c r="I133" s="439"/>
      <c r="K133" s="439"/>
      <c r="L133" s="439"/>
    </row>
    <row r="134" spans="2:12">
      <c r="B134" s="88"/>
      <c r="C134" s="439"/>
      <c r="D134" s="439"/>
      <c r="E134" s="439"/>
      <c r="F134" s="439"/>
      <c r="G134" s="439"/>
      <c r="H134" s="439"/>
      <c r="I134" s="439"/>
      <c r="K134" s="439"/>
      <c r="L134" s="439"/>
    </row>
    <row r="135" spans="2:12">
      <c r="B135" s="88"/>
      <c r="C135" s="439"/>
      <c r="D135" s="439"/>
      <c r="E135" s="439"/>
      <c r="F135" s="439"/>
      <c r="G135" s="439"/>
      <c r="H135" s="439"/>
      <c r="I135" s="439"/>
      <c r="K135" s="439"/>
      <c r="L135" s="439"/>
    </row>
    <row r="136" spans="2:12">
      <c r="B136" s="88"/>
      <c r="C136" s="439"/>
      <c r="D136" s="439"/>
      <c r="E136" s="439"/>
      <c r="F136" s="439"/>
      <c r="G136" s="439"/>
      <c r="H136" s="439"/>
      <c r="I136" s="439"/>
      <c r="K136" s="439"/>
      <c r="L136" s="439"/>
    </row>
    <row r="137" spans="2:12">
      <c r="B137" s="88"/>
      <c r="C137" s="439"/>
      <c r="D137" s="439"/>
      <c r="E137" s="439"/>
      <c r="F137" s="439"/>
      <c r="G137" s="439"/>
      <c r="H137" s="439"/>
      <c r="I137" s="439"/>
      <c r="K137" s="439"/>
      <c r="L137" s="439"/>
    </row>
    <row r="138" spans="2:12">
      <c r="B138" s="88"/>
      <c r="C138" s="439"/>
      <c r="D138" s="439"/>
      <c r="E138" s="439"/>
      <c r="F138" s="439"/>
      <c r="G138" s="439"/>
      <c r="H138" s="439"/>
      <c r="I138" s="439"/>
      <c r="K138" s="439"/>
      <c r="L138" s="439"/>
    </row>
    <row r="139" spans="2:12">
      <c r="B139" s="88"/>
      <c r="C139" s="439"/>
      <c r="D139" s="439"/>
      <c r="E139" s="439"/>
      <c r="F139" s="439"/>
      <c r="G139" s="439"/>
      <c r="H139" s="439"/>
      <c r="I139" s="439"/>
      <c r="K139" s="439"/>
      <c r="L139" s="439"/>
    </row>
    <row r="140" spans="2:12">
      <c r="B140" s="88"/>
      <c r="C140" s="439"/>
      <c r="D140" s="439"/>
      <c r="E140" s="439"/>
      <c r="F140" s="439"/>
      <c r="G140" s="439"/>
      <c r="H140" s="439"/>
      <c r="I140" s="439"/>
      <c r="K140" s="439"/>
      <c r="L140" s="439"/>
    </row>
    <row r="141" spans="2:12">
      <c r="B141" s="88"/>
      <c r="C141" s="439"/>
      <c r="D141" s="439"/>
      <c r="E141" s="439"/>
      <c r="F141" s="439"/>
      <c r="G141" s="439"/>
      <c r="H141" s="439"/>
      <c r="I141" s="439"/>
      <c r="K141" s="439"/>
      <c r="L141" s="439"/>
    </row>
    <row r="142" spans="2:12">
      <c r="B142" s="88"/>
      <c r="C142" s="439"/>
      <c r="D142" s="439"/>
      <c r="E142" s="439"/>
      <c r="F142" s="439"/>
      <c r="G142" s="439"/>
      <c r="H142" s="439"/>
      <c r="I142" s="439"/>
      <c r="K142" s="439"/>
      <c r="L142" s="439"/>
    </row>
    <row r="143" spans="2:12">
      <c r="B143" s="88"/>
      <c r="C143" s="439"/>
      <c r="D143" s="439"/>
      <c r="E143" s="439"/>
      <c r="F143" s="439"/>
      <c r="G143" s="439"/>
      <c r="H143" s="439"/>
      <c r="I143" s="439"/>
      <c r="K143" s="439"/>
      <c r="L143" s="439"/>
    </row>
    <row r="144" spans="2:12">
      <c r="B144" s="88"/>
      <c r="C144" s="439"/>
      <c r="D144" s="439"/>
      <c r="E144" s="439"/>
      <c r="F144" s="439"/>
      <c r="G144" s="439"/>
      <c r="H144" s="439"/>
      <c r="I144" s="439"/>
      <c r="K144" s="439"/>
      <c r="L144" s="439"/>
    </row>
    <row r="145" spans="2:12">
      <c r="B145" s="88"/>
      <c r="C145" s="439"/>
      <c r="D145" s="439"/>
      <c r="E145" s="439"/>
      <c r="F145" s="439"/>
      <c r="G145" s="439"/>
      <c r="H145" s="439"/>
      <c r="I145" s="439"/>
      <c r="K145" s="439"/>
      <c r="L145" s="439"/>
    </row>
    <row r="146" spans="2:12">
      <c r="B146" s="88"/>
      <c r="C146" s="439"/>
      <c r="D146" s="439"/>
      <c r="E146" s="439"/>
      <c r="F146" s="439"/>
      <c r="G146" s="439"/>
      <c r="H146" s="439"/>
      <c r="I146" s="439"/>
      <c r="K146" s="439"/>
      <c r="L146" s="439"/>
    </row>
    <row r="147" spans="2:12">
      <c r="B147" s="88"/>
      <c r="C147" s="439"/>
      <c r="D147" s="439"/>
      <c r="E147" s="439"/>
      <c r="F147" s="439"/>
      <c r="G147" s="439"/>
      <c r="H147" s="439"/>
      <c r="I147" s="439"/>
      <c r="K147" s="439"/>
      <c r="L147" s="439"/>
    </row>
    <row r="148" spans="2:12">
      <c r="B148" s="88"/>
      <c r="C148" s="439"/>
      <c r="D148" s="439"/>
      <c r="E148" s="439"/>
      <c r="F148" s="439"/>
      <c r="G148" s="439"/>
      <c r="H148" s="439"/>
      <c r="I148" s="439"/>
      <c r="K148" s="439"/>
      <c r="L148" s="439"/>
    </row>
    <row r="149" spans="2:12">
      <c r="B149" s="88"/>
      <c r="C149" s="439"/>
      <c r="D149" s="439"/>
      <c r="E149" s="439"/>
      <c r="F149" s="439"/>
      <c r="G149" s="439"/>
      <c r="H149" s="439"/>
      <c r="I149" s="439"/>
      <c r="K149" s="439"/>
      <c r="L149" s="439"/>
    </row>
    <row r="150" spans="2:12">
      <c r="B150" s="88"/>
      <c r="C150" s="439"/>
      <c r="D150" s="439"/>
      <c r="E150" s="439"/>
      <c r="F150" s="439"/>
      <c r="G150" s="439"/>
      <c r="H150" s="439"/>
      <c r="I150" s="439"/>
      <c r="K150" s="439"/>
      <c r="L150" s="439"/>
    </row>
    <row r="151" spans="2:12">
      <c r="B151" s="88"/>
      <c r="C151" s="439"/>
      <c r="D151" s="439"/>
      <c r="E151" s="439"/>
      <c r="F151" s="439"/>
      <c r="G151" s="439"/>
      <c r="H151" s="439"/>
      <c r="I151" s="439"/>
      <c r="K151" s="439"/>
      <c r="L151" s="439"/>
    </row>
    <row r="152" spans="2:12">
      <c r="B152" s="88"/>
      <c r="C152" s="439"/>
      <c r="D152" s="439"/>
      <c r="E152" s="439"/>
      <c r="F152" s="439"/>
      <c r="G152" s="439"/>
      <c r="H152" s="439"/>
      <c r="I152" s="439"/>
      <c r="K152" s="439"/>
      <c r="L152" s="439"/>
    </row>
    <row r="153" spans="2:12">
      <c r="B153" s="88"/>
      <c r="C153" s="439"/>
      <c r="D153" s="439"/>
      <c r="E153" s="439"/>
      <c r="F153" s="439"/>
      <c r="G153" s="439"/>
      <c r="H153" s="439"/>
      <c r="I153" s="439"/>
      <c r="K153" s="439"/>
      <c r="L153" s="439"/>
    </row>
    <row r="154" spans="2:12">
      <c r="B154" s="88"/>
      <c r="C154" s="439"/>
      <c r="D154" s="439"/>
      <c r="E154" s="439"/>
      <c r="F154" s="439"/>
      <c r="G154" s="439"/>
      <c r="H154" s="439"/>
      <c r="I154" s="439"/>
      <c r="K154" s="439"/>
      <c r="L154" s="439"/>
    </row>
    <row r="155" spans="2:12">
      <c r="B155" s="88"/>
      <c r="C155" s="439"/>
      <c r="D155" s="439"/>
      <c r="E155" s="439"/>
      <c r="F155" s="439"/>
      <c r="G155" s="439"/>
      <c r="H155" s="439"/>
      <c r="I155" s="439"/>
      <c r="K155" s="439"/>
      <c r="L155" s="439"/>
    </row>
    <row r="156" spans="2:12">
      <c r="B156" s="88"/>
      <c r="C156" s="439"/>
      <c r="D156" s="439"/>
      <c r="E156" s="439"/>
      <c r="F156" s="439"/>
      <c r="G156" s="439"/>
      <c r="H156" s="439"/>
      <c r="I156" s="439"/>
      <c r="K156" s="439"/>
      <c r="L156" s="439"/>
    </row>
    <row r="157" spans="2:12">
      <c r="B157" s="88"/>
      <c r="C157" s="439"/>
      <c r="D157" s="439"/>
      <c r="E157" s="439"/>
      <c r="F157" s="439"/>
      <c r="G157" s="439"/>
      <c r="H157" s="439"/>
      <c r="I157" s="439"/>
      <c r="K157" s="439"/>
      <c r="L157" s="439"/>
    </row>
    <row r="158" spans="2:12">
      <c r="B158" s="88"/>
      <c r="C158" s="439"/>
      <c r="D158" s="439"/>
      <c r="E158" s="439"/>
      <c r="F158" s="439"/>
      <c r="G158" s="439"/>
      <c r="H158" s="439"/>
      <c r="I158" s="439"/>
      <c r="K158" s="439"/>
      <c r="L158" s="439"/>
    </row>
    <row r="159" spans="2:12">
      <c r="B159" s="88"/>
      <c r="C159" s="439"/>
      <c r="D159" s="439"/>
      <c r="E159" s="439"/>
      <c r="F159" s="439"/>
      <c r="G159" s="439"/>
      <c r="H159" s="439"/>
      <c r="I159" s="439"/>
      <c r="K159" s="439"/>
      <c r="L159" s="439"/>
    </row>
    <row r="160" spans="2:12">
      <c r="B160" s="88"/>
      <c r="C160" s="439"/>
      <c r="D160" s="439"/>
      <c r="E160" s="439"/>
      <c r="F160" s="439"/>
      <c r="G160" s="439"/>
      <c r="H160" s="439"/>
      <c r="I160" s="439"/>
      <c r="K160" s="439"/>
      <c r="L160" s="439"/>
    </row>
    <row r="161" spans="2:12">
      <c r="B161" s="88"/>
      <c r="C161" s="439"/>
      <c r="D161" s="439"/>
      <c r="E161" s="439"/>
      <c r="F161" s="439"/>
      <c r="G161" s="439"/>
      <c r="H161" s="439"/>
      <c r="I161" s="439"/>
      <c r="K161" s="439"/>
      <c r="L161" s="439"/>
    </row>
    <row r="162" spans="2:12">
      <c r="B162" s="88"/>
      <c r="C162" s="439"/>
      <c r="D162" s="439"/>
      <c r="E162" s="439"/>
      <c r="F162" s="439"/>
      <c r="G162" s="439"/>
      <c r="H162" s="439"/>
      <c r="I162" s="439"/>
      <c r="K162" s="439"/>
      <c r="L162" s="439"/>
    </row>
    <row r="163" spans="2:12">
      <c r="B163" s="88"/>
      <c r="C163" s="439"/>
      <c r="D163" s="439"/>
      <c r="E163" s="439"/>
      <c r="F163" s="439"/>
      <c r="G163" s="439"/>
      <c r="H163" s="439"/>
      <c r="I163" s="439"/>
      <c r="K163" s="439"/>
      <c r="L163" s="439"/>
    </row>
    <row r="164" spans="2:12">
      <c r="B164" s="88"/>
      <c r="C164" s="439"/>
      <c r="D164" s="439"/>
      <c r="E164" s="439"/>
      <c r="F164" s="439"/>
      <c r="G164" s="439"/>
      <c r="H164" s="439"/>
      <c r="I164" s="439"/>
      <c r="K164" s="439"/>
      <c r="L164" s="439"/>
    </row>
    <row r="165" spans="2:12">
      <c r="B165" s="88"/>
      <c r="C165" s="439"/>
      <c r="D165" s="439"/>
      <c r="E165" s="439"/>
      <c r="F165" s="439"/>
      <c r="G165" s="439"/>
      <c r="H165" s="439"/>
      <c r="I165" s="439"/>
      <c r="K165" s="439"/>
      <c r="L165" s="439"/>
    </row>
    <row r="166" spans="2:12">
      <c r="B166" s="88"/>
      <c r="C166" s="439"/>
      <c r="D166" s="439"/>
      <c r="E166" s="439"/>
      <c r="F166" s="439"/>
      <c r="G166" s="439"/>
      <c r="H166" s="439"/>
      <c r="I166" s="439"/>
      <c r="K166" s="439"/>
      <c r="L166" s="439"/>
    </row>
    <row r="167" spans="2:12">
      <c r="B167" s="88"/>
      <c r="C167" s="439"/>
      <c r="D167" s="439"/>
      <c r="E167" s="439"/>
      <c r="F167" s="439"/>
      <c r="G167" s="439"/>
      <c r="H167" s="439"/>
      <c r="I167" s="439"/>
      <c r="K167" s="439"/>
      <c r="L167" s="439"/>
    </row>
    <row r="168" spans="2:12">
      <c r="B168" s="88"/>
      <c r="C168" s="439"/>
      <c r="D168" s="439"/>
      <c r="E168" s="439"/>
      <c r="F168" s="439"/>
      <c r="G168" s="439"/>
      <c r="H168" s="439"/>
      <c r="I168" s="439"/>
      <c r="K168" s="439"/>
      <c r="L168" s="439"/>
    </row>
    <row r="169" spans="2:12">
      <c r="B169" s="88"/>
      <c r="C169" s="439"/>
      <c r="D169" s="439"/>
      <c r="E169" s="439"/>
      <c r="F169" s="439"/>
      <c r="G169" s="439"/>
      <c r="H169" s="439"/>
      <c r="I169" s="439"/>
      <c r="K169" s="439"/>
      <c r="L169" s="439"/>
    </row>
    <row r="170" spans="2:12">
      <c r="B170" s="88"/>
      <c r="C170" s="439"/>
      <c r="D170" s="439"/>
      <c r="E170" s="439"/>
      <c r="F170" s="439"/>
      <c r="G170" s="439"/>
      <c r="H170" s="439"/>
      <c r="I170" s="439"/>
      <c r="K170" s="439"/>
      <c r="L170" s="439"/>
    </row>
    <row r="171" spans="2:12">
      <c r="B171" s="88"/>
      <c r="C171" s="439"/>
      <c r="D171" s="439"/>
      <c r="E171" s="439"/>
      <c r="F171" s="439"/>
      <c r="G171" s="439"/>
      <c r="H171" s="439"/>
      <c r="I171" s="439"/>
      <c r="K171" s="439"/>
      <c r="L171" s="439"/>
    </row>
    <row r="172" spans="2:12">
      <c r="B172" s="88"/>
      <c r="C172" s="439"/>
      <c r="D172" s="439"/>
      <c r="E172" s="439"/>
      <c r="F172" s="439"/>
      <c r="G172" s="439"/>
      <c r="H172" s="439"/>
      <c r="I172" s="439"/>
      <c r="K172" s="439"/>
      <c r="L172" s="439"/>
    </row>
    <row r="173" spans="2:12">
      <c r="B173" s="88"/>
      <c r="C173" s="439"/>
      <c r="D173" s="439"/>
      <c r="E173" s="439"/>
      <c r="F173" s="439"/>
      <c r="G173" s="439"/>
      <c r="H173" s="439"/>
      <c r="I173" s="439"/>
      <c r="K173" s="439"/>
      <c r="L173" s="439"/>
    </row>
    <row r="174" spans="2:12">
      <c r="B174" s="88"/>
      <c r="C174" s="439"/>
      <c r="D174" s="439"/>
      <c r="E174" s="439"/>
      <c r="F174" s="439"/>
      <c r="G174" s="439"/>
      <c r="H174" s="439"/>
      <c r="I174" s="439"/>
      <c r="K174" s="439"/>
      <c r="L174" s="439"/>
    </row>
    <row r="175" spans="2:12">
      <c r="B175" s="88"/>
      <c r="C175" s="439"/>
      <c r="D175" s="439"/>
      <c r="E175" s="439"/>
      <c r="F175" s="439"/>
      <c r="G175" s="439"/>
      <c r="H175" s="439"/>
      <c r="I175" s="439"/>
      <c r="K175" s="439"/>
      <c r="L175" s="439"/>
    </row>
    <row r="176" spans="2:12">
      <c r="B176" s="88"/>
      <c r="C176" s="439"/>
      <c r="D176" s="439"/>
      <c r="E176" s="439"/>
      <c r="F176" s="439"/>
      <c r="G176" s="439"/>
      <c r="H176" s="439"/>
      <c r="I176" s="439"/>
      <c r="K176" s="439"/>
      <c r="L176" s="439"/>
    </row>
    <row r="177" spans="2:12">
      <c r="B177" s="88"/>
      <c r="C177" s="439"/>
      <c r="D177" s="439"/>
      <c r="E177" s="439"/>
      <c r="F177" s="439"/>
      <c r="G177" s="439"/>
      <c r="H177" s="439"/>
      <c r="I177" s="439"/>
      <c r="K177" s="439"/>
      <c r="L177" s="439"/>
    </row>
    <row r="178" spans="2:12">
      <c r="B178" s="88"/>
      <c r="C178" s="439"/>
      <c r="D178" s="439"/>
      <c r="E178" s="439"/>
      <c r="F178" s="439"/>
      <c r="G178" s="439"/>
      <c r="H178" s="439"/>
      <c r="I178" s="439"/>
      <c r="K178" s="439"/>
      <c r="L178" s="439"/>
    </row>
    <row r="179" spans="2:12">
      <c r="B179" s="88"/>
      <c r="C179" s="439"/>
      <c r="D179" s="439"/>
      <c r="E179" s="439"/>
      <c r="F179" s="439"/>
      <c r="G179" s="439"/>
      <c r="H179" s="439"/>
      <c r="I179" s="439"/>
      <c r="K179" s="439"/>
      <c r="L179" s="439"/>
    </row>
    <row r="180" spans="2:12">
      <c r="B180" s="88"/>
      <c r="C180" s="439"/>
      <c r="D180" s="439"/>
      <c r="E180" s="439"/>
      <c r="F180" s="439"/>
      <c r="G180" s="439"/>
      <c r="H180" s="439"/>
      <c r="I180" s="439"/>
      <c r="K180" s="439"/>
      <c r="L180" s="439"/>
    </row>
    <row r="181" spans="2:12">
      <c r="B181" s="88"/>
      <c r="C181" s="439"/>
      <c r="D181" s="439"/>
      <c r="E181" s="439"/>
      <c r="F181" s="439"/>
      <c r="G181" s="439"/>
      <c r="H181" s="439"/>
      <c r="I181" s="439"/>
      <c r="K181" s="439"/>
      <c r="L181" s="439"/>
    </row>
    <row r="182" spans="2:12">
      <c r="B182" s="88"/>
      <c r="C182" s="439"/>
      <c r="D182" s="439"/>
      <c r="E182" s="439"/>
      <c r="F182" s="439"/>
      <c r="G182" s="439"/>
      <c r="H182" s="439"/>
      <c r="I182" s="439"/>
      <c r="K182" s="439"/>
      <c r="L182" s="439"/>
    </row>
    <row r="183" spans="2:12">
      <c r="B183" s="88"/>
      <c r="C183" s="439"/>
      <c r="D183" s="439"/>
      <c r="E183" s="439"/>
      <c r="F183" s="439"/>
      <c r="G183" s="439"/>
      <c r="H183" s="439"/>
      <c r="I183" s="439"/>
      <c r="K183" s="439"/>
      <c r="L183" s="439"/>
    </row>
    <row r="184" spans="2:12">
      <c r="B184" s="88"/>
      <c r="C184" s="439"/>
      <c r="D184" s="439"/>
      <c r="E184" s="439"/>
      <c r="F184" s="439"/>
      <c r="G184" s="439"/>
      <c r="H184" s="439"/>
      <c r="I184" s="439"/>
      <c r="K184" s="439"/>
      <c r="L184" s="439"/>
    </row>
    <row r="185" spans="2:12">
      <c r="B185" s="88"/>
      <c r="C185" s="439"/>
      <c r="D185" s="439"/>
      <c r="E185" s="439"/>
      <c r="F185" s="439"/>
      <c r="G185" s="439"/>
      <c r="H185" s="439"/>
      <c r="I185" s="439"/>
      <c r="K185" s="439"/>
      <c r="L185" s="439"/>
    </row>
    <row r="186" spans="2:12">
      <c r="B186" s="88"/>
      <c r="C186" s="439"/>
      <c r="D186" s="439"/>
      <c r="E186" s="439"/>
      <c r="F186" s="439"/>
      <c r="G186" s="439"/>
      <c r="H186" s="439"/>
      <c r="I186" s="439"/>
      <c r="K186" s="439"/>
      <c r="L186" s="439"/>
    </row>
    <row r="187" spans="2:12">
      <c r="B187" s="88"/>
      <c r="C187" s="439"/>
      <c r="D187" s="439"/>
      <c r="E187" s="439"/>
      <c r="F187" s="439"/>
      <c r="G187" s="439"/>
      <c r="H187" s="439"/>
      <c r="I187" s="439"/>
      <c r="K187" s="439"/>
      <c r="L187" s="439"/>
    </row>
    <row r="188" spans="2:12">
      <c r="B188" s="88"/>
      <c r="C188" s="439"/>
      <c r="D188" s="439"/>
      <c r="E188" s="439"/>
      <c r="F188" s="439"/>
      <c r="G188" s="439"/>
      <c r="H188" s="439"/>
      <c r="I188" s="439"/>
      <c r="K188" s="439"/>
      <c r="L188" s="439"/>
    </row>
    <row r="189" spans="2:12">
      <c r="B189" s="88"/>
      <c r="C189" s="439"/>
      <c r="D189" s="439"/>
      <c r="E189" s="439"/>
      <c r="F189" s="439"/>
      <c r="G189" s="439"/>
      <c r="H189" s="439"/>
      <c r="I189" s="439"/>
      <c r="K189" s="439"/>
      <c r="L189" s="439"/>
    </row>
    <row r="190" spans="2:12">
      <c r="B190" s="88"/>
      <c r="C190" s="439"/>
      <c r="D190" s="439"/>
      <c r="E190" s="439"/>
      <c r="F190" s="439"/>
      <c r="G190" s="439"/>
      <c r="H190" s="439"/>
      <c r="I190" s="439"/>
      <c r="K190" s="439"/>
      <c r="L190" s="439"/>
    </row>
    <row r="191" spans="2:12">
      <c r="B191" s="88"/>
      <c r="C191" s="439"/>
      <c r="D191" s="439"/>
      <c r="E191" s="439"/>
      <c r="F191" s="439"/>
      <c r="G191" s="439"/>
      <c r="H191" s="439"/>
      <c r="I191" s="439"/>
      <c r="K191" s="439"/>
      <c r="L191" s="439"/>
    </row>
    <row r="192" spans="2:12">
      <c r="B192" s="88"/>
      <c r="C192" s="439"/>
      <c r="D192" s="439"/>
      <c r="E192" s="439"/>
      <c r="F192" s="439"/>
      <c r="G192" s="439"/>
      <c r="H192" s="439"/>
      <c r="I192" s="439"/>
      <c r="K192" s="439"/>
      <c r="L192" s="439"/>
    </row>
    <row r="193" spans="2:12">
      <c r="B193" s="88"/>
      <c r="C193" s="439"/>
      <c r="D193" s="439"/>
      <c r="E193" s="439"/>
      <c r="F193" s="439"/>
      <c r="G193" s="439"/>
      <c r="H193" s="439"/>
      <c r="I193" s="439"/>
      <c r="K193" s="439"/>
      <c r="L193" s="439"/>
    </row>
    <row r="194" spans="2:12">
      <c r="B194" s="88"/>
      <c r="C194" s="439"/>
      <c r="D194" s="439"/>
      <c r="E194" s="439"/>
      <c r="F194" s="439"/>
      <c r="G194" s="439"/>
      <c r="H194" s="439"/>
      <c r="I194" s="439"/>
      <c r="K194" s="439"/>
      <c r="L194" s="439"/>
    </row>
    <row r="195" spans="2:12">
      <c r="B195" s="88"/>
      <c r="C195" s="439"/>
      <c r="D195" s="439"/>
      <c r="E195" s="439"/>
      <c r="F195" s="439"/>
      <c r="G195" s="439"/>
      <c r="H195" s="439"/>
      <c r="I195" s="439"/>
      <c r="K195" s="439"/>
      <c r="L195" s="439"/>
    </row>
    <row r="196" spans="2:12">
      <c r="B196" s="88"/>
      <c r="C196" s="439"/>
      <c r="D196" s="439"/>
      <c r="E196" s="439"/>
      <c r="F196" s="439"/>
      <c r="G196" s="439"/>
      <c r="H196" s="439"/>
      <c r="I196" s="439"/>
      <c r="K196" s="439"/>
      <c r="L196" s="439"/>
    </row>
    <row r="197" spans="2:12">
      <c r="B197" s="88"/>
      <c r="C197" s="439"/>
      <c r="D197" s="439"/>
      <c r="E197" s="439"/>
      <c r="F197" s="439"/>
      <c r="G197" s="439"/>
      <c r="H197" s="439"/>
      <c r="I197" s="439"/>
      <c r="K197" s="439"/>
      <c r="L197" s="439"/>
    </row>
    <row r="198" spans="2:12">
      <c r="B198" s="88"/>
      <c r="C198" s="439"/>
      <c r="D198" s="439"/>
      <c r="E198" s="439"/>
      <c r="F198" s="439"/>
      <c r="G198" s="439"/>
      <c r="H198" s="439"/>
      <c r="I198" s="439"/>
      <c r="K198" s="439"/>
      <c r="L198" s="439"/>
    </row>
    <row r="199" spans="2:12">
      <c r="B199" s="88"/>
      <c r="C199" s="439"/>
      <c r="D199" s="439"/>
      <c r="E199" s="439"/>
      <c r="F199" s="439"/>
      <c r="G199" s="439"/>
      <c r="H199" s="439"/>
      <c r="I199" s="439"/>
      <c r="K199" s="439"/>
      <c r="L199" s="439"/>
    </row>
    <row r="200" spans="2:12">
      <c r="B200" s="88"/>
      <c r="C200" s="439"/>
      <c r="D200" s="439"/>
      <c r="E200" s="439"/>
      <c r="F200" s="439"/>
      <c r="G200" s="439"/>
      <c r="H200" s="439"/>
      <c r="I200" s="439"/>
      <c r="K200" s="439"/>
      <c r="L200" s="439"/>
    </row>
    <row r="201" spans="2:12">
      <c r="B201" s="88"/>
      <c r="C201" s="439"/>
      <c r="D201" s="439"/>
      <c r="E201" s="439"/>
      <c r="F201" s="439"/>
      <c r="G201" s="439"/>
      <c r="H201" s="439"/>
      <c r="I201" s="439"/>
      <c r="K201" s="439"/>
      <c r="L201" s="439"/>
    </row>
    <row r="202" spans="2:12">
      <c r="B202" s="88"/>
      <c r="C202" s="439"/>
      <c r="D202" s="439"/>
      <c r="E202" s="439"/>
      <c r="F202" s="439"/>
      <c r="G202" s="439"/>
      <c r="H202" s="439"/>
      <c r="I202" s="439"/>
      <c r="K202" s="439"/>
      <c r="L202" s="439"/>
    </row>
    <row r="203" spans="2:12">
      <c r="B203" s="88"/>
      <c r="C203" s="439"/>
      <c r="D203" s="439"/>
      <c r="E203" s="439"/>
      <c r="F203" s="439"/>
      <c r="G203" s="439"/>
      <c r="H203" s="439"/>
      <c r="I203" s="439"/>
      <c r="K203" s="439"/>
      <c r="L203" s="439"/>
    </row>
    <row r="204" spans="2:12">
      <c r="B204" s="88"/>
      <c r="C204" s="439"/>
      <c r="D204" s="439"/>
      <c r="E204" s="439"/>
      <c r="F204" s="439"/>
      <c r="G204" s="439"/>
      <c r="H204" s="439"/>
      <c r="I204" s="439"/>
      <c r="K204" s="439"/>
      <c r="L204" s="439"/>
    </row>
    <row r="205" spans="2:12">
      <c r="B205" s="88"/>
      <c r="C205" s="439"/>
      <c r="D205" s="439"/>
      <c r="E205" s="439"/>
      <c r="F205" s="439"/>
      <c r="G205" s="439"/>
      <c r="H205" s="439"/>
      <c r="I205" s="439"/>
      <c r="K205" s="439"/>
      <c r="L205" s="439"/>
    </row>
    <row r="206" spans="2:12">
      <c r="B206" s="88"/>
      <c r="C206" s="439"/>
      <c r="D206" s="439"/>
      <c r="E206" s="439"/>
      <c r="F206" s="439"/>
      <c r="G206" s="439"/>
      <c r="H206" s="439"/>
      <c r="I206" s="439"/>
      <c r="K206" s="439"/>
      <c r="L206" s="439"/>
    </row>
    <row r="207" spans="2:12">
      <c r="B207" s="88"/>
      <c r="C207" s="439"/>
      <c r="D207" s="439"/>
      <c r="E207" s="439"/>
      <c r="F207" s="439"/>
      <c r="G207" s="439"/>
      <c r="H207" s="439"/>
      <c r="I207" s="439"/>
      <c r="K207" s="439"/>
      <c r="L207" s="439"/>
    </row>
    <row r="208" spans="2:12">
      <c r="B208" s="88"/>
      <c r="C208" s="439"/>
      <c r="D208" s="439"/>
      <c r="E208" s="439"/>
      <c r="F208" s="439"/>
      <c r="G208" s="439"/>
      <c r="H208" s="439"/>
      <c r="I208" s="439"/>
      <c r="K208" s="439"/>
      <c r="L208" s="439"/>
    </row>
    <row r="209" spans="2:12">
      <c r="B209" s="88"/>
      <c r="C209" s="439"/>
      <c r="D209" s="439"/>
      <c r="E209" s="439"/>
      <c r="F209" s="439"/>
      <c r="G209" s="439"/>
      <c r="H209" s="439"/>
      <c r="I209" s="439"/>
      <c r="K209" s="439"/>
      <c r="L209" s="439"/>
    </row>
    <row r="210" spans="2:12">
      <c r="B210" s="88"/>
      <c r="C210" s="439"/>
      <c r="D210" s="439"/>
      <c r="E210" s="439"/>
      <c r="F210" s="439"/>
      <c r="G210" s="439"/>
      <c r="H210" s="439"/>
      <c r="I210" s="439"/>
      <c r="K210" s="439"/>
      <c r="L210" s="439"/>
    </row>
    <row r="211" spans="2:12">
      <c r="B211" s="88"/>
      <c r="C211" s="439"/>
      <c r="D211" s="439"/>
      <c r="E211" s="439"/>
      <c r="F211" s="439"/>
      <c r="G211" s="439"/>
      <c r="H211" s="439"/>
      <c r="I211" s="439"/>
      <c r="K211" s="439"/>
      <c r="L211" s="439"/>
    </row>
    <row r="212" spans="2:12">
      <c r="B212" s="88"/>
      <c r="C212" s="439"/>
      <c r="D212" s="439"/>
      <c r="E212" s="439"/>
      <c r="F212" s="439"/>
      <c r="G212" s="439"/>
      <c r="H212" s="439"/>
      <c r="I212" s="439"/>
      <c r="K212" s="439"/>
      <c r="L212" s="439"/>
    </row>
    <row r="213" spans="2:12">
      <c r="B213" s="88"/>
      <c r="C213" s="439"/>
      <c r="D213" s="439"/>
      <c r="E213" s="439"/>
      <c r="F213" s="439"/>
      <c r="G213" s="439"/>
      <c r="H213" s="439"/>
      <c r="I213" s="439"/>
      <c r="K213" s="439"/>
      <c r="L213" s="439"/>
    </row>
    <row r="214" spans="2:12">
      <c r="B214" s="88"/>
      <c r="C214" s="439"/>
      <c r="D214" s="439"/>
      <c r="E214" s="439"/>
      <c r="F214" s="439"/>
      <c r="G214" s="439"/>
      <c r="H214" s="439"/>
      <c r="I214" s="439"/>
      <c r="K214" s="439"/>
      <c r="L214" s="439"/>
    </row>
    <row r="215" spans="2:12">
      <c r="B215" s="88"/>
      <c r="C215" s="439"/>
      <c r="D215" s="439"/>
      <c r="E215" s="439"/>
      <c r="F215" s="439"/>
      <c r="G215" s="439"/>
      <c r="H215" s="439"/>
      <c r="I215" s="439"/>
      <c r="K215" s="439"/>
      <c r="L215" s="439"/>
    </row>
    <row r="216" spans="2:12">
      <c r="B216" s="88"/>
      <c r="C216" s="439"/>
      <c r="D216" s="439"/>
      <c r="E216" s="439"/>
      <c r="F216" s="439"/>
      <c r="G216" s="439"/>
      <c r="H216" s="439"/>
      <c r="I216" s="439"/>
      <c r="K216" s="439"/>
      <c r="L216" s="439"/>
    </row>
    <row r="217" spans="2:12">
      <c r="B217" s="88"/>
      <c r="C217" s="439"/>
      <c r="D217" s="439"/>
      <c r="E217" s="439"/>
      <c r="F217" s="439"/>
      <c r="G217" s="439"/>
      <c r="H217" s="439"/>
      <c r="I217" s="439"/>
      <c r="K217" s="439"/>
      <c r="L217" s="439"/>
    </row>
    <row r="218" spans="2:12">
      <c r="B218" s="88"/>
      <c r="C218" s="439"/>
      <c r="D218" s="439"/>
      <c r="E218" s="439"/>
      <c r="F218" s="439"/>
      <c r="G218" s="439"/>
      <c r="H218" s="439"/>
      <c r="I218" s="439"/>
      <c r="K218" s="439"/>
      <c r="L218" s="439"/>
    </row>
    <row r="219" spans="2:12">
      <c r="B219" s="88"/>
      <c r="C219" s="439"/>
      <c r="D219" s="439"/>
      <c r="E219" s="439"/>
      <c r="F219" s="439"/>
      <c r="G219" s="439"/>
      <c r="H219" s="439"/>
      <c r="I219" s="439"/>
      <c r="K219" s="439"/>
      <c r="L219" s="439"/>
    </row>
    <row r="220" spans="2:12">
      <c r="B220" s="88"/>
      <c r="C220" s="439"/>
      <c r="D220" s="439"/>
      <c r="E220" s="439"/>
      <c r="F220" s="439"/>
      <c r="G220" s="439"/>
      <c r="H220" s="439"/>
      <c r="I220" s="439"/>
      <c r="K220" s="439"/>
      <c r="L220" s="439"/>
    </row>
    <row r="221" spans="2:12">
      <c r="B221" s="88"/>
      <c r="C221" s="439"/>
      <c r="D221" s="439"/>
      <c r="E221" s="439"/>
      <c r="F221" s="439"/>
      <c r="G221" s="439"/>
      <c r="H221" s="439"/>
      <c r="I221" s="439"/>
      <c r="K221" s="439"/>
      <c r="L221" s="439"/>
    </row>
    <row r="222" spans="2:12">
      <c r="B222" s="88"/>
      <c r="C222" s="439"/>
      <c r="D222" s="439"/>
      <c r="E222" s="439"/>
      <c r="F222" s="439"/>
      <c r="G222" s="439"/>
      <c r="H222" s="439"/>
      <c r="I222" s="439"/>
      <c r="K222" s="439"/>
      <c r="L222" s="439"/>
    </row>
    <row r="223" spans="2:12">
      <c r="B223" s="88"/>
      <c r="C223" s="439"/>
      <c r="D223" s="439"/>
      <c r="E223" s="439"/>
      <c r="F223" s="439"/>
      <c r="G223" s="439"/>
      <c r="H223" s="439"/>
      <c r="I223" s="439"/>
      <c r="K223" s="439"/>
      <c r="L223" s="439"/>
    </row>
    <row r="224" spans="2:12">
      <c r="B224" s="88"/>
      <c r="C224" s="439"/>
      <c r="D224" s="439"/>
      <c r="E224" s="439"/>
      <c r="F224" s="439"/>
      <c r="G224" s="439"/>
      <c r="H224" s="439"/>
      <c r="I224" s="439"/>
      <c r="K224" s="439"/>
      <c r="L224" s="439"/>
    </row>
    <row r="225" spans="2:12">
      <c r="B225" s="88"/>
      <c r="C225" s="439"/>
      <c r="D225" s="439"/>
      <c r="E225" s="439"/>
      <c r="F225" s="439"/>
      <c r="G225" s="439"/>
      <c r="H225" s="439"/>
      <c r="I225" s="439"/>
      <c r="K225" s="439"/>
      <c r="L225" s="439"/>
    </row>
    <row r="226" spans="2:12">
      <c r="B226" s="88"/>
      <c r="C226" s="439"/>
      <c r="D226" s="439"/>
      <c r="E226" s="439"/>
      <c r="F226" s="439"/>
      <c r="G226" s="439"/>
      <c r="H226" s="439"/>
      <c r="I226" s="439"/>
      <c r="K226" s="439"/>
      <c r="L226" s="439"/>
    </row>
    <row r="227" spans="2:12">
      <c r="B227" s="88"/>
      <c r="C227" s="439"/>
      <c r="D227" s="439"/>
      <c r="E227" s="439"/>
      <c r="F227" s="439"/>
      <c r="G227" s="439"/>
      <c r="H227" s="439"/>
      <c r="I227" s="439"/>
      <c r="K227" s="439"/>
      <c r="L227" s="439"/>
    </row>
    <row r="228" spans="2:12">
      <c r="B228" s="88"/>
      <c r="C228" s="439"/>
      <c r="D228" s="439"/>
      <c r="E228" s="439"/>
      <c r="F228" s="439"/>
      <c r="G228" s="439"/>
      <c r="H228" s="439"/>
      <c r="I228" s="439"/>
      <c r="K228" s="439"/>
      <c r="L228" s="439"/>
    </row>
    <row r="229" spans="2:12">
      <c r="B229" s="88"/>
      <c r="C229" s="439"/>
      <c r="D229" s="439"/>
      <c r="E229" s="439"/>
      <c r="F229" s="439"/>
      <c r="G229" s="439"/>
      <c r="H229" s="439"/>
      <c r="I229" s="439"/>
      <c r="K229" s="439"/>
      <c r="L229" s="439"/>
    </row>
    <row r="230" spans="2:12">
      <c r="B230" s="88"/>
      <c r="C230" s="439"/>
      <c r="D230" s="439"/>
      <c r="E230" s="439"/>
      <c r="F230" s="439"/>
      <c r="G230" s="439"/>
      <c r="H230" s="439"/>
      <c r="I230" s="439"/>
      <c r="K230" s="439"/>
      <c r="L230" s="439"/>
    </row>
    <row r="231" spans="2:12">
      <c r="B231" s="88"/>
      <c r="C231" s="439"/>
      <c r="D231" s="439"/>
      <c r="E231" s="439"/>
      <c r="F231" s="439"/>
      <c r="G231" s="439"/>
      <c r="H231" s="439"/>
      <c r="I231" s="439"/>
      <c r="K231" s="439"/>
      <c r="L231" s="439"/>
    </row>
    <row r="232" spans="2:12">
      <c r="B232" s="88"/>
      <c r="C232" s="439"/>
      <c r="D232" s="439"/>
      <c r="E232" s="439"/>
      <c r="F232" s="439"/>
      <c r="G232" s="439"/>
      <c r="H232" s="439"/>
      <c r="I232" s="439"/>
      <c r="K232" s="439"/>
      <c r="L232" s="439"/>
    </row>
    <row r="233" spans="2:12">
      <c r="B233" s="88"/>
      <c r="C233" s="439"/>
      <c r="D233" s="439"/>
      <c r="E233" s="439"/>
      <c r="F233" s="439"/>
      <c r="G233" s="439"/>
      <c r="H233" s="439"/>
      <c r="I233" s="439"/>
      <c r="K233" s="439"/>
      <c r="L233" s="439"/>
    </row>
    <row r="234" spans="2:12">
      <c r="B234" s="88"/>
      <c r="C234" s="439"/>
      <c r="D234" s="439"/>
      <c r="E234" s="439"/>
      <c r="F234" s="439"/>
      <c r="G234" s="439"/>
      <c r="H234" s="439"/>
      <c r="I234" s="439"/>
      <c r="K234" s="439"/>
      <c r="L234" s="439"/>
    </row>
    <row r="235" spans="2:12">
      <c r="B235" s="88"/>
      <c r="C235" s="439"/>
      <c r="D235" s="439"/>
      <c r="E235" s="439"/>
      <c r="F235" s="439"/>
      <c r="G235" s="439"/>
      <c r="H235" s="439"/>
      <c r="I235" s="439"/>
      <c r="K235" s="439"/>
      <c r="L235" s="439"/>
    </row>
    <row r="236" spans="2:12">
      <c r="B236" s="88"/>
      <c r="C236" s="439"/>
      <c r="D236" s="439"/>
      <c r="E236" s="439"/>
      <c r="F236" s="439"/>
      <c r="G236" s="439"/>
      <c r="H236" s="439"/>
      <c r="I236" s="439"/>
      <c r="K236" s="439"/>
      <c r="L236" s="439"/>
    </row>
    <row r="237" spans="2:12">
      <c r="B237" s="88"/>
      <c r="C237" s="439"/>
      <c r="D237" s="439"/>
      <c r="E237" s="439"/>
      <c r="F237" s="439"/>
      <c r="G237" s="439"/>
      <c r="H237" s="439"/>
      <c r="I237" s="439"/>
      <c r="K237" s="439"/>
      <c r="L237" s="439"/>
    </row>
    <row r="238" spans="2:12">
      <c r="B238" s="88"/>
      <c r="C238" s="439"/>
      <c r="D238" s="439"/>
      <c r="E238" s="439"/>
      <c r="F238" s="439"/>
      <c r="G238" s="439"/>
      <c r="H238" s="439"/>
      <c r="I238" s="439"/>
      <c r="K238" s="439"/>
      <c r="L238" s="439"/>
    </row>
    <row r="239" spans="2:12">
      <c r="B239" s="88"/>
      <c r="C239" s="439"/>
      <c r="D239" s="439"/>
      <c r="E239" s="439"/>
      <c r="F239" s="439"/>
      <c r="G239" s="439"/>
      <c r="H239" s="439"/>
      <c r="I239" s="439"/>
      <c r="K239" s="439"/>
      <c r="L239" s="439"/>
    </row>
    <row r="240" spans="2:12">
      <c r="B240" s="88"/>
      <c r="C240" s="439"/>
      <c r="D240" s="439"/>
      <c r="E240" s="439"/>
      <c r="F240" s="439"/>
      <c r="G240" s="439"/>
      <c r="H240" s="439"/>
      <c r="I240" s="439"/>
      <c r="K240" s="439"/>
      <c r="L240" s="439"/>
    </row>
    <row r="241" spans="2:12">
      <c r="B241" s="88"/>
      <c r="C241" s="439"/>
      <c r="D241" s="439"/>
      <c r="E241" s="439"/>
      <c r="F241" s="439"/>
      <c r="G241" s="439"/>
      <c r="H241" s="439"/>
      <c r="I241" s="439"/>
      <c r="K241" s="439"/>
      <c r="L241" s="439"/>
    </row>
    <row r="242" spans="2:12">
      <c r="B242" s="88"/>
      <c r="C242" s="439"/>
      <c r="D242" s="439"/>
      <c r="E242" s="439"/>
      <c r="F242" s="439"/>
      <c r="G242" s="439"/>
      <c r="H242" s="439"/>
      <c r="I242" s="439"/>
      <c r="K242" s="439"/>
      <c r="L242" s="439"/>
    </row>
    <row r="243" spans="2:12">
      <c r="B243" s="88"/>
      <c r="C243" s="439"/>
      <c r="D243" s="439"/>
      <c r="E243" s="439"/>
      <c r="F243" s="439"/>
      <c r="G243" s="439"/>
      <c r="H243" s="439"/>
      <c r="I243" s="439"/>
      <c r="K243" s="439"/>
      <c r="L243" s="439"/>
    </row>
    <row r="244" spans="2:12">
      <c r="B244" s="88"/>
      <c r="C244" s="439"/>
      <c r="D244" s="439"/>
      <c r="E244" s="439"/>
      <c r="F244" s="439"/>
      <c r="G244" s="439"/>
      <c r="H244" s="439"/>
      <c r="I244" s="439"/>
      <c r="K244" s="439"/>
      <c r="L244" s="439"/>
    </row>
    <row r="245" spans="2:12">
      <c r="B245" s="88"/>
      <c r="C245" s="439"/>
      <c r="D245" s="439"/>
      <c r="E245" s="439"/>
      <c r="F245" s="439"/>
      <c r="G245" s="439"/>
      <c r="H245" s="439"/>
      <c r="I245" s="439"/>
      <c r="K245" s="439"/>
      <c r="L245" s="439"/>
    </row>
    <row r="246" spans="2:12">
      <c r="B246" s="88"/>
      <c r="C246" s="439"/>
      <c r="D246" s="439"/>
      <c r="E246" s="439"/>
      <c r="F246" s="439"/>
      <c r="G246" s="439"/>
      <c r="H246" s="439"/>
      <c r="I246" s="439"/>
      <c r="K246" s="439"/>
      <c r="L246" s="439"/>
    </row>
    <row r="247" spans="2:12">
      <c r="B247" s="88"/>
      <c r="C247" s="439"/>
      <c r="D247" s="439"/>
      <c r="E247" s="439"/>
      <c r="F247" s="439"/>
      <c r="G247" s="439"/>
      <c r="H247" s="439"/>
      <c r="I247" s="439"/>
      <c r="K247" s="439"/>
      <c r="L247" s="439"/>
    </row>
    <row r="248" spans="2:12">
      <c r="B248" s="88"/>
      <c r="C248" s="439"/>
      <c r="D248" s="439"/>
      <c r="E248" s="439"/>
      <c r="F248" s="439"/>
      <c r="G248" s="439"/>
      <c r="H248" s="439"/>
      <c r="I248" s="439"/>
      <c r="K248" s="439"/>
      <c r="L248" s="439"/>
    </row>
    <row r="249" spans="2:12">
      <c r="B249" s="88"/>
      <c r="C249" s="439"/>
      <c r="D249" s="439"/>
      <c r="E249" s="439"/>
      <c r="F249" s="439"/>
      <c r="G249" s="439"/>
      <c r="H249" s="439"/>
      <c r="I249" s="439"/>
      <c r="K249" s="439"/>
      <c r="L249" s="439"/>
    </row>
    <row r="250" spans="2:12">
      <c r="B250" s="88"/>
      <c r="C250" s="439"/>
      <c r="D250" s="439"/>
      <c r="E250" s="439"/>
      <c r="F250" s="439"/>
      <c r="G250" s="439"/>
      <c r="H250" s="439"/>
      <c r="I250" s="439"/>
      <c r="K250" s="439"/>
      <c r="L250" s="439"/>
    </row>
    <row r="251" spans="2:12">
      <c r="B251" s="88"/>
      <c r="C251" s="439"/>
      <c r="D251" s="439"/>
      <c r="E251" s="439"/>
      <c r="F251" s="439"/>
      <c r="G251" s="439"/>
      <c r="H251" s="439"/>
      <c r="I251" s="439"/>
      <c r="K251" s="439"/>
      <c r="L251" s="439"/>
    </row>
    <row r="252" spans="2:12">
      <c r="B252" s="88"/>
      <c r="C252" s="439"/>
      <c r="D252" s="439"/>
      <c r="E252" s="439"/>
      <c r="F252" s="439"/>
      <c r="G252" s="439"/>
      <c r="H252" s="439"/>
      <c r="I252" s="439"/>
      <c r="K252" s="439"/>
      <c r="L252" s="439"/>
    </row>
    <row r="253" spans="2:12">
      <c r="B253" s="88"/>
      <c r="C253" s="439"/>
      <c r="D253" s="439"/>
      <c r="E253" s="439"/>
      <c r="F253" s="439"/>
      <c r="G253" s="439"/>
      <c r="H253" s="439"/>
      <c r="I253" s="439"/>
      <c r="K253" s="439"/>
      <c r="L253" s="439"/>
    </row>
    <row r="254" spans="2:12">
      <c r="B254" s="88"/>
      <c r="C254" s="439"/>
      <c r="D254" s="439"/>
      <c r="E254" s="439"/>
      <c r="F254" s="439"/>
      <c r="G254" s="439"/>
      <c r="H254" s="439"/>
      <c r="I254" s="439"/>
      <c r="K254" s="439"/>
      <c r="L254" s="439"/>
    </row>
    <row r="255" spans="2:12">
      <c r="B255" s="88"/>
      <c r="C255" s="439"/>
      <c r="D255" s="439"/>
      <c r="E255" s="439"/>
      <c r="F255" s="439"/>
      <c r="G255" s="439"/>
      <c r="H255" s="439"/>
      <c r="I255" s="439"/>
      <c r="K255" s="439"/>
      <c r="L255" s="439"/>
    </row>
    <row r="256" spans="2:12">
      <c r="B256" s="88"/>
      <c r="C256" s="439"/>
      <c r="D256" s="439"/>
      <c r="E256" s="439"/>
      <c r="F256" s="439"/>
      <c r="G256" s="439"/>
      <c r="H256" s="439"/>
      <c r="I256" s="439"/>
      <c r="K256" s="439"/>
      <c r="L256" s="439"/>
    </row>
    <row r="257" spans="2:12">
      <c r="B257" s="88"/>
      <c r="C257" s="439"/>
      <c r="D257" s="439"/>
      <c r="E257" s="439"/>
      <c r="F257" s="439"/>
      <c r="G257" s="439"/>
      <c r="H257" s="439"/>
      <c r="I257" s="439"/>
      <c r="K257" s="439"/>
      <c r="L257" s="439"/>
    </row>
    <row r="258" spans="2:12">
      <c r="B258" s="88"/>
      <c r="C258" s="439"/>
      <c r="D258" s="439"/>
      <c r="E258" s="439"/>
      <c r="F258" s="439"/>
      <c r="G258" s="439"/>
      <c r="H258" s="439"/>
      <c r="I258" s="439"/>
      <c r="K258" s="439"/>
      <c r="L258" s="439"/>
    </row>
    <row r="259" spans="2:12">
      <c r="B259" s="88"/>
      <c r="C259" s="439"/>
      <c r="D259" s="439"/>
      <c r="E259" s="439"/>
      <c r="F259" s="439"/>
      <c r="G259" s="439"/>
      <c r="H259" s="439"/>
      <c r="I259" s="439"/>
      <c r="K259" s="439"/>
      <c r="L259" s="439"/>
    </row>
    <row r="260" spans="2:12">
      <c r="B260" s="88"/>
      <c r="C260" s="439"/>
      <c r="D260" s="439"/>
      <c r="E260" s="439"/>
      <c r="F260" s="439"/>
      <c r="G260" s="439"/>
      <c r="H260" s="439"/>
      <c r="I260" s="439"/>
      <c r="K260" s="439"/>
      <c r="L260" s="439"/>
    </row>
    <row r="261" spans="2:12">
      <c r="B261" s="88"/>
      <c r="C261" s="439"/>
      <c r="D261" s="439"/>
      <c r="E261" s="439"/>
      <c r="F261" s="439"/>
      <c r="G261" s="439"/>
      <c r="H261" s="439"/>
      <c r="I261" s="439"/>
      <c r="K261" s="439"/>
      <c r="L261" s="439"/>
    </row>
    <row r="262" spans="2:12">
      <c r="B262" s="88"/>
      <c r="C262" s="439"/>
      <c r="D262" s="439"/>
      <c r="E262" s="439"/>
      <c r="F262" s="439"/>
      <c r="G262" s="439"/>
      <c r="H262" s="439"/>
      <c r="I262" s="439"/>
      <c r="K262" s="439"/>
      <c r="L262" s="439"/>
    </row>
    <row r="263" spans="2:12">
      <c r="B263" s="88"/>
      <c r="C263" s="439"/>
      <c r="D263" s="439"/>
      <c r="E263" s="439"/>
      <c r="F263" s="439"/>
      <c r="G263" s="439"/>
      <c r="H263" s="439"/>
      <c r="I263" s="439"/>
      <c r="K263" s="439"/>
      <c r="L263" s="439"/>
    </row>
    <row r="264" spans="2:12">
      <c r="B264" s="88"/>
      <c r="C264" s="439"/>
      <c r="D264" s="439"/>
      <c r="E264" s="439"/>
      <c r="F264" s="439"/>
      <c r="G264" s="439"/>
      <c r="H264" s="439"/>
      <c r="I264" s="439"/>
      <c r="K264" s="439"/>
      <c r="L264" s="439"/>
    </row>
    <row r="265" spans="2:12">
      <c r="B265" s="88"/>
      <c r="C265" s="439"/>
      <c r="D265" s="439"/>
      <c r="E265" s="439"/>
      <c r="F265" s="439"/>
      <c r="G265" s="439"/>
      <c r="H265" s="439"/>
      <c r="I265" s="439"/>
      <c r="K265" s="439"/>
      <c r="L265" s="439"/>
    </row>
    <row r="266" spans="2:12">
      <c r="B266" s="88"/>
      <c r="C266" s="439"/>
      <c r="D266" s="439"/>
      <c r="E266" s="439"/>
      <c r="F266" s="439"/>
      <c r="G266" s="439"/>
      <c r="H266" s="439"/>
      <c r="I266" s="439"/>
      <c r="K266" s="439"/>
      <c r="L266" s="439"/>
    </row>
    <row r="267" spans="2:12">
      <c r="B267" s="88"/>
      <c r="C267" s="439"/>
      <c r="D267" s="439"/>
      <c r="E267" s="439"/>
      <c r="F267" s="439"/>
      <c r="G267" s="439"/>
      <c r="H267" s="439"/>
      <c r="I267" s="439"/>
      <c r="K267" s="439"/>
      <c r="L267" s="439"/>
    </row>
    <row r="268" spans="2:12">
      <c r="B268" s="88"/>
      <c r="C268" s="439"/>
      <c r="D268" s="439"/>
      <c r="E268" s="439"/>
      <c r="F268" s="439"/>
      <c r="G268" s="439"/>
      <c r="H268" s="439"/>
      <c r="I268" s="439"/>
      <c r="K268" s="439"/>
      <c r="L268" s="439"/>
    </row>
    <row r="269" spans="2:12">
      <c r="B269" s="88"/>
      <c r="C269" s="439"/>
      <c r="D269" s="439"/>
      <c r="E269" s="439"/>
      <c r="F269" s="439"/>
      <c r="G269" s="439"/>
      <c r="H269" s="439"/>
      <c r="I269" s="439"/>
      <c r="K269" s="439"/>
      <c r="L269" s="439"/>
    </row>
    <row r="270" spans="2:12">
      <c r="B270" s="88"/>
      <c r="C270" s="439"/>
      <c r="D270" s="439"/>
      <c r="E270" s="439"/>
      <c r="F270" s="439"/>
      <c r="G270" s="439"/>
      <c r="H270" s="439"/>
      <c r="I270" s="439"/>
      <c r="K270" s="439"/>
      <c r="L270" s="439"/>
    </row>
    <row r="271" spans="2:12">
      <c r="B271" s="88"/>
      <c r="C271" s="439"/>
      <c r="D271" s="439"/>
      <c r="E271" s="439"/>
      <c r="F271" s="439"/>
      <c r="G271" s="439"/>
      <c r="H271" s="439"/>
      <c r="I271" s="439"/>
      <c r="K271" s="439"/>
      <c r="L271" s="439"/>
    </row>
    <row r="272" spans="2:12">
      <c r="B272" s="88"/>
      <c r="C272" s="439"/>
      <c r="D272" s="439"/>
      <c r="E272" s="439"/>
      <c r="F272" s="439"/>
      <c r="G272" s="439"/>
      <c r="H272" s="439"/>
      <c r="I272" s="439"/>
      <c r="K272" s="439"/>
      <c r="L272" s="439"/>
    </row>
    <row r="273" spans="2:12">
      <c r="B273" s="88"/>
      <c r="C273" s="439"/>
      <c r="D273" s="439"/>
      <c r="E273" s="439"/>
      <c r="F273" s="439"/>
      <c r="G273" s="439"/>
      <c r="H273" s="439"/>
      <c r="I273" s="439"/>
      <c r="K273" s="439"/>
      <c r="L273" s="439"/>
    </row>
    <row r="274" spans="2:12">
      <c r="B274" s="88"/>
      <c r="C274" s="439"/>
      <c r="D274" s="439"/>
      <c r="E274" s="439"/>
      <c r="F274" s="439"/>
      <c r="G274" s="439"/>
      <c r="H274" s="439"/>
      <c r="I274" s="439"/>
      <c r="K274" s="439"/>
      <c r="L274" s="439"/>
    </row>
    <row r="275" spans="2:12">
      <c r="B275" s="88"/>
      <c r="C275" s="439"/>
      <c r="D275" s="439"/>
      <c r="E275" s="439"/>
      <c r="F275" s="439"/>
      <c r="G275" s="439"/>
      <c r="H275" s="439"/>
      <c r="I275" s="439"/>
      <c r="K275" s="439"/>
      <c r="L275" s="439"/>
    </row>
    <row r="276" spans="2:12">
      <c r="B276" s="88"/>
      <c r="C276" s="439"/>
      <c r="D276" s="439"/>
      <c r="E276" s="439"/>
      <c r="F276" s="439"/>
      <c r="G276" s="439"/>
      <c r="H276" s="439"/>
      <c r="I276" s="439"/>
      <c r="K276" s="439"/>
      <c r="L276" s="439"/>
    </row>
    <row r="277" spans="2:12">
      <c r="B277" s="88"/>
      <c r="C277" s="439"/>
      <c r="D277" s="439"/>
      <c r="E277" s="439"/>
      <c r="F277" s="439"/>
      <c r="G277" s="439"/>
      <c r="H277" s="439"/>
      <c r="I277" s="439"/>
      <c r="K277" s="439"/>
      <c r="L277" s="439"/>
    </row>
    <row r="278" spans="2:12">
      <c r="B278" s="88"/>
      <c r="C278" s="439"/>
      <c r="D278" s="439"/>
      <c r="E278" s="439"/>
      <c r="F278" s="439"/>
      <c r="G278" s="439"/>
      <c r="H278" s="439"/>
      <c r="I278" s="439"/>
      <c r="K278" s="439"/>
      <c r="L278" s="439"/>
    </row>
    <row r="279" spans="2:12">
      <c r="B279" s="88"/>
      <c r="C279" s="439"/>
      <c r="D279" s="439"/>
      <c r="E279" s="439"/>
      <c r="F279" s="439"/>
      <c r="G279" s="439"/>
      <c r="H279" s="439"/>
      <c r="I279" s="439"/>
      <c r="K279" s="439"/>
      <c r="L279" s="439"/>
    </row>
    <row r="280" spans="2:12">
      <c r="B280" s="88"/>
      <c r="C280" s="439"/>
      <c r="D280" s="439"/>
      <c r="E280" s="439"/>
      <c r="F280" s="439"/>
      <c r="G280" s="439"/>
      <c r="H280" s="439"/>
      <c r="I280" s="439"/>
      <c r="K280" s="439"/>
      <c r="L280" s="439"/>
    </row>
    <row r="281" spans="2:12">
      <c r="B281" s="88"/>
      <c r="C281" s="439"/>
      <c r="D281" s="439"/>
      <c r="E281" s="439"/>
      <c r="F281" s="439"/>
      <c r="G281" s="439"/>
      <c r="H281" s="439"/>
      <c r="I281" s="439"/>
      <c r="K281" s="439"/>
      <c r="L281" s="439"/>
    </row>
    <row r="282" spans="2:12">
      <c r="B282" s="88"/>
      <c r="C282" s="439"/>
      <c r="D282" s="439"/>
      <c r="E282" s="439"/>
      <c r="F282" s="439"/>
      <c r="G282" s="439"/>
      <c r="H282" s="439"/>
      <c r="I282" s="439"/>
      <c r="K282" s="439"/>
      <c r="L282" s="439"/>
    </row>
    <row r="283" spans="2:12">
      <c r="B283" s="88"/>
      <c r="C283" s="439"/>
      <c r="D283" s="439"/>
      <c r="E283" s="439"/>
      <c r="F283" s="439"/>
      <c r="G283" s="439"/>
      <c r="H283" s="439"/>
      <c r="I283" s="439"/>
      <c r="K283" s="439"/>
      <c r="L283" s="439"/>
    </row>
    <row r="284" spans="2:12">
      <c r="B284" s="88"/>
      <c r="C284" s="439"/>
      <c r="D284" s="439"/>
      <c r="E284" s="439"/>
      <c r="F284" s="439"/>
      <c r="G284" s="439"/>
      <c r="H284" s="439"/>
      <c r="I284" s="439"/>
      <c r="K284" s="439"/>
      <c r="L284" s="439"/>
    </row>
    <row r="285" spans="2:12">
      <c r="B285" s="88"/>
      <c r="C285" s="439"/>
      <c r="D285" s="439"/>
      <c r="E285" s="439"/>
      <c r="F285" s="439"/>
      <c r="G285" s="439"/>
      <c r="H285" s="439"/>
      <c r="I285" s="439"/>
      <c r="K285" s="439"/>
      <c r="L285" s="439"/>
    </row>
    <row r="286" spans="2:12">
      <c r="B286" s="88"/>
      <c r="C286" s="439"/>
      <c r="D286" s="439"/>
      <c r="E286" s="439"/>
      <c r="F286" s="439"/>
      <c r="G286" s="439"/>
      <c r="H286" s="439"/>
      <c r="I286" s="439"/>
      <c r="K286" s="439"/>
      <c r="L286" s="439"/>
    </row>
    <row r="287" spans="2:12">
      <c r="B287" s="88"/>
      <c r="C287" s="439"/>
      <c r="D287" s="439"/>
      <c r="E287" s="439"/>
      <c r="F287" s="439"/>
      <c r="G287" s="439"/>
      <c r="H287" s="439"/>
      <c r="I287" s="439"/>
      <c r="K287" s="439"/>
      <c r="L287" s="439"/>
    </row>
    <row r="288" spans="2:12">
      <c r="B288" s="88"/>
      <c r="C288" s="439"/>
      <c r="D288" s="439"/>
      <c r="E288" s="439"/>
      <c r="F288" s="439"/>
      <c r="G288" s="439"/>
      <c r="H288" s="439"/>
      <c r="I288" s="439"/>
      <c r="K288" s="439"/>
      <c r="L288" s="439"/>
    </row>
    <row r="289" spans="2:12">
      <c r="B289" s="88"/>
      <c r="C289" s="439"/>
      <c r="D289" s="439"/>
      <c r="E289" s="439"/>
      <c r="F289" s="439"/>
      <c r="G289" s="439"/>
      <c r="H289" s="439"/>
      <c r="I289" s="439"/>
      <c r="K289" s="439"/>
      <c r="L289" s="439"/>
    </row>
    <row r="290" spans="2:12">
      <c r="B290" s="88"/>
      <c r="C290" s="439"/>
      <c r="D290" s="439"/>
      <c r="E290" s="439"/>
      <c r="F290" s="439"/>
      <c r="G290" s="439"/>
      <c r="H290" s="439"/>
      <c r="I290" s="439"/>
      <c r="K290" s="439"/>
      <c r="L290" s="439"/>
    </row>
    <row r="291" spans="2:12">
      <c r="B291" s="88"/>
      <c r="C291" s="439"/>
      <c r="D291" s="439"/>
      <c r="E291" s="439"/>
      <c r="F291" s="439"/>
      <c r="G291" s="439"/>
      <c r="H291" s="439"/>
      <c r="I291" s="439"/>
      <c r="K291" s="439"/>
      <c r="L291" s="439"/>
    </row>
    <row r="292" spans="2:12">
      <c r="B292" s="88"/>
      <c r="C292" s="439"/>
      <c r="D292" s="439"/>
      <c r="E292" s="439"/>
      <c r="F292" s="439"/>
      <c r="G292" s="439"/>
      <c r="H292" s="439"/>
      <c r="I292" s="439"/>
      <c r="K292" s="439"/>
      <c r="L292" s="439"/>
    </row>
    <row r="293" spans="2:12">
      <c r="B293" s="88"/>
      <c r="C293" s="439"/>
      <c r="D293" s="439"/>
      <c r="E293" s="439"/>
      <c r="F293" s="439"/>
      <c r="G293" s="439"/>
      <c r="H293" s="439"/>
      <c r="I293" s="439"/>
      <c r="K293" s="439"/>
      <c r="L293" s="439"/>
    </row>
    <row r="294" spans="2:12">
      <c r="B294" s="88"/>
      <c r="C294" s="439"/>
      <c r="D294" s="439"/>
      <c r="E294" s="439"/>
      <c r="F294" s="439"/>
      <c r="G294" s="439"/>
      <c r="H294" s="439"/>
      <c r="I294" s="439"/>
      <c r="K294" s="439"/>
      <c r="L294" s="439"/>
    </row>
    <row r="295" spans="2:12">
      <c r="B295" s="88"/>
      <c r="C295" s="439"/>
      <c r="D295" s="439"/>
      <c r="E295" s="439"/>
      <c r="F295" s="439"/>
      <c r="G295" s="439"/>
      <c r="H295" s="439"/>
      <c r="I295" s="439"/>
      <c r="K295" s="439"/>
      <c r="L295" s="439"/>
    </row>
    <row r="296" spans="2:12">
      <c r="B296" s="88"/>
      <c r="C296" s="439"/>
      <c r="D296" s="439"/>
      <c r="E296" s="439"/>
      <c r="F296" s="439"/>
      <c r="G296" s="439"/>
      <c r="H296" s="439"/>
      <c r="I296" s="439"/>
      <c r="K296" s="439"/>
      <c r="L296" s="439"/>
    </row>
    <row r="297" spans="2:12">
      <c r="B297" s="88"/>
      <c r="C297" s="439"/>
      <c r="D297" s="439"/>
      <c r="E297" s="439"/>
      <c r="F297" s="439"/>
      <c r="G297" s="439"/>
      <c r="H297" s="439"/>
      <c r="I297" s="439"/>
      <c r="K297" s="439"/>
      <c r="L297" s="439"/>
    </row>
    <row r="298" spans="2:12">
      <c r="B298" s="88"/>
      <c r="C298" s="439"/>
      <c r="D298" s="439"/>
      <c r="E298" s="439"/>
      <c r="F298" s="439"/>
      <c r="G298" s="439"/>
      <c r="H298" s="439"/>
      <c r="I298" s="439"/>
      <c r="K298" s="439"/>
      <c r="L298" s="439"/>
    </row>
    <row r="299" spans="2:12">
      <c r="B299" s="88"/>
      <c r="C299" s="439"/>
      <c r="D299" s="439"/>
      <c r="E299" s="439"/>
      <c r="F299" s="439"/>
      <c r="G299" s="439"/>
      <c r="H299" s="439"/>
      <c r="I299" s="439"/>
      <c r="K299" s="439"/>
      <c r="L299" s="439"/>
    </row>
    <row r="300" spans="2:12">
      <c r="B300" s="88"/>
      <c r="C300" s="439"/>
      <c r="D300" s="439"/>
      <c r="E300" s="439"/>
      <c r="F300" s="439"/>
      <c r="G300" s="439"/>
      <c r="H300" s="439"/>
      <c r="I300" s="439"/>
      <c r="K300" s="439"/>
      <c r="L300" s="439"/>
    </row>
    <row r="301" spans="2:12">
      <c r="B301" s="88"/>
      <c r="C301" s="439"/>
      <c r="D301" s="439"/>
      <c r="E301" s="439"/>
      <c r="F301" s="439"/>
      <c r="G301" s="439"/>
      <c r="H301" s="439"/>
      <c r="I301" s="439"/>
      <c r="K301" s="439"/>
      <c r="L301" s="439"/>
    </row>
    <row r="302" spans="2:12">
      <c r="B302" s="88"/>
      <c r="C302" s="439"/>
      <c r="D302" s="439"/>
      <c r="E302" s="439"/>
      <c r="F302" s="439"/>
      <c r="G302" s="439"/>
      <c r="H302" s="439"/>
      <c r="I302" s="439"/>
      <c r="K302" s="439"/>
      <c r="L302" s="439"/>
    </row>
    <row r="303" spans="2:12">
      <c r="B303" s="88"/>
      <c r="C303" s="439"/>
      <c r="D303" s="439"/>
      <c r="E303" s="439"/>
      <c r="F303" s="439"/>
      <c r="G303" s="439"/>
      <c r="H303" s="439"/>
      <c r="I303" s="439"/>
      <c r="K303" s="439"/>
      <c r="L303" s="439"/>
    </row>
    <row r="304" spans="2:12">
      <c r="B304" s="88"/>
      <c r="C304" s="439"/>
      <c r="D304" s="439"/>
      <c r="E304" s="439"/>
      <c r="F304" s="439"/>
      <c r="G304" s="439"/>
      <c r="H304" s="439"/>
      <c r="I304" s="439"/>
      <c r="K304" s="439"/>
      <c r="L304" s="439"/>
    </row>
    <row r="305" spans="2:12">
      <c r="B305" s="88"/>
      <c r="C305" s="439"/>
      <c r="D305" s="439"/>
      <c r="E305" s="439"/>
      <c r="F305" s="439"/>
      <c r="G305" s="439"/>
      <c r="H305" s="439"/>
      <c r="I305" s="439"/>
      <c r="K305" s="439"/>
      <c r="L305" s="439"/>
    </row>
    <row r="306" spans="2:12">
      <c r="B306" s="88"/>
      <c r="C306" s="439"/>
      <c r="D306" s="439"/>
      <c r="E306" s="439"/>
      <c r="F306" s="439"/>
      <c r="G306" s="439"/>
      <c r="H306" s="439"/>
      <c r="I306" s="439"/>
      <c r="K306" s="439"/>
      <c r="L306" s="439"/>
    </row>
    <row r="307" spans="2:12">
      <c r="B307" s="88"/>
      <c r="C307" s="439"/>
      <c r="D307" s="439"/>
      <c r="E307" s="439"/>
      <c r="F307" s="439"/>
      <c r="G307" s="439"/>
      <c r="H307" s="439"/>
      <c r="I307" s="439"/>
      <c r="K307" s="439"/>
      <c r="L307" s="439"/>
    </row>
    <row r="308" spans="2:12">
      <c r="B308" s="88"/>
      <c r="C308" s="439"/>
      <c r="D308" s="439"/>
      <c r="E308" s="439"/>
      <c r="F308" s="439"/>
      <c r="G308" s="439"/>
      <c r="H308" s="439"/>
      <c r="I308" s="439"/>
      <c r="K308" s="439"/>
      <c r="L308" s="439"/>
    </row>
    <row r="309" spans="2:12">
      <c r="B309" s="88"/>
      <c r="C309" s="439"/>
      <c r="D309" s="439"/>
      <c r="E309" s="439"/>
      <c r="F309" s="439"/>
      <c r="G309" s="439"/>
      <c r="H309" s="439"/>
      <c r="I309" s="439"/>
      <c r="K309" s="439"/>
      <c r="L309" s="439"/>
    </row>
    <row r="310" spans="2:12">
      <c r="B310" s="88"/>
      <c r="C310" s="439"/>
      <c r="D310" s="439"/>
      <c r="E310" s="439"/>
      <c r="F310" s="439"/>
      <c r="G310" s="439"/>
      <c r="H310" s="439"/>
      <c r="I310" s="439"/>
      <c r="K310" s="439"/>
      <c r="L310" s="439"/>
    </row>
    <row r="311" spans="2:12">
      <c r="B311" s="88"/>
      <c r="C311" s="439"/>
      <c r="D311" s="439"/>
      <c r="E311" s="439"/>
      <c r="F311" s="439"/>
      <c r="G311" s="439"/>
      <c r="H311" s="439"/>
      <c r="I311" s="439"/>
      <c r="K311" s="439"/>
      <c r="L311" s="439"/>
    </row>
    <row r="312" spans="2:12">
      <c r="B312" s="88"/>
      <c r="C312" s="439"/>
      <c r="D312" s="439"/>
      <c r="E312" s="439"/>
      <c r="F312" s="439"/>
      <c r="G312" s="439"/>
      <c r="H312" s="439"/>
      <c r="I312" s="439"/>
      <c r="K312" s="439"/>
      <c r="L312" s="439"/>
    </row>
    <row r="313" spans="2:12">
      <c r="B313" s="88"/>
      <c r="C313" s="439"/>
      <c r="D313" s="439"/>
      <c r="E313" s="439"/>
      <c r="F313" s="439"/>
      <c r="G313" s="439"/>
      <c r="H313" s="439"/>
      <c r="I313" s="439"/>
      <c r="K313" s="439"/>
      <c r="L313" s="439"/>
    </row>
    <row r="314" spans="2:12">
      <c r="B314" s="88"/>
      <c r="C314" s="439"/>
      <c r="D314" s="439"/>
      <c r="E314" s="439"/>
      <c r="F314" s="439"/>
      <c r="G314" s="439"/>
      <c r="H314" s="439"/>
      <c r="I314" s="439"/>
      <c r="K314" s="439"/>
      <c r="L314" s="439"/>
    </row>
    <row r="315" spans="2:12">
      <c r="B315" s="88"/>
      <c r="C315" s="439"/>
      <c r="D315" s="439"/>
      <c r="E315" s="439"/>
      <c r="F315" s="439"/>
      <c r="G315" s="439"/>
      <c r="H315" s="439"/>
      <c r="I315" s="439"/>
      <c r="K315" s="439"/>
      <c r="L315" s="439"/>
    </row>
    <row r="316" spans="2:12">
      <c r="B316" s="88"/>
      <c r="C316" s="439"/>
      <c r="D316" s="439"/>
      <c r="E316" s="439"/>
      <c r="F316" s="439"/>
      <c r="G316" s="439"/>
      <c r="H316" s="439"/>
      <c r="I316" s="439"/>
      <c r="K316" s="439"/>
      <c r="L316" s="439"/>
    </row>
    <row r="317" spans="2:12">
      <c r="B317" s="88"/>
      <c r="C317" s="439"/>
      <c r="D317" s="439"/>
      <c r="E317" s="439"/>
      <c r="F317" s="439"/>
      <c r="G317" s="439"/>
      <c r="H317" s="439"/>
      <c r="I317" s="439"/>
      <c r="K317" s="439"/>
      <c r="L317" s="439"/>
    </row>
    <row r="318" spans="2:12">
      <c r="B318" s="88"/>
      <c r="C318" s="439"/>
      <c r="D318" s="439"/>
      <c r="E318" s="439"/>
      <c r="F318" s="439"/>
      <c r="G318" s="439"/>
      <c r="H318" s="439"/>
      <c r="I318" s="439"/>
      <c r="K318" s="439"/>
      <c r="L318" s="439"/>
    </row>
    <row r="319" spans="2:12">
      <c r="B319" s="88"/>
      <c r="C319" s="439"/>
      <c r="D319" s="439"/>
      <c r="E319" s="439"/>
      <c r="F319" s="439"/>
      <c r="G319" s="439"/>
      <c r="H319" s="439"/>
      <c r="I319" s="439"/>
      <c r="K319" s="439"/>
      <c r="L319" s="439"/>
    </row>
    <row r="320" spans="2:12">
      <c r="B320" s="88"/>
      <c r="C320" s="439"/>
      <c r="D320" s="439"/>
      <c r="E320" s="439"/>
      <c r="F320" s="439"/>
      <c r="G320" s="439"/>
      <c r="H320" s="439"/>
      <c r="I320" s="439"/>
      <c r="K320" s="439"/>
      <c r="L320" s="439"/>
    </row>
    <row r="321" spans="2:12">
      <c r="B321" s="88"/>
      <c r="C321" s="439"/>
      <c r="D321" s="439"/>
      <c r="E321" s="439"/>
      <c r="F321" s="439"/>
      <c r="G321" s="439"/>
      <c r="H321" s="439"/>
      <c r="I321" s="439"/>
      <c r="K321" s="439"/>
      <c r="L321" s="439"/>
    </row>
    <row r="322" spans="2:12">
      <c r="B322" s="88"/>
      <c r="C322" s="439"/>
      <c r="D322" s="439"/>
      <c r="E322" s="439"/>
      <c r="F322" s="439"/>
      <c r="G322" s="439"/>
      <c r="H322" s="439"/>
      <c r="I322" s="439"/>
      <c r="K322" s="439"/>
      <c r="L322" s="439"/>
    </row>
    <row r="323" spans="2:12">
      <c r="B323" s="88"/>
      <c r="C323" s="439"/>
      <c r="D323" s="439"/>
      <c r="E323" s="439"/>
      <c r="F323" s="439"/>
      <c r="G323" s="439"/>
      <c r="H323" s="439"/>
      <c r="I323" s="439"/>
      <c r="K323" s="439"/>
      <c r="L323" s="439"/>
    </row>
    <row r="324" spans="2:12">
      <c r="B324" s="88"/>
      <c r="C324" s="439"/>
      <c r="D324" s="439"/>
      <c r="E324" s="439"/>
      <c r="F324" s="439"/>
      <c r="G324" s="439"/>
      <c r="H324" s="439"/>
      <c r="I324" s="439"/>
      <c r="K324" s="439"/>
      <c r="L324" s="439"/>
    </row>
    <row r="325" spans="2:12">
      <c r="B325" s="88"/>
      <c r="C325" s="439"/>
      <c r="D325" s="439"/>
      <c r="E325" s="439"/>
      <c r="F325" s="439"/>
      <c r="G325" s="439"/>
      <c r="H325" s="439"/>
      <c r="I325" s="439"/>
      <c r="K325" s="439"/>
      <c r="L325" s="439"/>
    </row>
    <row r="326" spans="2:12">
      <c r="B326" s="88"/>
      <c r="C326" s="439"/>
      <c r="D326" s="439"/>
      <c r="E326" s="439"/>
      <c r="F326" s="439"/>
      <c r="G326" s="439"/>
      <c r="H326" s="439"/>
      <c r="I326" s="439"/>
      <c r="K326" s="439"/>
      <c r="L326" s="439"/>
    </row>
    <row r="327" spans="2:12">
      <c r="B327" s="88"/>
      <c r="C327" s="439"/>
      <c r="D327" s="439"/>
      <c r="E327" s="439"/>
      <c r="F327" s="439"/>
      <c r="G327" s="439"/>
      <c r="H327" s="439"/>
      <c r="I327" s="439"/>
      <c r="K327" s="439"/>
      <c r="L327" s="439"/>
    </row>
    <row r="328" spans="2:12">
      <c r="B328" s="88"/>
      <c r="C328" s="439"/>
      <c r="D328" s="439"/>
      <c r="E328" s="439"/>
      <c r="F328" s="439"/>
      <c r="G328" s="439"/>
      <c r="H328" s="439"/>
      <c r="I328" s="439"/>
      <c r="K328" s="439"/>
      <c r="L328" s="439"/>
    </row>
    <row r="329" spans="2:12">
      <c r="B329" s="88"/>
      <c r="C329" s="439"/>
      <c r="D329" s="439"/>
      <c r="E329" s="439"/>
      <c r="F329" s="439"/>
      <c r="G329" s="439"/>
      <c r="H329" s="439"/>
      <c r="I329" s="439"/>
      <c r="K329" s="439"/>
      <c r="L329" s="439"/>
    </row>
    <row r="330" spans="2:12">
      <c r="B330" s="88"/>
      <c r="C330" s="439"/>
      <c r="D330" s="439"/>
      <c r="E330" s="439"/>
      <c r="F330" s="439"/>
      <c r="G330" s="439"/>
      <c r="H330" s="439"/>
      <c r="I330" s="439"/>
      <c r="K330" s="439"/>
      <c r="L330" s="439"/>
    </row>
    <row r="331" spans="2:12">
      <c r="B331" s="88"/>
      <c r="C331" s="439"/>
      <c r="D331" s="439"/>
      <c r="E331" s="439"/>
      <c r="F331" s="439"/>
      <c r="G331" s="439"/>
      <c r="H331" s="439"/>
      <c r="I331" s="439"/>
      <c r="K331" s="439"/>
      <c r="L331" s="439"/>
    </row>
    <row r="332" spans="2:12">
      <c r="B332" s="88"/>
      <c r="C332" s="439"/>
      <c r="D332" s="439"/>
      <c r="E332" s="439"/>
      <c r="F332" s="439"/>
      <c r="G332" s="439"/>
      <c r="H332" s="439"/>
      <c r="I332" s="439"/>
      <c r="K332" s="439"/>
      <c r="L332" s="439"/>
    </row>
    <row r="333" spans="2:12">
      <c r="B333" s="88"/>
      <c r="C333" s="439"/>
      <c r="D333" s="439"/>
      <c r="E333" s="439"/>
      <c r="F333" s="439"/>
      <c r="G333" s="439"/>
      <c r="H333" s="439"/>
      <c r="I333" s="439"/>
      <c r="K333" s="439"/>
      <c r="L333" s="439"/>
    </row>
    <row r="334" spans="2:12">
      <c r="B334" s="88"/>
      <c r="C334" s="439"/>
      <c r="D334" s="439"/>
      <c r="E334" s="439"/>
      <c r="F334" s="439"/>
      <c r="G334" s="439"/>
      <c r="H334" s="439"/>
      <c r="I334" s="439"/>
      <c r="K334" s="439"/>
      <c r="L334" s="439"/>
    </row>
    <row r="335" spans="2:12">
      <c r="B335" s="88"/>
      <c r="C335" s="439"/>
      <c r="D335" s="439"/>
      <c r="E335" s="439"/>
      <c r="F335" s="439"/>
      <c r="G335" s="439"/>
      <c r="H335" s="439"/>
      <c r="I335" s="439"/>
      <c r="K335" s="439"/>
      <c r="L335" s="439"/>
    </row>
    <row r="336" spans="2:12">
      <c r="B336" s="88"/>
      <c r="C336" s="439"/>
      <c r="D336" s="439"/>
      <c r="E336" s="439"/>
      <c r="F336" s="439"/>
      <c r="G336" s="439"/>
      <c r="H336" s="439"/>
      <c r="I336" s="439"/>
      <c r="K336" s="439"/>
      <c r="L336" s="439"/>
    </row>
    <row r="337" spans="2:12">
      <c r="B337" s="88"/>
      <c r="C337" s="439"/>
      <c r="D337" s="439"/>
      <c r="E337" s="439"/>
      <c r="F337" s="439"/>
      <c r="G337" s="439"/>
      <c r="H337" s="439"/>
      <c r="I337" s="439"/>
      <c r="K337" s="439"/>
      <c r="L337" s="439"/>
    </row>
    <row r="338" spans="2:12">
      <c r="B338" s="88"/>
      <c r="C338" s="439"/>
      <c r="D338" s="439"/>
      <c r="E338" s="439"/>
      <c r="F338" s="439"/>
      <c r="G338" s="439"/>
      <c r="H338" s="439"/>
      <c r="I338" s="439"/>
      <c r="K338" s="439"/>
      <c r="L338" s="439"/>
    </row>
    <row r="339" spans="2:12">
      <c r="B339" s="88"/>
      <c r="C339" s="439"/>
      <c r="D339" s="439"/>
      <c r="E339" s="439"/>
      <c r="F339" s="439"/>
      <c r="G339" s="439"/>
      <c r="H339" s="439"/>
      <c r="I339" s="439"/>
      <c r="K339" s="439"/>
      <c r="L339" s="439"/>
    </row>
    <row r="340" spans="2:12">
      <c r="B340" s="88"/>
      <c r="C340" s="439"/>
      <c r="D340" s="439"/>
      <c r="E340" s="439"/>
      <c r="F340" s="439"/>
      <c r="G340" s="439"/>
      <c r="H340" s="439"/>
      <c r="I340" s="439"/>
      <c r="K340" s="439"/>
      <c r="L340" s="439"/>
    </row>
    <row r="341" spans="2:12">
      <c r="B341" s="88"/>
      <c r="C341" s="439"/>
      <c r="D341" s="439"/>
      <c r="E341" s="439"/>
      <c r="F341" s="439"/>
      <c r="G341" s="439"/>
      <c r="H341" s="439"/>
      <c r="I341" s="439"/>
      <c r="K341" s="439"/>
      <c r="L341" s="439"/>
    </row>
    <row r="342" spans="2:12">
      <c r="B342" s="88"/>
      <c r="C342" s="439"/>
      <c r="D342" s="439"/>
      <c r="E342" s="439"/>
      <c r="F342" s="439"/>
      <c r="G342" s="439"/>
      <c r="H342" s="439"/>
      <c r="I342" s="439"/>
      <c r="K342" s="439"/>
      <c r="L342" s="439"/>
    </row>
    <row r="343" spans="2:12">
      <c r="B343" s="88"/>
      <c r="C343" s="439"/>
      <c r="D343" s="439"/>
      <c r="E343" s="439"/>
      <c r="F343" s="439"/>
      <c r="G343" s="439"/>
      <c r="H343" s="439"/>
      <c r="I343" s="439"/>
      <c r="K343" s="439"/>
      <c r="L343" s="439"/>
    </row>
    <row r="344" spans="2:12">
      <c r="B344" s="88"/>
      <c r="C344" s="439"/>
      <c r="D344" s="439"/>
      <c r="E344" s="439"/>
      <c r="F344" s="439"/>
      <c r="G344" s="439"/>
      <c r="H344" s="439"/>
      <c r="I344" s="439"/>
      <c r="K344" s="439"/>
      <c r="L344" s="439"/>
    </row>
    <row r="345" spans="2:12">
      <c r="B345" s="88"/>
      <c r="C345" s="439"/>
      <c r="D345" s="439"/>
      <c r="E345" s="439"/>
      <c r="F345" s="439"/>
      <c r="G345" s="439"/>
      <c r="H345" s="439"/>
      <c r="I345" s="439"/>
      <c r="K345" s="439"/>
      <c r="L345" s="439"/>
    </row>
    <row r="346" spans="2:12">
      <c r="B346" s="88"/>
      <c r="C346" s="439"/>
      <c r="D346" s="439"/>
      <c r="E346" s="439"/>
      <c r="F346" s="439"/>
      <c r="G346" s="439"/>
      <c r="H346" s="439"/>
      <c r="I346" s="439"/>
      <c r="K346" s="439"/>
      <c r="L346" s="439"/>
    </row>
    <row r="347" spans="2:12">
      <c r="B347" s="88"/>
      <c r="C347" s="439"/>
      <c r="D347" s="439"/>
      <c r="E347" s="439"/>
      <c r="F347" s="439"/>
      <c r="G347" s="439"/>
      <c r="H347" s="439"/>
      <c r="I347" s="439"/>
      <c r="K347" s="439"/>
      <c r="L347" s="439"/>
    </row>
    <row r="348" spans="2:12">
      <c r="B348" s="88"/>
      <c r="C348" s="439"/>
      <c r="D348" s="439"/>
      <c r="E348" s="439"/>
      <c r="F348" s="439"/>
      <c r="G348" s="439"/>
      <c r="H348" s="439"/>
      <c r="I348" s="439"/>
      <c r="K348" s="439"/>
      <c r="L348" s="439"/>
    </row>
    <row r="349" spans="2:12">
      <c r="B349" s="88"/>
      <c r="C349" s="439"/>
      <c r="D349" s="439"/>
      <c r="E349" s="439"/>
      <c r="F349" s="439"/>
      <c r="G349" s="439"/>
      <c r="H349" s="439"/>
      <c r="I349" s="439"/>
      <c r="K349" s="439"/>
      <c r="L349" s="439"/>
    </row>
    <row r="350" spans="2:12">
      <c r="B350" s="88"/>
      <c r="C350" s="439"/>
      <c r="D350" s="439"/>
      <c r="E350" s="439"/>
      <c r="F350" s="439"/>
      <c r="G350" s="439"/>
      <c r="H350" s="439"/>
      <c r="I350" s="439"/>
      <c r="K350" s="439"/>
      <c r="L350" s="439"/>
    </row>
    <row r="351" spans="2:12">
      <c r="B351" s="88"/>
      <c r="C351" s="439"/>
      <c r="D351" s="439"/>
      <c r="E351" s="439"/>
      <c r="F351" s="439"/>
      <c r="G351" s="439"/>
      <c r="H351" s="439"/>
      <c r="I351" s="439"/>
      <c r="K351" s="439"/>
      <c r="L351" s="439"/>
    </row>
    <row r="352" spans="2:12">
      <c r="B352" s="88"/>
      <c r="C352" s="439"/>
      <c r="D352" s="439"/>
      <c r="E352" s="439"/>
      <c r="F352" s="439"/>
      <c r="G352" s="439"/>
      <c r="H352" s="439"/>
      <c r="I352" s="439"/>
      <c r="K352" s="439"/>
      <c r="L352" s="439"/>
    </row>
    <row r="353" spans="2:12">
      <c r="B353" s="88"/>
      <c r="C353" s="439"/>
      <c r="D353" s="439"/>
      <c r="E353" s="439"/>
      <c r="F353" s="439"/>
      <c r="G353" s="439"/>
      <c r="H353" s="439"/>
      <c r="I353" s="439"/>
      <c r="K353" s="439"/>
      <c r="L353" s="439"/>
    </row>
    <row r="354" spans="2:12">
      <c r="B354" s="88"/>
      <c r="C354" s="439"/>
      <c r="D354" s="439"/>
      <c r="E354" s="439"/>
      <c r="F354" s="439"/>
      <c r="G354" s="439"/>
      <c r="H354" s="439"/>
      <c r="I354" s="439"/>
      <c r="K354" s="439"/>
      <c r="L354" s="439"/>
    </row>
    <row r="355" spans="2:12">
      <c r="B355" s="88"/>
      <c r="C355" s="439"/>
      <c r="D355" s="439"/>
      <c r="E355" s="439"/>
      <c r="F355" s="439"/>
      <c r="G355" s="439"/>
      <c r="H355" s="439"/>
      <c r="I355" s="439"/>
      <c r="K355" s="439"/>
      <c r="L355" s="439"/>
    </row>
    <row r="356" spans="2:12">
      <c r="B356" s="88"/>
      <c r="C356" s="439"/>
      <c r="D356" s="439"/>
      <c r="E356" s="439"/>
      <c r="F356" s="439"/>
      <c r="G356" s="439"/>
      <c r="H356" s="439"/>
      <c r="I356" s="439"/>
      <c r="K356" s="439"/>
      <c r="L356" s="439"/>
    </row>
    <row r="357" spans="2:12">
      <c r="B357" s="88"/>
      <c r="C357" s="439"/>
      <c r="D357" s="439"/>
      <c r="E357" s="439"/>
      <c r="F357" s="439"/>
      <c r="G357" s="439"/>
      <c r="H357" s="439"/>
      <c r="I357" s="439"/>
      <c r="K357" s="439"/>
      <c r="L357" s="439"/>
    </row>
    <row r="358" spans="2:12">
      <c r="B358" s="88"/>
      <c r="C358" s="439"/>
      <c r="D358" s="439"/>
      <c r="E358" s="439"/>
      <c r="F358" s="439"/>
      <c r="G358" s="439"/>
      <c r="H358" s="439"/>
      <c r="I358" s="439"/>
      <c r="K358" s="439"/>
      <c r="L358" s="439"/>
    </row>
    <row r="359" spans="2:12">
      <c r="B359" s="88"/>
      <c r="C359" s="439"/>
      <c r="D359" s="439"/>
      <c r="E359" s="439"/>
      <c r="F359" s="439"/>
      <c r="G359" s="439"/>
      <c r="H359" s="439"/>
      <c r="I359" s="439"/>
      <c r="K359" s="439"/>
      <c r="L359" s="439"/>
    </row>
    <row r="360" spans="2:12">
      <c r="B360" s="88"/>
      <c r="C360" s="439"/>
      <c r="D360" s="439"/>
      <c r="E360" s="439"/>
      <c r="F360" s="439"/>
      <c r="G360" s="439"/>
      <c r="H360" s="439"/>
      <c r="I360" s="439"/>
      <c r="K360" s="439"/>
      <c r="L360" s="439"/>
    </row>
    <row r="361" spans="2:12">
      <c r="B361" s="88"/>
      <c r="C361" s="439"/>
      <c r="D361" s="439"/>
      <c r="E361" s="439"/>
      <c r="F361" s="439"/>
      <c r="G361" s="439"/>
      <c r="H361" s="439"/>
      <c r="I361" s="439"/>
      <c r="K361" s="439"/>
      <c r="L361" s="439"/>
    </row>
    <row r="362" spans="2:12">
      <c r="B362" s="88"/>
      <c r="C362" s="439"/>
      <c r="D362" s="439"/>
      <c r="E362" s="439"/>
      <c r="F362" s="439"/>
      <c r="G362" s="439"/>
      <c r="H362" s="439"/>
      <c r="I362" s="439"/>
      <c r="K362" s="439"/>
      <c r="L362" s="439"/>
    </row>
    <row r="363" spans="2:12">
      <c r="B363" s="88"/>
      <c r="C363" s="439"/>
      <c r="D363" s="439"/>
      <c r="E363" s="439"/>
      <c r="F363" s="439"/>
      <c r="G363" s="439"/>
      <c r="H363" s="439"/>
      <c r="I363" s="439"/>
      <c r="K363" s="439"/>
      <c r="L363" s="439"/>
    </row>
    <row r="364" spans="2:12">
      <c r="B364" s="88"/>
      <c r="C364" s="439"/>
      <c r="D364" s="439"/>
      <c r="E364" s="439"/>
      <c r="F364" s="439"/>
      <c r="G364" s="439"/>
      <c r="H364" s="439"/>
      <c r="I364" s="439"/>
      <c r="K364" s="439"/>
      <c r="L364" s="439"/>
    </row>
    <row r="365" spans="2:12">
      <c r="B365" s="88"/>
      <c r="C365" s="439"/>
      <c r="D365" s="439"/>
      <c r="E365" s="439"/>
      <c r="F365" s="439"/>
      <c r="G365" s="439"/>
      <c r="H365" s="439"/>
      <c r="I365" s="439"/>
      <c r="K365" s="439"/>
      <c r="L365" s="439"/>
    </row>
    <row r="366" spans="2:12">
      <c r="B366" s="88"/>
      <c r="C366" s="439"/>
      <c r="D366" s="439"/>
      <c r="E366" s="439"/>
      <c r="F366" s="439"/>
      <c r="G366" s="439"/>
      <c r="H366" s="439"/>
      <c r="I366" s="439"/>
      <c r="K366" s="439"/>
      <c r="L366" s="439"/>
    </row>
    <row r="367" spans="2:12">
      <c r="B367" s="88"/>
      <c r="C367" s="439"/>
      <c r="D367" s="439"/>
      <c r="E367" s="439"/>
      <c r="F367" s="439"/>
      <c r="G367" s="439"/>
      <c r="H367" s="439"/>
      <c r="I367" s="439"/>
      <c r="K367" s="439"/>
      <c r="L367" s="439"/>
    </row>
    <row r="368" spans="2:12">
      <c r="B368" s="88"/>
      <c r="C368" s="439"/>
      <c r="D368" s="439"/>
      <c r="E368" s="439"/>
      <c r="F368" s="439"/>
      <c r="G368" s="439"/>
      <c r="H368" s="439"/>
      <c r="I368" s="439"/>
      <c r="K368" s="439"/>
      <c r="L368" s="439"/>
    </row>
    <row r="369" spans="2:12">
      <c r="B369" s="88"/>
      <c r="C369" s="439"/>
      <c r="D369" s="439"/>
      <c r="E369" s="439"/>
      <c r="F369" s="439"/>
      <c r="G369" s="439"/>
      <c r="H369" s="439"/>
      <c r="I369" s="439"/>
      <c r="K369" s="439"/>
      <c r="L369" s="439"/>
    </row>
    <row r="370" spans="2:12">
      <c r="B370" s="88"/>
      <c r="C370" s="439"/>
      <c r="D370" s="439"/>
      <c r="E370" s="439"/>
      <c r="F370" s="439"/>
      <c r="G370" s="439"/>
      <c r="H370" s="439"/>
      <c r="I370" s="439"/>
      <c r="K370" s="439"/>
      <c r="L370" s="439"/>
    </row>
    <row r="371" spans="2:12">
      <c r="B371" s="88"/>
      <c r="C371" s="439"/>
      <c r="D371" s="439"/>
      <c r="E371" s="439"/>
      <c r="F371" s="439"/>
      <c r="G371" s="439"/>
      <c r="H371" s="439"/>
      <c r="I371" s="439"/>
      <c r="K371" s="439"/>
      <c r="L371" s="439"/>
    </row>
    <row r="372" spans="2:12">
      <c r="B372" s="88"/>
      <c r="C372" s="439"/>
      <c r="D372" s="439"/>
      <c r="E372" s="439"/>
      <c r="F372" s="439"/>
      <c r="G372" s="439"/>
      <c r="H372" s="439"/>
      <c r="I372" s="439"/>
      <c r="K372" s="439"/>
      <c r="L372" s="439"/>
    </row>
    <row r="373" spans="2:12">
      <c r="B373" s="88"/>
      <c r="C373" s="439"/>
      <c r="D373" s="439"/>
      <c r="E373" s="439"/>
      <c r="F373" s="439"/>
      <c r="G373" s="439"/>
      <c r="H373" s="439"/>
      <c r="I373" s="439"/>
      <c r="K373" s="439"/>
      <c r="L373" s="439"/>
    </row>
    <row r="374" spans="2:12">
      <c r="B374" s="88"/>
      <c r="C374" s="439"/>
      <c r="D374" s="439"/>
      <c r="E374" s="439"/>
      <c r="F374" s="439"/>
      <c r="G374" s="439"/>
      <c r="H374" s="439"/>
      <c r="I374" s="439"/>
      <c r="K374" s="439"/>
      <c r="L374" s="439"/>
    </row>
    <row r="375" spans="2:12">
      <c r="B375" s="88"/>
      <c r="C375" s="439"/>
      <c r="D375" s="439"/>
      <c r="E375" s="439"/>
      <c r="F375" s="439"/>
      <c r="G375" s="439"/>
      <c r="H375" s="439"/>
      <c r="I375" s="439"/>
      <c r="K375" s="439"/>
      <c r="L375" s="439"/>
    </row>
    <row r="376" spans="2:12">
      <c r="B376" s="88"/>
      <c r="C376" s="439"/>
      <c r="D376" s="439"/>
      <c r="E376" s="439"/>
      <c r="F376" s="439"/>
      <c r="G376" s="439"/>
      <c r="H376" s="439"/>
      <c r="I376" s="439"/>
      <c r="K376" s="439"/>
      <c r="L376" s="439"/>
    </row>
    <row r="377" spans="2:12">
      <c r="B377" s="88"/>
      <c r="C377" s="439"/>
      <c r="D377" s="439"/>
      <c r="E377" s="439"/>
      <c r="F377" s="439"/>
      <c r="G377" s="439"/>
      <c r="H377" s="439"/>
      <c r="I377" s="439"/>
      <c r="K377" s="439"/>
      <c r="L377" s="439"/>
    </row>
    <row r="378" spans="2:12">
      <c r="B378" s="88"/>
      <c r="C378" s="439"/>
      <c r="D378" s="439"/>
      <c r="E378" s="439"/>
      <c r="F378" s="439"/>
      <c r="G378" s="439"/>
      <c r="H378" s="439"/>
      <c r="I378" s="439"/>
      <c r="K378" s="439"/>
      <c r="L378" s="439"/>
    </row>
    <row r="379" spans="2:12">
      <c r="B379" s="88"/>
      <c r="C379" s="439"/>
      <c r="D379" s="439"/>
      <c r="E379" s="439"/>
      <c r="F379" s="439"/>
      <c r="G379" s="439"/>
      <c r="H379" s="439"/>
      <c r="I379" s="439"/>
      <c r="K379" s="439"/>
      <c r="L379" s="439"/>
    </row>
    <row r="380" spans="2:12">
      <c r="B380" s="88"/>
      <c r="C380" s="439"/>
      <c r="D380" s="439"/>
      <c r="E380" s="439"/>
      <c r="F380" s="439"/>
      <c r="G380" s="439"/>
      <c r="H380" s="439"/>
      <c r="I380" s="439"/>
      <c r="K380" s="439"/>
      <c r="L380" s="439"/>
    </row>
    <row r="381" spans="2:12">
      <c r="B381" s="88"/>
      <c r="C381" s="439"/>
      <c r="D381" s="439"/>
      <c r="E381" s="439"/>
      <c r="F381" s="439"/>
      <c r="G381" s="439"/>
      <c r="H381" s="439"/>
      <c r="I381" s="439"/>
      <c r="K381" s="439"/>
      <c r="L381" s="439"/>
    </row>
    <row r="382" spans="2:12">
      <c r="B382" s="88"/>
      <c r="C382" s="439"/>
      <c r="D382" s="439"/>
      <c r="E382" s="439"/>
      <c r="F382" s="439"/>
      <c r="G382" s="439"/>
      <c r="H382" s="439"/>
      <c r="I382" s="439"/>
      <c r="K382" s="439"/>
      <c r="L382" s="439"/>
    </row>
    <row r="383" spans="2:12">
      <c r="B383" s="88"/>
      <c r="C383" s="439"/>
      <c r="D383" s="439"/>
      <c r="E383" s="439"/>
      <c r="F383" s="439"/>
      <c r="G383" s="439"/>
      <c r="H383" s="439"/>
      <c r="I383" s="439"/>
      <c r="K383" s="439"/>
      <c r="L383" s="439"/>
    </row>
    <row r="384" spans="2:12">
      <c r="B384" s="88"/>
      <c r="C384" s="439"/>
      <c r="D384" s="439"/>
      <c r="E384" s="439"/>
      <c r="F384" s="439"/>
      <c r="G384" s="439"/>
      <c r="H384" s="439"/>
      <c r="I384" s="439"/>
      <c r="K384" s="439"/>
      <c r="L384" s="439"/>
    </row>
    <row r="385" spans="2:12">
      <c r="B385" s="88"/>
      <c r="C385" s="439"/>
      <c r="D385" s="439"/>
      <c r="E385" s="439"/>
      <c r="F385" s="439"/>
      <c r="G385" s="439"/>
      <c r="H385" s="439"/>
      <c r="I385" s="439"/>
      <c r="K385" s="439"/>
      <c r="L385" s="439"/>
    </row>
    <row r="386" spans="2:12">
      <c r="B386" s="88"/>
      <c r="C386" s="439"/>
      <c r="D386" s="439"/>
      <c r="E386" s="439"/>
      <c r="F386" s="439"/>
      <c r="G386" s="439"/>
      <c r="H386" s="439"/>
      <c r="I386" s="439"/>
      <c r="K386" s="439"/>
      <c r="L386" s="439"/>
    </row>
    <row r="387" spans="2:12">
      <c r="B387" s="88"/>
      <c r="C387" s="439"/>
      <c r="D387" s="439"/>
      <c r="E387" s="439"/>
      <c r="F387" s="439"/>
      <c r="G387" s="439"/>
      <c r="H387" s="439"/>
      <c r="I387" s="439"/>
      <c r="K387" s="439"/>
      <c r="L387" s="439"/>
    </row>
    <row r="388" spans="2:12">
      <c r="B388" s="88"/>
      <c r="C388" s="439"/>
      <c r="D388" s="439"/>
      <c r="E388" s="439"/>
      <c r="F388" s="439"/>
      <c r="G388" s="439"/>
      <c r="H388" s="439"/>
      <c r="I388" s="439"/>
      <c r="K388" s="439"/>
      <c r="L388" s="439"/>
    </row>
    <row r="389" spans="2:12">
      <c r="B389" s="88"/>
      <c r="C389" s="439"/>
      <c r="D389" s="439"/>
      <c r="E389" s="439"/>
      <c r="F389" s="439"/>
      <c r="G389" s="439"/>
      <c r="H389" s="439"/>
      <c r="I389" s="439"/>
      <c r="K389" s="439"/>
      <c r="L389" s="439"/>
    </row>
    <row r="390" spans="2:12">
      <c r="B390" s="88"/>
      <c r="C390" s="439"/>
      <c r="D390" s="439"/>
      <c r="E390" s="439"/>
      <c r="F390" s="439"/>
      <c r="G390" s="439"/>
      <c r="H390" s="439"/>
      <c r="I390" s="439"/>
      <c r="K390" s="439"/>
      <c r="L390" s="439"/>
    </row>
    <row r="391" spans="2:12">
      <c r="B391" s="88"/>
      <c r="C391" s="439"/>
      <c r="D391" s="439"/>
      <c r="E391" s="439"/>
      <c r="F391" s="439"/>
      <c r="G391" s="439"/>
      <c r="H391" s="439"/>
      <c r="I391" s="439"/>
      <c r="K391" s="439"/>
      <c r="L391" s="439"/>
    </row>
    <row r="392" spans="2:12">
      <c r="B392" s="88"/>
      <c r="C392" s="439"/>
      <c r="D392" s="439"/>
      <c r="E392" s="439"/>
      <c r="F392" s="439"/>
      <c r="G392" s="439"/>
      <c r="H392" s="439"/>
      <c r="I392" s="439"/>
      <c r="K392" s="439"/>
      <c r="L392" s="439"/>
    </row>
    <row r="393" spans="2:12">
      <c r="B393" s="88"/>
      <c r="C393" s="439"/>
      <c r="D393" s="439"/>
      <c r="E393" s="439"/>
      <c r="F393" s="439"/>
      <c r="G393" s="439"/>
      <c r="H393" s="439"/>
      <c r="I393" s="439"/>
      <c r="K393" s="439"/>
      <c r="L393" s="439"/>
    </row>
    <row r="394" spans="2:12">
      <c r="B394" s="88"/>
      <c r="C394" s="439"/>
      <c r="D394" s="439"/>
      <c r="E394" s="439"/>
      <c r="F394" s="439"/>
      <c r="G394" s="439"/>
      <c r="H394" s="439"/>
      <c r="I394" s="439"/>
      <c r="K394" s="439"/>
      <c r="L394" s="439"/>
    </row>
    <row r="395" spans="2:12">
      <c r="B395" s="88"/>
      <c r="C395" s="439"/>
      <c r="D395" s="439"/>
      <c r="E395" s="439"/>
      <c r="F395" s="439"/>
      <c r="G395" s="439"/>
      <c r="H395" s="439"/>
      <c r="I395" s="439"/>
      <c r="K395" s="439"/>
      <c r="L395" s="439"/>
    </row>
    <row r="396" spans="2:12">
      <c r="B396" s="88"/>
      <c r="C396" s="439"/>
      <c r="D396" s="439"/>
      <c r="E396" s="439"/>
      <c r="F396" s="439"/>
      <c r="G396" s="439"/>
      <c r="H396" s="439"/>
      <c r="I396" s="439"/>
      <c r="K396" s="439"/>
      <c r="L396" s="439"/>
    </row>
    <row r="397" spans="2:12">
      <c r="B397" s="88"/>
      <c r="C397" s="439"/>
      <c r="D397" s="439"/>
      <c r="E397" s="439"/>
      <c r="F397" s="439"/>
      <c r="G397" s="439"/>
      <c r="H397" s="439"/>
      <c r="I397" s="439"/>
      <c r="K397" s="439"/>
      <c r="L397" s="439"/>
    </row>
    <row r="398" spans="2:12">
      <c r="B398" s="88"/>
      <c r="C398" s="439"/>
      <c r="D398" s="439"/>
      <c r="E398" s="439"/>
      <c r="F398" s="439"/>
      <c r="G398" s="439"/>
      <c r="H398" s="439"/>
      <c r="I398" s="439"/>
      <c r="K398" s="439"/>
      <c r="L398" s="439"/>
    </row>
    <row r="399" spans="2:12">
      <c r="B399" s="88"/>
      <c r="C399" s="439"/>
      <c r="D399" s="439"/>
      <c r="E399" s="439"/>
      <c r="F399" s="439"/>
      <c r="G399" s="439"/>
      <c r="H399" s="439"/>
      <c r="I399" s="439"/>
      <c r="K399" s="439"/>
      <c r="L399" s="439"/>
    </row>
    <row r="400" spans="2:12">
      <c r="B400" s="88"/>
      <c r="C400" s="439"/>
      <c r="D400" s="439"/>
      <c r="E400" s="439"/>
      <c r="F400" s="439"/>
      <c r="G400" s="439"/>
      <c r="H400" s="439"/>
      <c r="I400" s="439"/>
      <c r="K400" s="439"/>
      <c r="L400" s="439"/>
    </row>
    <row r="401" spans="2:12">
      <c r="B401" s="88"/>
      <c r="C401" s="439"/>
      <c r="D401" s="439"/>
      <c r="E401" s="439"/>
      <c r="F401" s="439"/>
      <c r="G401" s="439"/>
      <c r="H401" s="439"/>
      <c r="I401" s="439"/>
      <c r="K401" s="439"/>
      <c r="L401" s="439"/>
    </row>
    <row r="402" spans="2:12">
      <c r="B402" s="88"/>
      <c r="C402" s="439"/>
      <c r="D402" s="439"/>
      <c r="E402" s="439"/>
      <c r="F402" s="439"/>
      <c r="G402" s="439"/>
      <c r="H402" s="439"/>
      <c r="I402" s="439"/>
      <c r="K402" s="439"/>
      <c r="L402" s="439"/>
    </row>
    <row r="403" spans="2:12">
      <c r="B403" s="88"/>
      <c r="C403" s="439"/>
      <c r="D403" s="439"/>
      <c r="E403" s="439"/>
      <c r="F403" s="439"/>
      <c r="G403" s="439"/>
      <c r="H403" s="439"/>
      <c r="I403" s="439"/>
      <c r="K403" s="439"/>
      <c r="L403" s="439"/>
    </row>
    <row r="404" spans="2:12">
      <c r="B404" s="88"/>
      <c r="C404" s="439"/>
      <c r="D404" s="439"/>
      <c r="E404" s="439"/>
      <c r="F404" s="439"/>
      <c r="G404" s="439"/>
      <c r="H404" s="439"/>
      <c r="I404" s="439"/>
      <c r="K404" s="439"/>
      <c r="L404" s="439"/>
    </row>
    <row r="405" spans="2:12">
      <c r="B405" s="88"/>
      <c r="C405" s="439"/>
      <c r="D405" s="439"/>
      <c r="E405" s="439"/>
      <c r="F405" s="439"/>
      <c r="G405" s="439"/>
      <c r="H405" s="439"/>
      <c r="I405" s="439"/>
      <c r="K405" s="439"/>
      <c r="L405" s="439"/>
    </row>
    <row r="406" spans="2:12">
      <c r="B406" s="88"/>
      <c r="C406" s="439"/>
      <c r="D406" s="439"/>
      <c r="E406" s="439"/>
      <c r="F406" s="439"/>
      <c r="G406" s="439"/>
      <c r="H406" s="439"/>
      <c r="I406" s="439"/>
      <c r="K406" s="439"/>
      <c r="L406" s="439"/>
    </row>
    <row r="407" spans="2:12">
      <c r="B407" s="88"/>
      <c r="C407" s="439"/>
      <c r="D407" s="439"/>
      <c r="E407" s="439"/>
      <c r="F407" s="439"/>
      <c r="G407" s="439"/>
      <c r="H407" s="439"/>
      <c r="I407" s="439"/>
      <c r="K407" s="439"/>
      <c r="L407" s="439"/>
    </row>
    <row r="408" spans="2:12">
      <c r="B408" s="88"/>
      <c r="C408" s="439"/>
      <c r="D408" s="439"/>
      <c r="E408" s="439"/>
      <c r="F408" s="439"/>
      <c r="G408" s="439"/>
      <c r="H408" s="439"/>
      <c r="I408" s="439"/>
      <c r="K408" s="439"/>
      <c r="L408" s="439"/>
    </row>
    <row r="409" spans="2:12">
      <c r="B409" s="88"/>
      <c r="C409" s="439"/>
      <c r="D409" s="439"/>
      <c r="E409" s="439"/>
      <c r="F409" s="439"/>
      <c r="G409" s="439"/>
      <c r="H409" s="439"/>
      <c r="I409" s="439"/>
      <c r="K409" s="439"/>
      <c r="L409" s="439"/>
    </row>
    <row r="410" spans="2:12">
      <c r="B410" s="88"/>
      <c r="C410" s="439"/>
      <c r="D410" s="439"/>
      <c r="E410" s="439"/>
      <c r="F410" s="439"/>
      <c r="G410" s="439"/>
      <c r="H410" s="439"/>
      <c r="I410" s="439"/>
      <c r="K410" s="439"/>
      <c r="L410" s="439"/>
    </row>
    <row r="411" spans="2:12">
      <c r="B411" s="88"/>
      <c r="C411" s="439"/>
      <c r="D411" s="439"/>
      <c r="E411" s="439"/>
      <c r="F411" s="439"/>
      <c r="G411" s="439"/>
      <c r="H411" s="439"/>
      <c r="I411" s="439"/>
      <c r="K411" s="439"/>
      <c r="L411" s="439"/>
    </row>
    <row r="412" spans="2:12">
      <c r="B412" s="88"/>
      <c r="C412" s="439"/>
      <c r="D412" s="439"/>
      <c r="E412" s="439"/>
      <c r="F412" s="439"/>
      <c r="G412" s="439"/>
      <c r="H412" s="439"/>
      <c r="I412" s="439"/>
      <c r="K412" s="439"/>
      <c r="L412" s="439"/>
    </row>
    <row r="413" spans="2:12">
      <c r="B413" s="88"/>
      <c r="C413" s="439"/>
      <c r="D413" s="439"/>
      <c r="E413" s="439"/>
      <c r="F413" s="439"/>
      <c r="G413" s="439"/>
      <c r="H413" s="439"/>
      <c r="I413" s="439"/>
      <c r="K413" s="439"/>
      <c r="L413" s="439"/>
    </row>
    <row r="414" spans="2:12">
      <c r="B414" s="88"/>
      <c r="C414" s="439"/>
      <c r="D414" s="439"/>
      <c r="E414" s="439"/>
      <c r="F414" s="439"/>
      <c r="G414" s="439"/>
      <c r="H414" s="439"/>
      <c r="I414" s="439"/>
      <c r="K414" s="439"/>
      <c r="L414" s="439"/>
    </row>
    <row r="415" spans="2:12">
      <c r="B415" s="88"/>
      <c r="C415" s="439"/>
      <c r="D415" s="439"/>
      <c r="E415" s="439"/>
      <c r="F415" s="439"/>
      <c r="G415" s="439"/>
      <c r="H415" s="439"/>
      <c r="I415" s="439"/>
      <c r="K415" s="439"/>
      <c r="L415" s="439"/>
    </row>
    <row r="416" spans="2:12">
      <c r="B416" s="88"/>
      <c r="C416" s="439"/>
      <c r="D416" s="439"/>
      <c r="E416" s="439"/>
      <c r="F416" s="439"/>
      <c r="G416" s="439"/>
      <c r="H416" s="439"/>
      <c r="I416" s="439"/>
      <c r="K416" s="439"/>
      <c r="L416" s="439"/>
    </row>
    <row r="417" spans="2:12">
      <c r="B417" s="88"/>
      <c r="C417" s="439"/>
      <c r="D417" s="439"/>
      <c r="E417" s="439"/>
      <c r="F417" s="439"/>
      <c r="G417" s="439"/>
      <c r="H417" s="439"/>
      <c r="I417" s="439"/>
      <c r="K417" s="439"/>
      <c r="L417" s="439"/>
    </row>
    <row r="418" spans="2:12">
      <c r="B418" s="88"/>
      <c r="C418" s="439"/>
      <c r="D418" s="439"/>
      <c r="E418" s="439"/>
      <c r="F418" s="439"/>
      <c r="G418" s="439"/>
      <c r="H418" s="439"/>
      <c r="I418" s="439"/>
      <c r="K418" s="439"/>
      <c r="L418" s="439"/>
    </row>
    <row r="419" spans="2:12">
      <c r="B419" s="88"/>
      <c r="C419" s="439"/>
      <c r="D419" s="439"/>
      <c r="E419" s="439"/>
      <c r="F419" s="439"/>
      <c r="G419" s="439"/>
      <c r="H419" s="439"/>
      <c r="I419" s="439"/>
      <c r="K419" s="439"/>
      <c r="L419" s="439"/>
    </row>
    <row r="420" spans="2:12">
      <c r="B420" s="88"/>
      <c r="C420" s="439"/>
      <c r="D420" s="439"/>
      <c r="E420" s="439"/>
      <c r="F420" s="439"/>
      <c r="G420" s="439"/>
      <c r="H420" s="439"/>
      <c r="I420" s="439"/>
      <c r="K420" s="439"/>
      <c r="L420" s="439"/>
    </row>
    <row r="421" spans="2:12">
      <c r="B421" s="88"/>
      <c r="C421" s="439"/>
      <c r="D421" s="439"/>
      <c r="E421" s="439"/>
      <c r="F421" s="439"/>
      <c r="G421" s="439"/>
      <c r="H421" s="439"/>
      <c r="I421" s="439"/>
      <c r="K421" s="439"/>
      <c r="L421" s="439"/>
    </row>
    <row r="422" spans="2:12">
      <c r="B422" s="88"/>
      <c r="C422" s="439"/>
      <c r="D422" s="439"/>
      <c r="E422" s="439"/>
      <c r="F422" s="439"/>
      <c r="G422" s="439"/>
      <c r="H422" s="439"/>
      <c r="I422" s="439"/>
      <c r="K422" s="439"/>
      <c r="L422" s="439"/>
    </row>
    <row r="423" spans="2:12">
      <c r="B423" s="88"/>
      <c r="C423" s="439"/>
      <c r="D423" s="439"/>
      <c r="E423" s="439"/>
      <c r="F423" s="439"/>
      <c r="G423" s="439"/>
      <c r="H423" s="439"/>
      <c r="I423" s="439"/>
      <c r="K423" s="439"/>
      <c r="L423" s="439"/>
    </row>
    <row r="424" spans="2:12">
      <c r="B424" s="88"/>
      <c r="C424" s="439"/>
      <c r="D424" s="439"/>
      <c r="E424" s="439"/>
      <c r="F424" s="439"/>
      <c r="G424" s="439"/>
      <c r="H424" s="439"/>
      <c r="I424" s="439"/>
      <c r="K424" s="439"/>
      <c r="L424" s="439"/>
    </row>
    <row r="425" spans="2:12">
      <c r="B425" s="88"/>
      <c r="C425" s="439"/>
      <c r="D425" s="439"/>
      <c r="E425" s="439"/>
      <c r="F425" s="439"/>
      <c r="G425" s="439"/>
      <c r="H425" s="439"/>
      <c r="I425" s="439"/>
      <c r="K425" s="439"/>
      <c r="L425" s="439"/>
    </row>
    <row r="426" spans="2:12">
      <c r="B426" s="88"/>
      <c r="C426" s="439"/>
      <c r="D426" s="439"/>
      <c r="E426" s="439"/>
      <c r="F426" s="439"/>
      <c r="G426" s="439"/>
      <c r="H426" s="439"/>
      <c r="I426" s="439"/>
      <c r="K426" s="439"/>
      <c r="L426" s="439"/>
    </row>
    <row r="427" spans="2:12">
      <c r="B427" s="88"/>
      <c r="C427" s="439"/>
      <c r="D427" s="439"/>
      <c r="E427" s="439"/>
      <c r="F427" s="439"/>
      <c r="G427" s="439"/>
      <c r="H427" s="439"/>
      <c r="I427" s="439"/>
      <c r="K427" s="439"/>
      <c r="L427" s="439"/>
    </row>
    <row r="428" spans="2:12">
      <c r="B428" s="88"/>
      <c r="C428" s="439"/>
      <c r="D428" s="439"/>
      <c r="E428" s="439"/>
      <c r="F428" s="439"/>
      <c r="G428" s="439"/>
      <c r="H428" s="439"/>
      <c r="I428" s="439"/>
      <c r="K428" s="439"/>
      <c r="L428" s="439"/>
    </row>
    <row r="429" spans="2:12">
      <c r="B429" s="88"/>
      <c r="C429" s="439"/>
      <c r="D429" s="439"/>
      <c r="E429" s="439"/>
      <c r="F429" s="439"/>
      <c r="G429" s="439"/>
      <c r="H429" s="439"/>
      <c r="I429" s="439"/>
      <c r="K429" s="439"/>
      <c r="L429" s="439"/>
    </row>
    <row r="430" spans="2:12">
      <c r="B430" s="88"/>
      <c r="C430" s="439"/>
      <c r="D430" s="439"/>
      <c r="E430" s="439"/>
      <c r="F430" s="439"/>
      <c r="G430" s="439"/>
      <c r="H430" s="439"/>
      <c r="I430" s="439"/>
      <c r="K430" s="439"/>
      <c r="L430" s="439"/>
    </row>
    <row r="431" spans="2:12">
      <c r="B431" s="88"/>
      <c r="C431" s="439"/>
      <c r="D431" s="439"/>
      <c r="E431" s="439"/>
      <c r="F431" s="439"/>
      <c r="G431" s="439"/>
      <c r="H431" s="439"/>
      <c r="I431" s="439"/>
      <c r="K431" s="439"/>
      <c r="L431" s="439"/>
    </row>
    <row r="432" spans="2:12">
      <c r="B432" s="88"/>
      <c r="C432" s="439"/>
      <c r="D432" s="439"/>
      <c r="E432" s="439"/>
      <c r="F432" s="439"/>
      <c r="G432" s="439"/>
      <c r="H432" s="439"/>
      <c r="I432" s="439"/>
      <c r="K432" s="439"/>
      <c r="L432" s="439"/>
    </row>
    <row r="433" spans="2:12">
      <c r="B433" s="88"/>
      <c r="C433" s="439"/>
      <c r="D433" s="439"/>
      <c r="E433" s="439"/>
      <c r="F433" s="439"/>
      <c r="G433" s="439"/>
      <c r="H433" s="439"/>
      <c r="I433" s="439"/>
      <c r="K433" s="439"/>
      <c r="L433" s="439"/>
    </row>
    <row r="434" spans="2:12">
      <c r="B434" s="88"/>
      <c r="C434" s="439"/>
      <c r="D434" s="439"/>
      <c r="E434" s="439"/>
      <c r="F434" s="439"/>
      <c r="G434" s="439"/>
      <c r="H434" s="439"/>
      <c r="I434" s="439"/>
      <c r="K434" s="439"/>
      <c r="L434" s="439"/>
    </row>
    <row r="435" spans="2:12">
      <c r="B435" s="88"/>
      <c r="C435" s="439"/>
      <c r="D435" s="439"/>
      <c r="E435" s="439"/>
      <c r="F435" s="439"/>
      <c r="G435" s="439"/>
      <c r="H435" s="439"/>
      <c r="I435" s="439"/>
      <c r="K435" s="439"/>
      <c r="L435" s="439"/>
    </row>
    <row r="436" spans="2:12">
      <c r="B436" s="88"/>
      <c r="C436" s="439"/>
      <c r="D436" s="439"/>
      <c r="E436" s="439"/>
      <c r="F436" s="439"/>
      <c r="G436" s="439"/>
      <c r="H436" s="439"/>
      <c r="I436" s="439"/>
      <c r="K436" s="439"/>
      <c r="L436" s="439"/>
    </row>
    <row r="437" spans="2:12">
      <c r="B437" s="88"/>
      <c r="C437" s="439"/>
      <c r="D437" s="439"/>
      <c r="E437" s="439"/>
      <c r="F437" s="439"/>
      <c r="G437" s="439"/>
      <c r="H437" s="439"/>
      <c r="I437" s="439"/>
      <c r="K437" s="439"/>
      <c r="L437" s="439"/>
    </row>
    <row r="438" spans="2:12">
      <c r="B438" s="88"/>
      <c r="C438" s="439"/>
      <c r="D438" s="439"/>
      <c r="E438" s="439"/>
      <c r="F438" s="439"/>
      <c r="G438" s="439"/>
      <c r="H438" s="439"/>
      <c r="I438" s="439"/>
      <c r="K438" s="439"/>
      <c r="L438" s="439"/>
    </row>
    <row r="439" spans="2:12">
      <c r="B439" s="88"/>
      <c r="C439" s="439"/>
      <c r="D439" s="439"/>
      <c r="E439" s="439"/>
      <c r="F439" s="439"/>
      <c r="G439" s="439"/>
      <c r="H439" s="439"/>
      <c r="I439" s="439"/>
      <c r="K439" s="439"/>
      <c r="L439" s="439"/>
    </row>
    <row r="440" spans="2:12">
      <c r="B440" s="88"/>
      <c r="C440" s="439"/>
      <c r="D440" s="439"/>
      <c r="E440" s="439"/>
      <c r="F440" s="439"/>
      <c r="G440" s="439"/>
      <c r="H440" s="439"/>
      <c r="I440" s="439"/>
      <c r="K440" s="439"/>
      <c r="L440" s="439"/>
    </row>
    <row r="441" spans="2:12">
      <c r="B441" s="88"/>
      <c r="C441" s="439"/>
      <c r="D441" s="439"/>
      <c r="E441" s="439"/>
      <c r="F441" s="439"/>
      <c r="G441" s="439"/>
      <c r="H441" s="439"/>
      <c r="I441" s="439"/>
      <c r="K441" s="439"/>
      <c r="L441" s="439"/>
    </row>
    <row r="442" spans="2:12">
      <c r="B442" s="88"/>
      <c r="C442" s="439"/>
      <c r="D442" s="439"/>
      <c r="E442" s="439"/>
      <c r="F442" s="439"/>
      <c r="G442" s="439"/>
      <c r="H442" s="439"/>
      <c r="I442" s="439"/>
      <c r="K442" s="439"/>
      <c r="L442" s="439"/>
    </row>
    <row r="443" spans="2:12">
      <c r="B443" s="88"/>
      <c r="C443" s="439"/>
      <c r="D443" s="439"/>
      <c r="E443" s="439"/>
      <c r="F443" s="439"/>
      <c r="G443" s="439"/>
      <c r="H443" s="439"/>
      <c r="I443" s="439"/>
      <c r="K443" s="439"/>
      <c r="L443" s="439"/>
    </row>
    <row r="444" spans="2:12">
      <c r="B444" s="88"/>
      <c r="C444" s="439"/>
      <c r="D444" s="439"/>
      <c r="E444" s="439"/>
      <c r="F444" s="439"/>
      <c r="G444" s="439"/>
      <c r="H444" s="439"/>
      <c r="I444" s="439"/>
      <c r="K444" s="439"/>
      <c r="L444" s="439"/>
    </row>
    <row r="445" spans="2:12">
      <c r="B445" s="88"/>
      <c r="C445" s="439"/>
      <c r="D445" s="439"/>
      <c r="E445" s="439"/>
      <c r="F445" s="439"/>
      <c r="G445" s="439"/>
      <c r="H445" s="439"/>
      <c r="I445" s="439"/>
      <c r="K445" s="439"/>
      <c r="L445" s="439"/>
    </row>
    <row r="446" spans="2:12">
      <c r="B446" s="88"/>
      <c r="C446" s="439"/>
      <c r="D446" s="439"/>
      <c r="E446" s="439"/>
      <c r="F446" s="439"/>
      <c r="G446" s="439"/>
      <c r="H446" s="439"/>
      <c r="I446" s="439"/>
      <c r="K446" s="439"/>
      <c r="L446" s="439"/>
    </row>
    <row r="447" spans="2:12">
      <c r="B447" s="88"/>
      <c r="C447" s="439"/>
      <c r="D447" s="439"/>
      <c r="E447" s="439"/>
      <c r="F447" s="439"/>
      <c r="G447" s="439"/>
      <c r="H447" s="439"/>
      <c r="I447" s="439"/>
      <c r="K447" s="439"/>
      <c r="L447" s="439"/>
    </row>
    <row r="448" spans="2:12">
      <c r="B448" s="88"/>
      <c r="C448" s="439"/>
      <c r="D448" s="439"/>
      <c r="E448" s="439"/>
      <c r="F448" s="439"/>
      <c r="G448" s="439"/>
      <c r="H448" s="439"/>
      <c r="I448" s="439"/>
      <c r="K448" s="439"/>
      <c r="L448" s="439"/>
    </row>
    <row r="449" spans="2:12">
      <c r="B449" s="88"/>
      <c r="C449" s="439"/>
      <c r="D449" s="439"/>
      <c r="E449" s="439"/>
      <c r="F449" s="439"/>
      <c r="G449" s="439"/>
      <c r="H449" s="439"/>
      <c r="I449" s="439"/>
      <c r="K449" s="439"/>
      <c r="L449" s="439"/>
    </row>
    <row r="450" spans="2:12">
      <c r="B450" s="88"/>
      <c r="C450" s="439"/>
      <c r="D450" s="439"/>
      <c r="E450" s="439"/>
      <c r="F450" s="439"/>
      <c r="G450" s="439"/>
      <c r="H450" s="439"/>
      <c r="I450" s="439"/>
      <c r="K450" s="439"/>
      <c r="L450" s="439"/>
    </row>
    <row r="451" spans="2:12">
      <c r="B451" s="88"/>
      <c r="C451" s="439"/>
      <c r="D451" s="439"/>
      <c r="E451" s="439"/>
      <c r="F451" s="439"/>
      <c r="G451" s="439"/>
      <c r="H451" s="439"/>
      <c r="I451" s="439"/>
      <c r="K451" s="439"/>
      <c r="L451" s="439"/>
    </row>
    <row r="452" spans="2:12">
      <c r="B452" s="88"/>
      <c r="C452" s="439"/>
      <c r="D452" s="439"/>
      <c r="E452" s="439"/>
      <c r="F452" s="439"/>
      <c r="G452" s="439"/>
      <c r="H452" s="439"/>
      <c r="I452" s="439"/>
      <c r="K452" s="439"/>
      <c r="L452" s="439"/>
    </row>
    <row r="453" spans="2:12">
      <c r="B453" s="88"/>
      <c r="C453" s="439"/>
      <c r="D453" s="439"/>
      <c r="E453" s="439"/>
      <c r="F453" s="439"/>
      <c r="G453" s="439"/>
      <c r="H453" s="439"/>
      <c r="I453" s="439"/>
      <c r="K453" s="439"/>
      <c r="L453" s="439"/>
    </row>
    <row r="454" spans="2:12">
      <c r="B454" s="88"/>
      <c r="C454" s="439"/>
      <c r="D454" s="439"/>
      <c r="E454" s="439"/>
      <c r="F454" s="439"/>
      <c r="G454" s="439"/>
      <c r="H454" s="439"/>
      <c r="I454" s="439"/>
      <c r="K454" s="439"/>
      <c r="L454" s="439"/>
    </row>
    <row r="455" spans="2:12">
      <c r="B455" s="88"/>
      <c r="C455" s="439"/>
      <c r="D455" s="439"/>
      <c r="E455" s="439"/>
      <c r="F455" s="439"/>
      <c r="G455" s="439"/>
      <c r="H455" s="439"/>
      <c r="I455" s="439"/>
      <c r="K455" s="439"/>
      <c r="L455" s="439"/>
    </row>
    <row r="456" spans="2:12">
      <c r="B456" s="88"/>
      <c r="C456" s="439"/>
      <c r="D456" s="439"/>
      <c r="E456" s="439"/>
      <c r="F456" s="439"/>
      <c r="G456" s="439"/>
      <c r="H456" s="439"/>
      <c r="I456" s="439"/>
      <c r="K456" s="439"/>
      <c r="L456" s="439"/>
    </row>
    <row r="457" spans="2:12">
      <c r="B457" s="88"/>
      <c r="C457" s="439"/>
      <c r="D457" s="439"/>
      <c r="E457" s="439"/>
      <c r="F457" s="439"/>
      <c r="G457" s="439"/>
      <c r="H457" s="439"/>
      <c r="I457" s="439"/>
      <c r="K457" s="439"/>
      <c r="L457" s="439"/>
    </row>
    <row r="458" spans="2:12">
      <c r="B458" s="88"/>
      <c r="C458" s="439"/>
      <c r="D458" s="439"/>
      <c r="E458" s="439"/>
      <c r="F458" s="439"/>
      <c r="G458" s="439"/>
      <c r="H458" s="439"/>
      <c r="I458" s="439"/>
      <c r="K458" s="439"/>
      <c r="L458" s="439"/>
    </row>
    <row r="459" spans="2:12">
      <c r="B459" s="88"/>
      <c r="C459" s="439"/>
      <c r="D459" s="439"/>
      <c r="E459" s="439"/>
      <c r="F459" s="439"/>
      <c r="G459" s="439"/>
      <c r="H459" s="439"/>
      <c r="I459" s="439"/>
      <c r="K459" s="439"/>
      <c r="L459" s="439"/>
    </row>
    <row r="460" spans="2:12">
      <c r="B460" s="88"/>
      <c r="C460" s="439"/>
      <c r="D460" s="439"/>
      <c r="E460" s="439"/>
      <c r="F460" s="439"/>
      <c r="G460" s="439"/>
      <c r="H460" s="439"/>
      <c r="I460" s="439"/>
      <c r="K460" s="439"/>
      <c r="L460" s="439"/>
    </row>
    <row r="461" spans="2:12">
      <c r="B461" s="88"/>
      <c r="C461" s="439"/>
      <c r="D461" s="439"/>
      <c r="E461" s="439"/>
      <c r="F461" s="439"/>
      <c r="G461" s="439"/>
      <c r="H461" s="439"/>
      <c r="I461" s="439"/>
      <c r="K461" s="439"/>
      <c r="L461" s="439"/>
    </row>
    <row r="462" spans="2:12">
      <c r="B462" s="88"/>
      <c r="C462" s="439"/>
      <c r="D462" s="439"/>
      <c r="E462" s="439"/>
      <c r="F462" s="439"/>
      <c r="G462" s="439"/>
      <c r="H462" s="439"/>
      <c r="I462" s="439"/>
      <c r="K462" s="439"/>
      <c r="L462" s="439"/>
    </row>
    <row r="463" spans="2:12">
      <c r="B463" s="88"/>
      <c r="C463" s="439"/>
      <c r="D463" s="439"/>
      <c r="E463" s="439"/>
      <c r="F463" s="439"/>
      <c r="G463" s="439"/>
      <c r="H463" s="439"/>
      <c r="I463" s="439"/>
      <c r="K463" s="439"/>
      <c r="L463" s="439"/>
    </row>
    <row r="464" spans="2:12">
      <c r="B464" s="88"/>
      <c r="C464" s="439"/>
      <c r="D464" s="439"/>
      <c r="E464" s="439"/>
      <c r="F464" s="439"/>
      <c r="G464" s="439"/>
      <c r="H464" s="439"/>
      <c r="I464" s="439"/>
      <c r="K464" s="439"/>
      <c r="L464" s="439"/>
    </row>
    <row r="465" spans="2:12">
      <c r="B465" s="88"/>
      <c r="C465" s="439"/>
      <c r="D465" s="439"/>
      <c r="E465" s="439"/>
      <c r="F465" s="439"/>
      <c r="G465" s="439"/>
      <c r="H465" s="439"/>
      <c r="I465" s="439"/>
      <c r="K465" s="439"/>
      <c r="L465" s="439"/>
    </row>
    <row r="466" spans="2:12">
      <c r="B466" s="88"/>
      <c r="C466" s="439"/>
      <c r="D466" s="439"/>
      <c r="E466" s="439"/>
      <c r="F466" s="439"/>
      <c r="G466" s="439"/>
      <c r="H466" s="439"/>
      <c r="I466" s="439"/>
      <c r="K466" s="439"/>
      <c r="L466" s="439"/>
    </row>
    <row r="467" spans="2:12">
      <c r="B467" s="88"/>
      <c r="C467" s="439"/>
      <c r="D467" s="439"/>
      <c r="E467" s="439"/>
      <c r="F467" s="439"/>
      <c r="G467" s="439"/>
      <c r="H467" s="439"/>
      <c r="I467" s="439"/>
      <c r="K467" s="439"/>
      <c r="L467" s="439"/>
    </row>
    <row r="468" spans="2:12">
      <c r="B468" s="88"/>
      <c r="C468" s="439"/>
      <c r="D468" s="439"/>
      <c r="E468" s="439"/>
      <c r="F468" s="439"/>
      <c r="G468" s="439"/>
      <c r="H468" s="439"/>
      <c r="I468" s="439"/>
      <c r="K468" s="439"/>
      <c r="L468" s="439"/>
    </row>
    <row r="469" spans="2:12">
      <c r="B469" s="88"/>
      <c r="C469" s="439"/>
      <c r="D469" s="439"/>
      <c r="E469" s="439"/>
      <c r="F469" s="439"/>
      <c r="G469" s="439"/>
      <c r="H469" s="439"/>
      <c r="I469" s="439"/>
      <c r="K469" s="439"/>
      <c r="L469" s="439"/>
    </row>
    <row r="470" spans="2:12">
      <c r="B470" s="88"/>
      <c r="C470" s="439"/>
      <c r="D470" s="439"/>
      <c r="E470" s="439"/>
      <c r="F470" s="439"/>
      <c r="G470" s="439"/>
      <c r="H470" s="439"/>
      <c r="I470" s="439"/>
      <c r="K470" s="439"/>
      <c r="L470" s="439"/>
    </row>
    <row r="471" spans="2:12">
      <c r="B471" s="88"/>
      <c r="C471" s="439"/>
      <c r="D471" s="439"/>
      <c r="E471" s="439"/>
      <c r="F471" s="439"/>
      <c r="G471" s="439"/>
      <c r="H471" s="439"/>
      <c r="I471" s="439"/>
      <c r="K471" s="439"/>
      <c r="L471" s="439"/>
    </row>
    <row r="472" spans="2:12">
      <c r="B472" s="88"/>
      <c r="C472" s="439"/>
      <c r="D472" s="439"/>
      <c r="E472" s="439"/>
      <c r="F472" s="439"/>
      <c r="G472" s="439"/>
      <c r="H472" s="439"/>
      <c r="I472" s="439"/>
      <c r="K472" s="439"/>
      <c r="L472" s="439"/>
    </row>
    <row r="473" spans="2:12">
      <c r="B473" s="88"/>
      <c r="C473" s="439"/>
      <c r="D473" s="439"/>
      <c r="E473" s="439"/>
      <c r="F473" s="439"/>
      <c r="G473" s="439"/>
      <c r="H473" s="439"/>
      <c r="I473" s="439"/>
      <c r="K473" s="439"/>
      <c r="L473" s="439"/>
    </row>
    <row r="474" spans="2:12">
      <c r="B474" s="88"/>
      <c r="C474" s="439"/>
      <c r="D474" s="439"/>
      <c r="E474" s="439"/>
      <c r="F474" s="439"/>
      <c r="G474" s="439"/>
      <c r="H474" s="439"/>
      <c r="I474" s="439"/>
      <c r="K474" s="439"/>
      <c r="L474" s="439"/>
    </row>
    <row r="475" spans="2:12">
      <c r="B475" s="88"/>
      <c r="C475" s="439"/>
      <c r="D475" s="439"/>
      <c r="E475" s="439"/>
      <c r="F475" s="439"/>
      <c r="G475" s="439"/>
      <c r="H475" s="439"/>
      <c r="I475" s="439"/>
      <c r="K475" s="439"/>
      <c r="L475" s="439"/>
    </row>
    <row r="476" spans="2:12">
      <c r="B476" s="88"/>
      <c r="C476" s="439"/>
      <c r="D476" s="439"/>
      <c r="E476" s="439"/>
      <c r="F476" s="439"/>
      <c r="G476" s="439"/>
      <c r="H476" s="439"/>
      <c r="I476" s="439"/>
      <c r="K476" s="439"/>
      <c r="L476" s="439"/>
    </row>
    <row r="477" spans="2:12">
      <c r="B477" s="88"/>
      <c r="C477" s="439"/>
      <c r="D477" s="439"/>
      <c r="E477" s="439"/>
      <c r="F477" s="439"/>
      <c r="G477" s="439"/>
      <c r="H477" s="439"/>
      <c r="I477" s="439"/>
      <c r="K477" s="439"/>
      <c r="L477" s="439"/>
    </row>
    <row r="478" spans="2:12">
      <c r="B478" s="88"/>
      <c r="C478" s="439"/>
      <c r="D478" s="439"/>
      <c r="E478" s="439"/>
      <c r="F478" s="439"/>
      <c r="G478" s="439"/>
      <c r="H478" s="439"/>
      <c r="I478" s="439"/>
      <c r="K478" s="439"/>
      <c r="L478" s="439"/>
    </row>
    <row r="479" spans="2:12">
      <c r="B479" s="88"/>
      <c r="C479" s="439"/>
      <c r="D479" s="439"/>
      <c r="E479" s="439"/>
      <c r="F479" s="439"/>
      <c r="G479" s="439"/>
      <c r="H479" s="439"/>
      <c r="I479" s="439"/>
      <c r="K479" s="439"/>
      <c r="L479" s="439"/>
    </row>
    <row r="480" spans="2:12">
      <c r="B480" s="88"/>
      <c r="C480" s="439"/>
      <c r="D480" s="439"/>
      <c r="E480" s="439"/>
      <c r="F480" s="439"/>
      <c r="G480" s="439"/>
      <c r="H480" s="439"/>
      <c r="I480" s="439"/>
      <c r="K480" s="439"/>
      <c r="L480" s="439"/>
    </row>
    <row r="481" spans="2:12">
      <c r="B481" s="88"/>
      <c r="C481" s="439"/>
      <c r="D481" s="439"/>
      <c r="E481" s="439"/>
      <c r="F481" s="439"/>
      <c r="G481" s="439"/>
      <c r="H481" s="439"/>
      <c r="I481" s="439"/>
      <c r="K481" s="439"/>
      <c r="L481" s="439"/>
    </row>
    <row r="482" spans="2:12">
      <c r="B482" s="88"/>
      <c r="C482" s="439"/>
      <c r="D482" s="439"/>
      <c r="E482" s="439"/>
      <c r="F482" s="439"/>
      <c r="G482" s="439"/>
      <c r="H482" s="439"/>
      <c r="I482" s="439"/>
      <c r="K482" s="439"/>
      <c r="L482" s="439"/>
    </row>
    <row r="483" spans="2:12">
      <c r="B483" s="88"/>
      <c r="C483" s="439"/>
      <c r="D483" s="439"/>
      <c r="E483" s="439"/>
      <c r="F483" s="439"/>
      <c r="G483" s="439"/>
      <c r="H483" s="439"/>
      <c r="I483" s="439"/>
      <c r="K483" s="439"/>
      <c r="L483" s="439"/>
    </row>
    <row r="484" spans="2:12">
      <c r="B484" s="88"/>
      <c r="C484" s="439"/>
      <c r="D484" s="439"/>
      <c r="E484" s="439"/>
      <c r="F484" s="439"/>
      <c r="G484" s="439"/>
      <c r="H484" s="439"/>
      <c r="I484" s="439"/>
      <c r="K484" s="439"/>
      <c r="L484" s="439"/>
    </row>
    <row r="485" spans="2:12">
      <c r="B485" s="88"/>
      <c r="C485" s="439"/>
      <c r="D485" s="439"/>
      <c r="E485" s="439"/>
      <c r="F485" s="439"/>
      <c r="G485" s="439"/>
      <c r="H485" s="439"/>
      <c r="I485" s="439"/>
      <c r="K485" s="439"/>
      <c r="L485" s="439"/>
    </row>
    <row r="486" spans="2:12">
      <c r="B486" s="88"/>
      <c r="C486" s="439"/>
      <c r="D486" s="439"/>
      <c r="E486" s="439"/>
      <c r="F486" s="439"/>
      <c r="G486" s="439"/>
      <c r="H486" s="439"/>
      <c r="I486" s="439"/>
      <c r="K486" s="439"/>
      <c r="L486" s="439"/>
    </row>
    <row r="487" spans="2:12">
      <c r="B487" s="88"/>
      <c r="C487" s="439"/>
      <c r="D487" s="439"/>
      <c r="E487" s="439"/>
      <c r="F487" s="439"/>
      <c r="G487" s="439"/>
      <c r="H487" s="439"/>
      <c r="I487" s="439"/>
      <c r="K487" s="439"/>
      <c r="L487" s="439"/>
    </row>
    <row r="488" spans="2:12">
      <c r="B488" s="88"/>
      <c r="C488" s="439"/>
      <c r="D488" s="439"/>
      <c r="E488" s="439"/>
      <c r="F488" s="439"/>
      <c r="G488" s="439"/>
      <c r="H488" s="439"/>
      <c r="I488" s="439"/>
      <c r="K488" s="439"/>
      <c r="L488" s="439"/>
    </row>
    <row r="489" spans="2:12">
      <c r="B489" s="88"/>
      <c r="C489" s="439"/>
      <c r="D489" s="439"/>
      <c r="E489" s="439"/>
      <c r="F489" s="439"/>
      <c r="G489" s="439"/>
      <c r="H489" s="439"/>
      <c r="I489" s="439"/>
      <c r="K489" s="439"/>
      <c r="L489" s="439"/>
    </row>
    <row r="490" spans="2:12">
      <c r="B490" s="88"/>
      <c r="C490" s="439"/>
      <c r="D490" s="439"/>
      <c r="E490" s="439"/>
      <c r="F490" s="439"/>
      <c r="G490" s="439"/>
      <c r="H490" s="439"/>
      <c r="I490" s="439"/>
      <c r="K490" s="439"/>
      <c r="L490" s="439"/>
    </row>
    <row r="491" spans="2:12">
      <c r="B491" s="88"/>
      <c r="C491" s="439"/>
      <c r="D491" s="439"/>
      <c r="E491" s="439"/>
      <c r="F491" s="439"/>
      <c r="G491" s="439"/>
      <c r="H491" s="439"/>
      <c r="I491" s="439"/>
      <c r="K491" s="439"/>
      <c r="L491" s="439"/>
    </row>
    <row r="492" spans="2:12">
      <c r="B492" s="88"/>
      <c r="C492" s="439"/>
      <c r="D492" s="439"/>
      <c r="E492" s="439"/>
      <c r="F492" s="439"/>
      <c r="G492" s="439"/>
      <c r="H492" s="439"/>
      <c r="I492" s="439"/>
      <c r="K492" s="439"/>
      <c r="L492" s="439"/>
    </row>
    <row r="493" spans="2:12">
      <c r="B493" s="88"/>
      <c r="C493" s="439"/>
      <c r="D493" s="439"/>
      <c r="E493" s="439"/>
      <c r="F493" s="439"/>
      <c r="G493" s="439"/>
      <c r="H493" s="439"/>
      <c r="I493" s="439"/>
      <c r="K493" s="439"/>
      <c r="L493" s="439"/>
    </row>
    <row r="494" spans="2:12">
      <c r="B494" s="88"/>
      <c r="C494" s="439"/>
      <c r="D494" s="439"/>
      <c r="E494" s="439"/>
      <c r="F494" s="439"/>
      <c r="G494" s="439"/>
      <c r="H494" s="439"/>
      <c r="I494" s="439"/>
      <c r="K494" s="439"/>
      <c r="L494" s="439"/>
    </row>
    <row r="495" spans="2:12">
      <c r="B495" s="88"/>
      <c r="C495" s="439"/>
      <c r="D495" s="439"/>
      <c r="E495" s="439"/>
      <c r="F495" s="439"/>
      <c r="G495" s="439"/>
      <c r="H495" s="439"/>
      <c r="I495" s="439"/>
      <c r="K495" s="439"/>
      <c r="L495" s="439"/>
    </row>
    <row r="496" spans="2:12">
      <c r="B496" s="88"/>
      <c r="C496" s="439"/>
      <c r="D496" s="439"/>
      <c r="E496" s="439"/>
      <c r="F496" s="439"/>
      <c r="G496" s="439"/>
      <c r="H496" s="439"/>
      <c r="I496" s="439"/>
      <c r="K496" s="439"/>
      <c r="L496" s="439"/>
    </row>
    <row r="497" spans="2:12">
      <c r="B497" s="88"/>
      <c r="C497" s="439"/>
      <c r="D497" s="439"/>
      <c r="E497" s="439"/>
      <c r="F497" s="439"/>
      <c r="G497" s="439"/>
      <c r="H497" s="439"/>
      <c r="I497" s="439"/>
      <c r="K497" s="439"/>
      <c r="L497" s="439"/>
    </row>
    <row r="498" spans="2:12">
      <c r="B498" s="88"/>
      <c r="C498" s="439"/>
      <c r="D498" s="439"/>
      <c r="E498" s="439"/>
      <c r="F498" s="439"/>
      <c r="G498" s="439"/>
      <c r="H498" s="439"/>
      <c r="I498" s="439"/>
      <c r="K498" s="439"/>
      <c r="L498" s="439"/>
    </row>
    <row r="499" spans="2:12">
      <c r="B499" s="88"/>
      <c r="C499" s="439"/>
      <c r="D499" s="439"/>
      <c r="E499" s="439"/>
      <c r="F499" s="439"/>
      <c r="G499" s="439"/>
      <c r="H499" s="439"/>
      <c r="I499" s="439"/>
      <c r="K499" s="439"/>
      <c r="L499" s="439"/>
    </row>
    <row r="500" spans="2:12">
      <c r="B500" s="88"/>
      <c r="C500" s="439"/>
      <c r="D500" s="439"/>
      <c r="E500" s="439"/>
      <c r="F500" s="439"/>
      <c r="G500" s="439"/>
      <c r="H500" s="439"/>
      <c r="I500" s="439"/>
      <c r="K500" s="439"/>
      <c r="L500" s="439"/>
    </row>
    <row r="501" spans="2:12">
      <c r="B501" s="88"/>
      <c r="C501" s="439"/>
      <c r="D501" s="439"/>
      <c r="E501" s="439"/>
      <c r="F501" s="439"/>
      <c r="G501" s="439"/>
      <c r="H501" s="439"/>
      <c r="I501" s="439"/>
      <c r="K501" s="439"/>
      <c r="L501" s="439"/>
    </row>
    <row r="502" spans="2:12">
      <c r="B502" s="88"/>
      <c r="C502" s="439"/>
      <c r="D502" s="439"/>
      <c r="E502" s="439"/>
      <c r="F502" s="439"/>
      <c r="G502" s="439"/>
      <c r="H502" s="439"/>
      <c r="I502" s="439"/>
      <c r="K502" s="439"/>
      <c r="L502" s="439"/>
    </row>
    <row r="503" spans="2:12">
      <c r="B503" s="88"/>
      <c r="C503" s="439"/>
      <c r="D503" s="439"/>
      <c r="E503" s="439"/>
      <c r="F503" s="439"/>
      <c r="G503" s="439"/>
      <c r="H503" s="439"/>
      <c r="I503" s="439"/>
      <c r="K503" s="439"/>
      <c r="L503" s="439"/>
    </row>
    <row r="504" spans="2:12">
      <c r="B504" s="88"/>
      <c r="C504" s="439"/>
      <c r="D504" s="439"/>
      <c r="E504" s="439"/>
      <c r="F504" s="439"/>
      <c r="G504" s="439"/>
      <c r="H504" s="439"/>
      <c r="I504" s="439"/>
      <c r="K504" s="439"/>
      <c r="L504" s="439"/>
    </row>
    <row r="505" spans="2:12">
      <c r="B505" s="88"/>
      <c r="C505" s="439"/>
      <c r="D505" s="439"/>
      <c r="E505" s="439"/>
      <c r="F505" s="439"/>
      <c r="G505" s="439"/>
      <c r="H505" s="439"/>
      <c r="I505" s="439"/>
      <c r="K505" s="439"/>
      <c r="L505" s="439"/>
    </row>
    <row r="506" spans="2:12">
      <c r="B506" s="88"/>
      <c r="C506" s="439"/>
      <c r="D506" s="439"/>
      <c r="E506" s="439"/>
      <c r="F506" s="439"/>
      <c r="G506" s="439"/>
      <c r="H506" s="439"/>
      <c r="I506" s="439"/>
      <c r="K506" s="439"/>
      <c r="L506" s="439"/>
    </row>
    <row r="507" spans="2:12">
      <c r="B507" s="88"/>
      <c r="C507" s="439"/>
      <c r="D507" s="439"/>
      <c r="E507" s="439"/>
      <c r="F507" s="439"/>
      <c r="G507" s="439"/>
      <c r="H507" s="439"/>
      <c r="I507" s="439"/>
      <c r="K507" s="439"/>
      <c r="L507" s="439"/>
    </row>
    <row r="508" spans="2:12">
      <c r="B508" s="88"/>
      <c r="C508" s="439"/>
      <c r="D508" s="439"/>
      <c r="E508" s="439"/>
      <c r="F508" s="439"/>
      <c r="G508" s="439"/>
      <c r="H508" s="439"/>
      <c r="I508" s="439"/>
      <c r="K508" s="439"/>
      <c r="L508" s="439"/>
    </row>
    <row r="509" spans="2:12">
      <c r="B509" s="88"/>
      <c r="C509" s="439"/>
      <c r="D509" s="439"/>
      <c r="E509" s="439"/>
      <c r="F509" s="439"/>
      <c r="G509" s="439"/>
      <c r="H509" s="439"/>
      <c r="I509" s="439"/>
      <c r="K509" s="439"/>
      <c r="L509" s="439"/>
    </row>
    <row r="510" spans="2:12">
      <c r="B510" s="88"/>
      <c r="C510" s="439"/>
      <c r="D510" s="439"/>
      <c r="E510" s="439"/>
      <c r="F510" s="439"/>
      <c r="G510" s="439"/>
      <c r="H510" s="439"/>
      <c r="I510" s="439"/>
      <c r="K510" s="439"/>
      <c r="L510" s="439"/>
    </row>
    <row r="511" spans="2:12">
      <c r="B511" s="88"/>
      <c r="C511" s="439"/>
      <c r="D511" s="439"/>
      <c r="E511" s="439"/>
      <c r="F511" s="439"/>
      <c r="G511" s="439"/>
      <c r="H511" s="439"/>
      <c r="I511" s="439"/>
      <c r="K511" s="439"/>
      <c r="L511" s="439"/>
    </row>
    <row r="512" spans="2:12">
      <c r="B512" s="88"/>
      <c r="C512" s="439"/>
      <c r="D512" s="439"/>
      <c r="E512" s="439"/>
      <c r="F512" s="439"/>
      <c r="G512" s="439"/>
      <c r="H512" s="439"/>
      <c r="I512" s="439"/>
      <c r="K512" s="439"/>
      <c r="L512" s="439"/>
    </row>
    <row r="513" spans="2:12">
      <c r="B513" s="88"/>
      <c r="C513" s="439"/>
      <c r="D513" s="439"/>
      <c r="E513" s="439"/>
      <c r="F513" s="439"/>
      <c r="G513" s="439"/>
      <c r="H513" s="439"/>
      <c r="I513" s="439"/>
      <c r="K513" s="439"/>
      <c r="L513" s="439"/>
    </row>
    <row r="514" spans="2:12">
      <c r="B514" s="88"/>
      <c r="C514" s="439"/>
      <c r="D514" s="439"/>
      <c r="E514" s="439"/>
      <c r="F514" s="439"/>
      <c r="G514" s="439"/>
      <c r="H514" s="439"/>
      <c r="I514" s="439"/>
      <c r="K514" s="439"/>
      <c r="L514" s="439"/>
    </row>
    <row r="515" spans="2:12">
      <c r="B515" s="88"/>
      <c r="C515" s="439"/>
      <c r="D515" s="439"/>
      <c r="E515" s="439"/>
      <c r="F515" s="439"/>
      <c r="G515" s="439"/>
      <c r="H515" s="439"/>
      <c r="I515" s="439"/>
      <c r="K515" s="439"/>
      <c r="L515" s="439"/>
    </row>
    <row r="516" spans="2:12">
      <c r="B516" s="88"/>
      <c r="C516" s="439"/>
      <c r="D516" s="439"/>
      <c r="E516" s="439"/>
      <c r="F516" s="439"/>
      <c r="G516" s="439"/>
      <c r="H516" s="439"/>
      <c r="I516" s="439"/>
      <c r="K516" s="439"/>
      <c r="L516" s="439"/>
    </row>
    <row r="517" spans="2:12">
      <c r="B517" s="88"/>
      <c r="C517" s="439"/>
      <c r="D517" s="439"/>
      <c r="E517" s="439"/>
      <c r="F517" s="439"/>
      <c r="G517" s="439"/>
      <c r="H517" s="439"/>
      <c r="I517" s="439"/>
      <c r="K517" s="439"/>
      <c r="L517" s="439"/>
    </row>
    <row r="518" spans="2:12">
      <c r="B518" s="88"/>
      <c r="C518" s="439"/>
      <c r="D518" s="439"/>
      <c r="E518" s="439"/>
      <c r="F518" s="439"/>
      <c r="G518" s="439"/>
      <c r="H518" s="439"/>
      <c r="I518" s="439"/>
      <c r="K518" s="439"/>
      <c r="L518" s="439"/>
    </row>
    <row r="519" spans="2:12">
      <c r="B519" s="88"/>
      <c r="C519" s="439"/>
      <c r="D519" s="439"/>
      <c r="E519" s="439"/>
      <c r="F519" s="439"/>
      <c r="G519" s="439"/>
      <c r="H519" s="439"/>
      <c r="I519" s="439"/>
      <c r="K519" s="439"/>
      <c r="L519" s="439"/>
    </row>
    <row r="520" spans="2:12">
      <c r="B520" s="88"/>
      <c r="C520" s="439"/>
      <c r="D520" s="439"/>
      <c r="E520" s="439"/>
      <c r="F520" s="439"/>
      <c r="G520" s="439"/>
      <c r="H520" s="439"/>
      <c r="I520" s="439"/>
      <c r="K520" s="439"/>
      <c r="L520" s="439"/>
    </row>
    <row r="521" spans="2:12">
      <c r="B521" s="88"/>
      <c r="C521" s="439"/>
      <c r="D521" s="439"/>
      <c r="E521" s="439"/>
      <c r="F521" s="439"/>
      <c r="G521" s="439"/>
      <c r="H521" s="439"/>
      <c r="I521" s="439"/>
      <c r="K521" s="439"/>
      <c r="L521" s="439"/>
    </row>
    <row r="522" spans="2:12">
      <c r="B522" s="88"/>
      <c r="C522" s="439"/>
      <c r="D522" s="439"/>
      <c r="E522" s="439"/>
      <c r="F522" s="439"/>
      <c r="G522" s="439"/>
      <c r="H522" s="439"/>
      <c r="I522" s="439"/>
      <c r="K522" s="439"/>
      <c r="L522" s="439"/>
    </row>
    <row r="523" spans="2:12">
      <c r="B523" s="88"/>
      <c r="C523" s="439"/>
      <c r="D523" s="439"/>
      <c r="E523" s="439"/>
      <c r="F523" s="439"/>
      <c r="G523" s="439"/>
      <c r="H523" s="439"/>
      <c r="I523" s="439"/>
      <c r="K523" s="439"/>
      <c r="L523" s="439"/>
    </row>
    <row r="524" spans="2:12">
      <c r="B524" s="88"/>
      <c r="C524" s="439"/>
      <c r="D524" s="439"/>
      <c r="E524" s="439"/>
      <c r="F524" s="439"/>
      <c r="G524" s="439"/>
      <c r="H524" s="439"/>
      <c r="I524" s="439"/>
      <c r="K524" s="439"/>
      <c r="L524" s="439"/>
    </row>
    <row r="525" spans="2:12">
      <c r="B525" s="88"/>
      <c r="C525" s="439"/>
      <c r="D525" s="439"/>
      <c r="E525" s="439"/>
      <c r="F525" s="439"/>
      <c r="G525" s="439"/>
      <c r="H525" s="439"/>
      <c r="I525" s="439"/>
      <c r="K525" s="439"/>
      <c r="L525" s="439"/>
    </row>
    <row r="526" spans="2:12">
      <c r="B526" s="88"/>
      <c r="C526" s="439"/>
      <c r="D526" s="439"/>
      <c r="E526" s="439"/>
      <c r="F526" s="439"/>
      <c r="G526" s="439"/>
      <c r="H526" s="439"/>
      <c r="I526" s="439"/>
      <c r="K526" s="439"/>
      <c r="L526" s="439"/>
    </row>
    <row r="527" spans="2:12">
      <c r="B527" s="88"/>
      <c r="C527" s="439"/>
      <c r="D527" s="439"/>
      <c r="E527" s="439"/>
      <c r="F527" s="439"/>
      <c r="G527" s="439"/>
      <c r="H527" s="439"/>
      <c r="I527" s="439"/>
      <c r="K527" s="439"/>
      <c r="L527" s="439"/>
    </row>
    <row r="528" spans="2:12">
      <c r="B528" s="88"/>
      <c r="C528" s="439"/>
      <c r="D528" s="439"/>
      <c r="E528" s="439"/>
      <c r="F528" s="439"/>
      <c r="G528" s="439"/>
      <c r="H528" s="439"/>
      <c r="I528" s="439"/>
      <c r="K528" s="439"/>
      <c r="L528" s="439"/>
    </row>
    <row r="529" spans="2:12">
      <c r="B529" s="88"/>
      <c r="C529" s="439"/>
      <c r="D529" s="439"/>
      <c r="E529" s="439"/>
      <c r="F529" s="439"/>
      <c r="G529" s="439"/>
      <c r="H529" s="439"/>
      <c r="I529" s="439"/>
      <c r="K529" s="439"/>
      <c r="L529" s="439"/>
    </row>
    <row r="530" spans="2:12">
      <c r="B530" s="88"/>
      <c r="C530" s="439"/>
      <c r="D530" s="439"/>
      <c r="E530" s="439"/>
      <c r="F530" s="439"/>
      <c r="G530" s="439"/>
      <c r="H530" s="439"/>
      <c r="I530" s="439"/>
      <c r="K530" s="439"/>
      <c r="L530" s="439"/>
    </row>
    <row r="531" spans="2:12">
      <c r="B531" s="88"/>
      <c r="C531" s="439"/>
      <c r="D531" s="439"/>
      <c r="E531" s="439"/>
      <c r="F531" s="439"/>
      <c r="G531" s="439"/>
      <c r="H531" s="439"/>
      <c r="I531" s="439"/>
      <c r="K531" s="439"/>
      <c r="L531" s="439"/>
    </row>
    <row r="532" spans="2:12">
      <c r="B532" s="88"/>
      <c r="C532" s="439"/>
      <c r="D532" s="439"/>
      <c r="E532" s="439"/>
      <c r="F532" s="439"/>
      <c r="G532" s="439"/>
      <c r="H532" s="439"/>
      <c r="I532" s="439"/>
      <c r="K532" s="439"/>
      <c r="L532" s="439"/>
    </row>
    <row r="533" spans="2:12">
      <c r="B533" s="88"/>
      <c r="C533" s="439"/>
      <c r="D533" s="439"/>
      <c r="E533" s="439"/>
      <c r="F533" s="439"/>
      <c r="G533" s="439"/>
      <c r="H533" s="439"/>
      <c r="I533" s="439"/>
      <c r="K533" s="439"/>
      <c r="L533" s="439"/>
    </row>
    <row r="534" spans="2:12">
      <c r="B534" s="88"/>
      <c r="C534" s="439"/>
      <c r="D534" s="439"/>
      <c r="E534" s="439"/>
      <c r="F534" s="439"/>
      <c r="G534" s="439"/>
      <c r="H534" s="439"/>
      <c r="I534" s="439"/>
      <c r="K534" s="439"/>
      <c r="L534" s="439"/>
    </row>
    <row r="535" spans="2:12">
      <c r="B535" s="88"/>
      <c r="C535" s="439"/>
      <c r="D535" s="439"/>
      <c r="E535" s="439"/>
      <c r="F535" s="439"/>
      <c r="G535" s="439"/>
      <c r="H535" s="439"/>
      <c r="I535" s="439"/>
      <c r="K535" s="439"/>
      <c r="L535" s="439"/>
    </row>
    <row r="536" spans="2:12">
      <c r="B536" s="88"/>
      <c r="C536" s="439"/>
      <c r="D536" s="439"/>
      <c r="E536" s="439"/>
      <c r="F536" s="439"/>
      <c r="G536" s="439"/>
      <c r="H536" s="439"/>
      <c r="I536" s="439"/>
      <c r="K536" s="439"/>
      <c r="L536" s="439"/>
    </row>
    <row r="537" spans="2:12">
      <c r="B537" s="88"/>
      <c r="C537" s="439"/>
      <c r="D537" s="439"/>
      <c r="E537" s="439"/>
      <c r="F537" s="439"/>
      <c r="G537" s="439"/>
      <c r="H537" s="439"/>
      <c r="I537" s="439"/>
      <c r="K537" s="439"/>
      <c r="L537" s="439"/>
    </row>
    <row r="538" spans="2:12">
      <c r="B538" s="88"/>
      <c r="C538" s="439"/>
      <c r="D538" s="439"/>
      <c r="E538" s="439"/>
      <c r="F538" s="439"/>
      <c r="G538" s="439"/>
      <c r="H538" s="439"/>
      <c r="I538" s="439"/>
      <c r="K538" s="439"/>
      <c r="L538" s="439"/>
    </row>
    <row r="539" spans="2:12">
      <c r="B539" s="88"/>
      <c r="C539" s="439"/>
      <c r="D539" s="439"/>
      <c r="E539" s="439"/>
      <c r="F539" s="439"/>
      <c r="G539" s="439"/>
      <c r="H539" s="439"/>
      <c r="I539" s="439"/>
      <c r="K539" s="439"/>
      <c r="L539" s="439"/>
    </row>
    <row r="540" spans="2:12">
      <c r="B540" s="88"/>
      <c r="C540" s="439"/>
      <c r="D540" s="439"/>
      <c r="E540" s="439"/>
      <c r="F540" s="439"/>
      <c r="G540" s="439"/>
      <c r="H540" s="439"/>
      <c r="I540" s="439"/>
      <c r="K540" s="439"/>
      <c r="L540" s="439"/>
    </row>
    <row r="541" spans="2:12">
      <c r="B541" s="88"/>
      <c r="C541" s="439"/>
      <c r="D541" s="439"/>
      <c r="E541" s="439"/>
      <c r="F541" s="439"/>
      <c r="G541" s="439"/>
      <c r="H541" s="439"/>
      <c r="I541" s="439"/>
      <c r="K541" s="439"/>
      <c r="L541" s="439"/>
    </row>
    <row r="542" spans="2:12">
      <c r="B542" s="88"/>
      <c r="C542" s="439"/>
      <c r="D542" s="439"/>
      <c r="E542" s="439"/>
      <c r="F542" s="439"/>
      <c r="G542" s="439"/>
      <c r="H542" s="439"/>
      <c r="I542" s="439"/>
      <c r="K542" s="439"/>
      <c r="L542" s="439"/>
    </row>
    <row r="543" spans="2:12">
      <c r="B543" s="88"/>
      <c r="C543" s="439"/>
      <c r="D543" s="439"/>
      <c r="E543" s="439"/>
      <c r="F543" s="439"/>
      <c r="G543" s="439"/>
      <c r="H543" s="439"/>
      <c r="I543" s="439"/>
      <c r="K543" s="439"/>
      <c r="L543" s="439"/>
    </row>
    <row r="544" spans="2:12">
      <c r="B544" s="88"/>
      <c r="C544" s="439"/>
      <c r="D544" s="439"/>
      <c r="E544" s="439"/>
      <c r="F544" s="439"/>
      <c r="G544" s="439"/>
      <c r="H544" s="439"/>
      <c r="I544" s="439"/>
      <c r="K544" s="439"/>
      <c r="L544" s="439"/>
    </row>
    <row r="545" spans="2:12">
      <c r="B545" s="88"/>
      <c r="C545" s="439"/>
      <c r="D545" s="439"/>
      <c r="E545" s="439"/>
      <c r="F545" s="439"/>
      <c r="G545" s="439"/>
      <c r="H545" s="439"/>
      <c r="I545" s="439"/>
      <c r="K545" s="439"/>
      <c r="L545" s="439"/>
    </row>
    <row r="546" spans="2:12">
      <c r="B546" s="88"/>
      <c r="C546" s="439"/>
      <c r="D546" s="439"/>
      <c r="E546" s="439"/>
      <c r="F546" s="439"/>
      <c r="G546" s="439"/>
      <c r="H546" s="439"/>
      <c r="I546" s="439"/>
      <c r="K546" s="439"/>
      <c r="L546" s="439"/>
    </row>
    <row r="547" spans="2:12">
      <c r="B547" s="88"/>
      <c r="C547" s="439"/>
      <c r="D547" s="439"/>
      <c r="E547" s="439"/>
      <c r="F547" s="439"/>
      <c r="G547" s="439"/>
      <c r="H547" s="439"/>
      <c r="I547" s="439"/>
      <c r="K547" s="439"/>
      <c r="L547" s="439"/>
    </row>
    <row r="548" spans="2:12">
      <c r="B548" s="88"/>
      <c r="C548" s="439"/>
      <c r="D548" s="439"/>
      <c r="E548" s="439"/>
      <c r="F548" s="439"/>
      <c r="G548" s="439"/>
      <c r="H548" s="439"/>
      <c r="I548" s="439"/>
      <c r="K548" s="439"/>
      <c r="L548" s="439"/>
    </row>
    <row r="549" spans="2:12">
      <c r="B549" s="88"/>
      <c r="C549" s="439"/>
      <c r="D549" s="439"/>
      <c r="E549" s="439"/>
      <c r="F549" s="439"/>
      <c r="G549" s="439"/>
      <c r="H549" s="439"/>
      <c r="I549" s="439"/>
      <c r="K549" s="439"/>
      <c r="L549" s="439"/>
    </row>
    <row r="550" spans="2:12">
      <c r="B550" s="88"/>
      <c r="C550" s="439"/>
      <c r="D550" s="439"/>
      <c r="E550" s="439"/>
      <c r="F550" s="439"/>
      <c r="G550" s="439"/>
      <c r="H550" s="439"/>
      <c r="I550" s="439"/>
      <c r="K550" s="439"/>
      <c r="L550" s="439"/>
    </row>
    <row r="551" spans="2:12">
      <c r="B551" s="88"/>
      <c r="C551" s="439"/>
      <c r="D551" s="439"/>
      <c r="E551" s="439"/>
      <c r="F551" s="439"/>
      <c r="G551" s="439"/>
      <c r="H551" s="439"/>
      <c r="I551" s="439"/>
      <c r="K551" s="439"/>
      <c r="L551" s="439"/>
    </row>
    <row r="552" spans="2:12">
      <c r="B552" s="88"/>
      <c r="C552" s="439"/>
      <c r="D552" s="439"/>
      <c r="E552" s="439"/>
      <c r="F552" s="439"/>
      <c r="G552" s="439"/>
      <c r="H552" s="439"/>
      <c r="I552" s="439"/>
      <c r="K552" s="439"/>
      <c r="L552" s="439"/>
    </row>
    <row r="553" spans="2:12">
      <c r="B553" s="88"/>
      <c r="C553" s="439"/>
      <c r="D553" s="439"/>
      <c r="E553" s="439"/>
      <c r="F553" s="439"/>
      <c r="G553" s="439"/>
      <c r="H553" s="439"/>
      <c r="I553" s="439"/>
      <c r="K553" s="439"/>
      <c r="L553" s="439"/>
    </row>
    <row r="554" spans="2:12">
      <c r="B554" s="88"/>
      <c r="C554" s="439"/>
      <c r="D554" s="439"/>
      <c r="E554" s="439"/>
      <c r="F554" s="439"/>
      <c r="G554" s="439"/>
      <c r="H554" s="439"/>
      <c r="I554" s="439"/>
      <c r="K554" s="439"/>
      <c r="L554" s="439"/>
    </row>
    <row r="555" spans="2:12">
      <c r="B555" s="88"/>
      <c r="C555" s="439"/>
      <c r="D555" s="439"/>
      <c r="E555" s="439"/>
      <c r="F555" s="439"/>
      <c r="G555" s="439"/>
      <c r="H555" s="439"/>
      <c r="I555" s="439"/>
      <c r="K555" s="439"/>
      <c r="L555" s="439"/>
    </row>
    <row r="556" spans="2:12">
      <c r="B556" s="88"/>
      <c r="C556" s="439"/>
      <c r="D556" s="439"/>
      <c r="E556" s="439"/>
      <c r="F556" s="439"/>
      <c r="G556" s="439"/>
      <c r="H556" s="439"/>
      <c r="I556" s="439"/>
      <c r="K556" s="439"/>
      <c r="L556" s="439"/>
    </row>
    <row r="557" spans="2:12">
      <c r="B557" s="88"/>
      <c r="C557" s="439"/>
      <c r="D557" s="439"/>
      <c r="E557" s="439"/>
      <c r="F557" s="439"/>
      <c r="G557" s="439"/>
      <c r="H557" s="439"/>
      <c r="I557" s="439"/>
      <c r="K557" s="439"/>
      <c r="L557" s="439"/>
    </row>
    <row r="558" spans="2:12">
      <c r="B558" s="88"/>
      <c r="C558" s="439"/>
      <c r="D558" s="439"/>
      <c r="E558" s="439"/>
      <c r="F558" s="439"/>
      <c r="G558" s="439"/>
      <c r="H558" s="439"/>
      <c r="I558" s="439"/>
      <c r="K558" s="439"/>
      <c r="L558" s="439"/>
    </row>
    <row r="559" spans="2:12">
      <c r="B559" s="88"/>
      <c r="C559" s="439"/>
      <c r="D559" s="439"/>
      <c r="E559" s="439"/>
      <c r="F559" s="439"/>
      <c r="G559" s="439"/>
      <c r="H559" s="439"/>
      <c r="I559" s="439"/>
      <c r="K559" s="439"/>
      <c r="L559" s="439"/>
    </row>
    <row r="560" spans="2:12">
      <c r="B560" s="88"/>
      <c r="C560" s="439"/>
      <c r="D560" s="439"/>
      <c r="E560" s="439"/>
      <c r="F560" s="439"/>
      <c r="G560" s="439"/>
      <c r="H560" s="439"/>
      <c r="I560" s="439"/>
      <c r="K560" s="439"/>
      <c r="L560" s="439"/>
    </row>
    <row r="561" spans="2:12">
      <c r="B561" s="88"/>
      <c r="C561" s="439"/>
      <c r="D561" s="439"/>
      <c r="E561" s="439"/>
      <c r="F561" s="439"/>
      <c r="G561" s="439"/>
      <c r="H561" s="439"/>
      <c r="I561" s="439"/>
      <c r="K561" s="439"/>
      <c r="L561" s="439"/>
    </row>
    <row r="562" spans="2:12">
      <c r="B562" s="88"/>
      <c r="C562" s="439"/>
      <c r="D562" s="439"/>
      <c r="E562" s="439"/>
      <c r="F562" s="439"/>
      <c r="G562" s="439"/>
      <c r="H562" s="439"/>
      <c r="I562" s="439"/>
      <c r="K562" s="439"/>
      <c r="L562" s="439"/>
    </row>
    <row r="563" spans="2:12">
      <c r="B563" s="88"/>
      <c r="C563" s="439"/>
      <c r="D563" s="439"/>
      <c r="E563" s="439"/>
      <c r="F563" s="439"/>
      <c r="G563" s="439"/>
      <c r="H563" s="439"/>
      <c r="I563" s="439"/>
      <c r="K563" s="439"/>
      <c r="L563" s="439"/>
    </row>
    <row r="564" spans="2:12">
      <c r="B564" s="88"/>
      <c r="C564" s="439"/>
      <c r="D564" s="439"/>
      <c r="E564" s="439"/>
      <c r="F564" s="439"/>
      <c r="G564" s="439"/>
      <c r="H564" s="439"/>
      <c r="I564" s="439"/>
      <c r="K564" s="439"/>
      <c r="L564" s="439"/>
    </row>
    <row r="565" spans="2:12">
      <c r="B565" s="88"/>
      <c r="C565" s="439"/>
      <c r="D565" s="439"/>
      <c r="E565" s="439"/>
      <c r="F565" s="439"/>
      <c r="G565" s="439"/>
      <c r="H565" s="439"/>
      <c r="I565" s="439"/>
      <c r="K565" s="439"/>
      <c r="L565" s="439"/>
    </row>
    <row r="566" spans="2:12">
      <c r="B566" s="88"/>
      <c r="C566" s="439"/>
      <c r="D566" s="439"/>
      <c r="E566" s="439"/>
      <c r="F566" s="439"/>
      <c r="G566" s="439"/>
      <c r="H566" s="439"/>
      <c r="I566" s="439"/>
      <c r="K566" s="439"/>
      <c r="L566" s="439"/>
    </row>
    <row r="567" spans="2:12">
      <c r="B567" s="88"/>
      <c r="C567" s="439"/>
      <c r="D567" s="439"/>
      <c r="E567" s="439"/>
      <c r="F567" s="439"/>
      <c r="G567" s="439"/>
      <c r="H567" s="439"/>
      <c r="I567" s="439"/>
      <c r="K567" s="439"/>
      <c r="L567" s="439"/>
    </row>
    <row r="568" spans="2:12">
      <c r="B568" s="88"/>
      <c r="C568" s="439"/>
      <c r="D568" s="439"/>
      <c r="E568" s="439"/>
      <c r="F568" s="439"/>
      <c r="G568" s="439"/>
      <c r="H568" s="439"/>
      <c r="I568" s="439"/>
      <c r="K568" s="439"/>
      <c r="L568" s="439"/>
    </row>
    <row r="569" spans="2:12">
      <c r="B569" s="88"/>
      <c r="C569" s="439"/>
      <c r="D569" s="439"/>
      <c r="E569" s="439"/>
      <c r="F569" s="439"/>
      <c r="G569" s="439"/>
      <c r="H569" s="439"/>
      <c r="I569" s="439"/>
      <c r="K569" s="439"/>
      <c r="L569" s="439"/>
    </row>
    <row r="570" spans="2:12">
      <c r="B570" s="88"/>
      <c r="C570" s="439"/>
      <c r="D570" s="439"/>
      <c r="E570" s="439"/>
      <c r="F570" s="439"/>
      <c r="G570" s="439"/>
      <c r="H570" s="439"/>
      <c r="I570" s="439"/>
      <c r="K570" s="439"/>
      <c r="L570" s="439"/>
    </row>
    <row r="571" spans="2:12">
      <c r="B571" s="88"/>
      <c r="C571" s="439"/>
      <c r="D571" s="439"/>
      <c r="E571" s="439"/>
      <c r="F571" s="439"/>
      <c r="G571" s="439"/>
      <c r="H571" s="439"/>
      <c r="I571" s="439"/>
      <c r="K571" s="439"/>
      <c r="L571" s="439"/>
    </row>
    <row r="572" spans="2:12">
      <c r="B572" s="88"/>
      <c r="C572" s="439"/>
      <c r="D572" s="439"/>
      <c r="E572" s="439"/>
      <c r="F572" s="439"/>
      <c r="G572" s="439"/>
      <c r="H572" s="439"/>
      <c r="I572" s="439"/>
      <c r="K572" s="439"/>
      <c r="L572" s="439"/>
    </row>
    <row r="573" spans="2:12">
      <c r="B573" s="88"/>
      <c r="C573" s="439"/>
      <c r="D573" s="439"/>
      <c r="E573" s="439"/>
      <c r="F573" s="439"/>
      <c r="G573" s="439"/>
      <c r="H573" s="439"/>
      <c r="I573" s="439"/>
      <c r="K573" s="439"/>
      <c r="L573" s="439"/>
    </row>
    <row r="574" spans="2:12">
      <c r="B574" s="88"/>
      <c r="C574" s="439"/>
      <c r="D574" s="439"/>
      <c r="E574" s="439"/>
      <c r="F574" s="439"/>
      <c r="G574" s="439"/>
      <c r="H574" s="439"/>
      <c r="I574" s="439"/>
      <c r="K574" s="439"/>
      <c r="L574" s="439"/>
    </row>
    <row r="575" spans="2:12">
      <c r="B575" s="88"/>
      <c r="C575" s="439"/>
      <c r="D575" s="439"/>
      <c r="E575" s="439"/>
      <c r="F575" s="439"/>
      <c r="G575" s="439"/>
      <c r="H575" s="439"/>
      <c r="I575" s="439"/>
      <c r="K575" s="439"/>
      <c r="L575" s="439"/>
    </row>
    <row r="576" spans="2:12">
      <c r="B576" s="88"/>
      <c r="C576" s="439"/>
      <c r="D576" s="439"/>
      <c r="E576" s="439"/>
      <c r="F576" s="439"/>
      <c r="G576" s="439"/>
      <c r="H576" s="439"/>
      <c r="I576" s="439"/>
      <c r="K576" s="439"/>
      <c r="L576" s="439"/>
    </row>
    <row r="577" spans="2:12">
      <c r="B577" s="88"/>
      <c r="C577" s="439"/>
      <c r="D577" s="439"/>
      <c r="E577" s="439"/>
      <c r="F577" s="439"/>
      <c r="G577" s="439"/>
      <c r="H577" s="439"/>
      <c r="I577" s="439"/>
      <c r="K577" s="439"/>
      <c r="L577" s="439"/>
    </row>
    <row r="578" spans="2:12">
      <c r="B578" s="88"/>
      <c r="C578" s="439"/>
      <c r="D578" s="439"/>
      <c r="E578" s="439"/>
      <c r="F578" s="439"/>
      <c r="G578" s="439"/>
      <c r="H578" s="439"/>
      <c r="I578" s="439"/>
      <c r="K578" s="439"/>
      <c r="L578" s="439"/>
    </row>
    <row r="579" spans="2:12">
      <c r="B579" s="88"/>
      <c r="C579" s="439"/>
      <c r="D579" s="439"/>
      <c r="E579" s="439"/>
      <c r="F579" s="439"/>
      <c r="G579" s="439"/>
      <c r="H579" s="439"/>
      <c r="I579" s="439"/>
      <c r="K579" s="439"/>
      <c r="L579" s="439"/>
    </row>
    <row r="580" spans="2:12">
      <c r="B580" s="88"/>
      <c r="C580" s="439"/>
      <c r="D580" s="439"/>
      <c r="E580" s="439"/>
      <c r="F580" s="439"/>
      <c r="G580" s="439"/>
      <c r="H580" s="439"/>
      <c r="I580" s="439"/>
      <c r="K580" s="439"/>
      <c r="L580" s="439"/>
    </row>
    <row r="581" spans="2:12">
      <c r="B581" s="88"/>
      <c r="C581" s="439"/>
      <c r="D581" s="439"/>
      <c r="E581" s="439"/>
      <c r="F581" s="439"/>
      <c r="G581" s="439"/>
      <c r="H581" s="439"/>
      <c r="I581" s="439"/>
      <c r="K581" s="439"/>
      <c r="L581" s="439"/>
    </row>
    <row r="582" spans="2:12">
      <c r="B582" s="88"/>
      <c r="C582" s="439"/>
      <c r="D582" s="439"/>
      <c r="E582" s="439"/>
      <c r="F582" s="439"/>
      <c r="G582" s="439"/>
      <c r="H582" s="439"/>
      <c r="I582" s="439"/>
      <c r="K582" s="439"/>
      <c r="L582" s="439"/>
    </row>
    <row r="583" spans="2:12">
      <c r="B583" s="88"/>
      <c r="C583" s="439"/>
      <c r="D583" s="439"/>
      <c r="E583" s="439"/>
      <c r="F583" s="439"/>
      <c r="G583" s="439"/>
      <c r="H583" s="439"/>
      <c r="I583" s="439"/>
      <c r="K583" s="439"/>
      <c r="L583" s="439"/>
    </row>
    <row r="584" spans="2:12">
      <c r="B584" s="88"/>
      <c r="C584" s="439"/>
      <c r="D584" s="439"/>
      <c r="E584" s="439"/>
      <c r="F584" s="439"/>
      <c r="G584" s="439"/>
      <c r="H584" s="439"/>
      <c r="I584" s="439"/>
      <c r="K584" s="439"/>
      <c r="L584" s="439"/>
    </row>
    <row r="585" spans="2:12">
      <c r="B585" s="88"/>
      <c r="C585" s="439"/>
      <c r="D585" s="439"/>
      <c r="E585" s="439"/>
      <c r="F585" s="439"/>
      <c r="G585" s="439"/>
      <c r="H585" s="439"/>
      <c r="I585" s="439"/>
      <c r="K585" s="439"/>
      <c r="L585" s="439"/>
    </row>
    <row r="586" spans="2:12">
      <c r="B586" s="88"/>
      <c r="C586" s="439"/>
      <c r="D586" s="439"/>
      <c r="E586" s="439"/>
      <c r="F586" s="439"/>
      <c r="G586" s="439"/>
      <c r="H586" s="439"/>
      <c r="I586" s="439"/>
      <c r="K586" s="439"/>
      <c r="L586" s="439"/>
    </row>
    <row r="587" spans="2:12">
      <c r="B587" s="88"/>
      <c r="C587" s="439"/>
      <c r="D587" s="439"/>
      <c r="E587" s="439"/>
      <c r="F587" s="439"/>
      <c r="G587" s="439"/>
      <c r="H587" s="439"/>
      <c r="I587" s="439"/>
      <c r="K587" s="439"/>
      <c r="L587" s="439"/>
    </row>
    <row r="588" spans="2:12">
      <c r="B588" s="88"/>
      <c r="C588" s="439"/>
      <c r="D588" s="439"/>
      <c r="E588" s="439"/>
      <c r="F588" s="439"/>
      <c r="G588" s="439"/>
      <c r="H588" s="439"/>
      <c r="I588" s="439"/>
      <c r="K588" s="439"/>
      <c r="L588" s="439"/>
    </row>
    <row r="589" spans="2:12">
      <c r="B589" s="88"/>
      <c r="C589" s="439"/>
      <c r="D589" s="439"/>
      <c r="E589" s="439"/>
      <c r="F589" s="439"/>
      <c r="G589" s="439"/>
      <c r="H589" s="439"/>
      <c r="I589" s="439"/>
      <c r="K589" s="439"/>
      <c r="L589" s="439"/>
    </row>
    <row r="590" spans="2:12">
      <c r="B590" s="88"/>
      <c r="C590" s="439"/>
      <c r="D590" s="439"/>
      <c r="E590" s="439"/>
      <c r="F590" s="439"/>
      <c r="G590" s="439"/>
      <c r="H590" s="439"/>
      <c r="I590" s="439"/>
      <c r="K590" s="439"/>
      <c r="L590" s="439"/>
    </row>
    <row r="591" spans="2:12">
      <c r="B591" s="88"/>
      <c r="C591" s="439"/>
      <c r="D591" s="439"/>
      <c r="E591" s="439"/>
      <c r="F591" s="439"/>
      <c r="G591" s="439"/>
      <c r="H591" s="439"/>
      <c r="I591" s="439"/>
      <c r="K591" s="439"/>
      <c r="L591" s="439"/>
    </row>
    <row r="592" spans="2:12">
      <c r="B592" s="88"/>
      <c r="C592" s="439"/>
      <c r="D592" s="439"/>
      <c r="E592" s="439"/>
      <c r="F592" s="439"/>
      <c r="G592" s="439"/>
      <c r="H592" s="439"/>
      <c r="I592" s="439"/>
      <c r="K592" s="439"/>
      <c r="L592" s="439"/>
    </row>
    <row r="593" spans="2:12">
      <c r="B593" s="88"/>
      <c r="C593" s="439"/>
      <c r="D593" s="439"/>
      <c r="E593" s="439"/>
      <c r="F593" s="439"/>
      <c r="G593" s="439"/>
      <c r="H593" s="439"/>
      <c r="I593" s="439"/>
      <c r="K593" s="439"/>
      <c r="L593" s="439"/>
    </row>
    <row r="594" spans="2:12">
      <c r="B594" s="88"/>
      <c r="C594" s="439"/>
      <c r="D594" s="439"/>
      <c r="E594" s="439"/>
      <c r="F594" s="439"/>
      <c r="G594" s="439"/>
      <c r="H594" s="439"/>
      <c r="I594" s="439"/>
      <c r="K594" s="439"/>
      <c r="L594" s="439"/>
    </row>
    <row r="595" spans="2:12">
      <c r="B595" s="88"/>
      <c r="C595" s="439"/>
      <c r="D595" s="439"/>
      <c r="E595" s="439"/>
      <c r="F595" s="439"/>
      <c r="G595" s="439"/>
      <c r="H595" s="439"/>
      <c r="I595" s="439"/>
      <c r="K595" s="439"/>
      <c r="L595" s="439"/>
    </row>
    <row r="596" spans="2:12">
      <c r="B596" s="88"/>
      <c r="C596" s="439"/>
      <c r="D596" s="439"/>
      <c r="E596" s="439"/>
      <c r="F596" s="439"/>
      <c r="G596" s="439"/>
      <c r="H596" s="439"/>
      <c r="I596" s="439"/>
      <c r="K596" s="439"/>
      <c r="L596" s="439"/>
    </row>
    <row r="597" spans="2:12">
      <c r="B597" s="88"/>
      <c r="C597" s="439"/>
      <c r="D597" s="439"/>
      <c r="E597" s="439"/>
      <c r="F597" s="439"/>
      <c r="G597" s="439"/>
      <c r="H597" s="439"/>
      <c r="I597" s="439"/>
      <c r="K597" s="439"/>
      <c r="L597" s="439"/>
    </row>
    <row r="598" spans="2:12">
      <c r="B598" s="88"/>
      <c r="C598" s="439"/>
      <c r="D598" s="439"/>
      <c r="E598" s="439"/>
      <c r="F598" s="439"/>
      <c r="G598" s="439"/>
      <c r="H598" s="439"/>
      <c r="I598" s="439"/>
      <c r="K598" s="439"/>
      <c r="L598" s="439"/>
    </row>
    <row r="599" spans="2:12">
      <c r="B599" s="88"/>
      <c r="C599" s="439"/>
      <c r="D599" s="439"/>
      <c r="E599" s="439"/>
      <c r="F599" s="439"/>
      <c r="G599" s="439"/>
      <c r="H599" s="439"/>
      <c r="I599" s="439"/>
      <c r="K599" s="439"/>
      <c r="L599" s="439"/>
    </row>
    <row r="600" spans="2:12">
      <c r="B600" s="88"/>
      <c r="C600" s="439"/>
      <c r="D600" s="439"/>
      <c r="E600" s="439"/>
      <c r="F600" s="439"/>
      <c r="G600" s="439"/>
      <c r="H600" s="439"/>
      <c r="I600" s="439"/>
      <c r="K600" s="439"/>
      <c r="L600" s="439"/>
    </row>
    <row r="601" spans="2:12">
      <c r="B601" s="88"/>
      <c r="C601" s="439"/>
      <c r="D601" s="439"/>
      <c r="E601" s="439"/>
      <c r="F601" s="439"/>
      <c r="G601" s="439"/>
      <c r="H601" s="439"/>
      <c r="I601" s="439"/>
      <c r="K601" s="439"/>
      <c r="L601" s="439"/>
    </row>
    <row r="602" spans="2:12">
      <c r="B602" s="88"/>
      <c r="C602" s="439"/>
      <c r="D602" s="439"/>
      <c r="E602" s="439"/>
      <c r="F602" s="439"/>
      <c r="G602" s="439"/>
      <c r="H602" s="439"/>
      <c r="I602" s="439"/>
      <c r="K602" s="439"/>
      <c r="L602" s="439"/>
    </row>
    <row r="603" spans="2:12">
      <c r="B603" s="88"/>
      <c r="C603" s="439"/>
      <c r="D603" s="439"/>
      <c r="E603" s="439"/>
      <c r="F603" s="439"/>
      <c r="G603" s="439"/>
      <c r="H603" s="439"/>
      <c r="I603" s="439"/>
      <c r="K603" s="439"/>
      <c r="L603" s="439"/>
    </row>
    <row r="604" spans="2:12">
      <c r="B604" s="88"/>
      <c r="C604" s="439"/>
      <c r="D604" s="439"/>
      <c r="E604" s="439"/>
      <c r="F604" s="439"/>
      <c r="G604" s="439"/>
      <c r="H604" s="439"/>
      <c r="I604" s="439"/>
      <c r="K604" s="439"/>
      <c r="L604" s="439"/>
    </row>
    <row r="605" spans="2:12">
      <c r="B605" s="88"/>
      <c r="C605" s="439"/>
      <c r="D605" s="439"/>
      <c r="E605" s="439"/>
      <c r="F605" s="439"/>
      <c r="G605" s="439"/>
      <c r="H605" s="439"/>
      <c r="I605" s="439"/>
      <c r="K605" s="439"/>
      <c r="L605" s="439"/>
    </row>
    <row r="606" spans="2:12">
      <c r="B606" s="88"/>
      <c r="C606" s="439"/>
      <c r="D606" s="439"/>
      <c r="E606" s="439"/>
      <c r="F606" s="439"/>
      <c r="G606" s="439"/>
      <c r="H606" s="439"/>
      <c r="I606" s="439"/>
      <c r="K606" s="439"/>
      <c r="L606" s="439"/>
    </row>
    <row r="607" spans="2:12">
      <c r="B607" s="88"/>
      <c r="C607" s="439"/>
      <c r="D607" s="439"/>
      <c r="E607" s="439"/>
      <c r="F607" s="439"/>
      <c r="G607" s="439"/>
      <c r="H607" s="439"/>
      <c r="I607" s="439"/>
      <c r="K607" s="439"/>
      <c r="L607" s="439"/>
    </row>
    <row r="608" spans="2:12">
      <c r="B608" s="88"/>
      <c r="C608" s="439"/>
      <c r="D608" s="439"/>
      <c r="E608" s="439"/>
      <c r="F608" s="439"/>
      <c r="G608" s="439"/>
      <c r="H608" s="439"/>
      <c r="I608" s="439"/>
      <c r="K608" s="439"/>
      <c r="L608" s="439"/>
    </row>
    <row r="609" spans="2:12">
      <c r="B609" s="88"/>
      <c r="C609" s="439"/>
      <c r="D609" s="439"/>
      <c r="E609" s="439"/>
      <c r="F609" s="439"/>
      <c r="G609" s="439"/>
      <c r="H609" s="439"/>
      <c r="I609" s="439"/>
      <c r="K609" s="439"/>
      <c r="L609" s="439"/>
    </row>
    <row r="610" spans="2:12">
      <c r="B610" s="88"/>
      <c r="C610" s="439"/>
      <c r="D610" s="439"/>
      <c r="E610" s="439"/>
      <c r="F610" s="439"/>
      <c r="G610" s="439"/>
      <c r="H610" s="439"/>
      <c r="I610" s="439"/>
      <c r="K610" s="439"/>
      <c r="L610" s="439"/>
    </row>
    <row r="611" spans="2:12">
      <c r="B611" s="88"/>
      <c r="C611" s="439"/>
      <c r="D611" s="439"/>
      <c r="E611" s="439"/>
      <c r="F611" s="439"/>
      <c r="G611" s="439"/>
      <c r="H611" s="439"/>
      <c r="I611" s="439"/>
      <c r="K611" s="439"/>
      <c r="L611" s="439"/>
    </row>
    <row r="612" spans="2:12">
      <c r="B612" s="88"/>
      <c r="C612" s="439"/>
      <c r="D612" s="439"/>
      <c r="E612" s="439"/>
      <c r="F612" s="439"/>
      <c r="G612" s="439"/>
      <c r="H612" s="439"/>
      <c r="I612" s="439"/>
      <c r="K612" s="439"/>
      <c r="L612" s="439"/>
    </row>
    <row r="613" spans="2:12">
      <c r="B613" s="88"/>
      <c r="C613" s="439"/>
      <c r="D613" s="439"/>
      <c r="E613" s="439"/>
      <c r="F613" s="439"/>
      <c r="G613" s="439"/>
      <c r="H613" s="439"/>
      <c r="I613" s="439"/>
      <c r="K613" s="439"/>
      <c r="L613" s="439"/>
    </row>
    <row r="614" spans="2:12">
      <c r="B614" s="88"/>
      <c r="C614" s="439"/>
      <c r="D614" s="439"/>
      <c r="E614" s="439"/>
      <c r="F614" s="439"/>
      <c r="G614" s="439"/>
      <c r="H614" s="439"/>
      <c r="I614" s="439"/>
      <c r="K614" s="439"/>
      <c r="L614" s="439"/>
    </row>
    <row r="615" spans="2:12">
      <c r="B615" s="88"/>
      <c r="C615" s="439"/>
      <c r="D615" s="439"/>
      <c r="E615" s="439"/>
      <c r="F615" s="439"/>
      <c r="G615" s="439"/>
      <c r="H615" s="439"/>
      <c r="I615" s="439"/>
      <c r="K615" s="439"/>
      <c r="L615" s="439"/>
    </row>
    <row r="616" spans="2:12">
      <c r="B616" s="88"/>
      <c r="C616" s="439"/>
      <c r="D616" s="439"/>
      <c r="E616" s="439"/>
      <c r="F616" s="439"/>
      <c r="G616" s="439"/>
      <c r="H616" s="439"/>
      <c r="I616" s="439"/>
      <c r="K616" s="439"/>
      <c r="L616" s="439"/>
    </row>
    <row r="617" spans="2:12">
      <c r="B617" s="88"/>
      <c r="C617" s="439"/>
      <c r="D617" s="439"/>
      <c r="E617" s="439"/>
      <c r="F617" s="439"/>
      <c r="G617" s="439"/>
      <c r="H617" s="439"/>
      <c r="I617" s="439"/>
      <c r="K617" s="439"/>
      <c r="L617" s="439"/>
    </row>
    <row r="618" spans="2:12">
      <c r="B618" s="88"/>
      <c r="C618" s="439"/>
      <c r="D618" s="439"/>
      <c r="E618" s="439"/>
      <c r="F618" s="439"/>
      <c r="G618" s="439"/>
      <c r="H618" s="439"/>
      <c r="I618" s="439"/>
      <c r="K618" s="439"/>
      <c r="L618" s="439"/>
    </row>
    <row r="619" spans="2:12">
      <c r="B619" s="88"/>
      <c r="C619" s="439"/>
      <c r="D619" s="439"/>
      <c r="E619" s="439"/>
      <c r="F619" s="439"/>
      <c r="G619" s="439"/>
      <c r="H619" s="439"/>
      <c r="I619" s="439"/>
      <c r="K619" s="439"/>
      <c r="L619" s="439"/>
    </row>
    <row r="620" spans="2:12">
      <c r="B620" s="88"/>
      <c r="C620" s="439"/>
      <c r="D620" s="439"/>
      <c r="E620" s="439"/>
      <c r="F620" s="439"/>
      <c r="G620" s="439"/>
      <c r="H620" s="439"/>
      <c r="I620" s="439"/>
      <c r="K620" s="439"/>
      <c r="L620" s="439"/>
    </row>
    <row r="621" spans="2:12">
      <c r="B621" s="88"/>
      <c r="C621" s="439"/>
      <c r="D621" s="439"/>
      <c r="E621" s="439"/>
      <c r="F621" s="439"/>
      <c r="G621" s="439"/>
      <c r="H621" s="439"/>
      <c r="I621" s="439"/>
      <c r="K621" s="439"/>
      <c r="L621" s="439"/>
    </row>
    <row r="622" spans="2:12">
      <c r="B622" s="88"/>
      <c r="C622" s="439"/>
      <c r="D622" s="439"/>
      <c r="E622" s="439"/>
      <c r="F622" s="439"/>
      <c r="G622" s="439"/>
      <c r="H622" s="439"/>
      <c r="I622" s="439"/>
      <c r="K622" s="439"/>
      <c r="L622" s="439"/>
    </row>
    <row r="623" spans="2:12">
      <c r="B623" s="88"/>
      <c r="C623" s="439"/>
      <c r="D623" s="439"/>
      <c r="E623" s="439"/>
      <c r="F623" s="439"/>
      <c r="G623" s="439"/>
      <c r="H623" s="439"/>
      <c r="I623" s="439"/>
      <c r="K623" s="439"/>
      <c r="L623" s="439"/>
    </row>
    <row r="624" spans="2:12">
      <c r="B624" s="88"/>
      <c r="C624" s="439"/>
      <c r="D624" s="439"/>
      <c r="E624" s="439"/>
      <c r="F624" s="439"/>
      <c r="G624" s="439"/>
      <c r="H624" s="439"/>
      <c r="I624" s="439"/>
      <c r="K624" s="439"/>
      <c r="L624" s="439"/>
    </row>
    <row r="625" spans="2:12">
      <c r="B625" s="88"/>
      <c r="C625" s="439"/>
      <c r="D625" s="439"/>
      <c r="E625" s="439"/>
      <c r="F625" s="439"/>
      <c r="G625" s="439"/>
      <c r="H625" s="439"/>
      <c r="I625" s="439"/>
      <c r="K625" s="439"/>
      <c r="L625" s="439"/>
    </row>
    <row r="626" spans="2:12">
      <c r="B626" s="88"/>
      <c r="C626" s="439"/>
      <c r="D626" s="439"/>
      <c r="E626" s="439"/>
      <c r="F626" s="439"/>
      <c r="G626" s="439"/>
      <c r="H626" s="439"/>
      <c r="I626" s="439"/>
      <c r="K626" s="439"/>
      <c r="L626" s="439"/>
    </row>
    <row r="627" spans="2:12">
      <c r="B627" s="88"/>
      <c r="C627" s="439"/>
      <c r="D627" s="439"/>
      <c r="E627" s="439"/>
      <c r="F627" s="439"/>
      <c r="G627" s="439"/>
      <c r="H627" s="439"/>
      <c r="I627" s="439"/>
      <c r="K627" s="439"/>
      <c r="L627" s="439"/>
    </row>
    <row r="628" spans="2:12">
      <c r="B628" s="88"/>
      <c r="C628" s="439"/>
      <c r="D628" s="439"/>
      <c r="E628" s="439"/>
      <c r="F628" s="439"/>
      <c r="G628" s="439"/>
      <c r="H628" s="439"/>
      <c r="I628" s="439"/>
      <c r="K628" s="439"/>
      <c r="L628" s="439"/>
    </row>
    <row r="629" spans="2:12">
      <c r="B629" s="88"/>
      <c r="C629" s="439"/>
      <c r="D629" s="439"/>
      <c r="E629" s="439"/>
      <c r="F629" s="439"/>
      <c r="G629" s="439"/>
      <c r="H629" s="439"/>
      <c r="I629" s="439"/>
      <c r="K629" s="439"/>
      <c r="L629" s="439"/>
    </row>
    <row r="630" spans="2:12">
      <c r="B630" s="88"/>
      <c r="C630" s="439"/>
      <c r="D630" s="439"/>
      <c r="E630" s="439"/>
      <c r="F630" s="439"/>
      <c r="G630" s="439"/>
      <c r="H630" s="439"/>
      <c r="I630" s="439"/>
      <c r="K630" s="439"/>
      <c r="L630" s="439"/>
    </row>
    <row r="631" spans="2:12">
      <c r="B631" s="88"/>
      <c r="C631" s="439"/>
      <c r="D631" s="439"/>
      <c r="E631" s="439"/>
      <c r="F631" s="439"/>
      <c r="G631" s="439"/>
      <c r="H631" s="439"/>
      <c r="I631" s="439"/>
      <c r="K631" s="439"/>
      <c r="L631" s="439"/>
    </row>
    <row r="632" spans="2:12">
      <c r="B632" s="88"/>
      <c r="C632" s="439"/>
      <c r="D632" s="439"/>
      <c r="E632" s="439"/>
      <c r="F632" s="439"/>
      <c r="G632" s="439"/>
      <c r="H632" s="439"/>
      <c r="I632" s="439"/>
      <c r="K632" s="439"/>
      <c r="L632" s="439"/>
    </row>
    <row r="633" spans="2:12">
      <c r="B633" s="88"/>
      <c r="C633" s="439"/>
      <c r="D633" s="439"/>
      <c r="E633" s="439"/>
      <c r="F633" s="439"/>
      <c r="G633" s="439"/>
      <c r="H633" s="439"/>
      <c r="I633" s="439"/>
      <c r="K633" s="439"/>
      <c r="L633" s="439"/>
    </row>
    <row r="634" spans="2:12">
      <c r="B634" s="88"/>
      <c r="C634" s="439"/>
      <c r="D634" s="439"/>
      <c r="E634" s="439"/>
      <c r="F634" s="439"/>
      <c r="G634" s="439"/>
      <c r="H634" s="439"/>
      <c r="I634" s="439"/>
      <c r="K634" s="439"/>
      <c r="L634" s="439"/>
    </row>
    <row r="635" spans="2:12">
      <c r="B635" s="88"/>
      <c r="C635" s="439"/>
      <c r="D635" s="439"/>
      <c r="E635" s="439"/>
      <c r="F635" s="439"/>
      <c r="G635" s="439"/>
      <c r="H635" s="439"/>
      <c r="I635" s="439"/>
      <c r="K635" s="439"/>
      <c r="L635" s="439"/>
    </row>
    <row r="636" spans="2:12">
      <c r="B636" s="88"/>
      <c r="C636" s="439"/>
      <c r="D636" s="439"/>
      <c r="E636" s="439"/>
      <c r="F636" s="439"/>
      <c r="G636" s="439"/>
      <c r="H636" s="439"/>
      <c r="I636" s="439"/>
      <c r="K636" s="439"/>
      <c r="L636" s="439"/>
    </row>
    <row r="637" spans="2:12">
      <c r="B637" s="88"/>
      <c r="C637" s="439"/>
      <c r="D637" s="439"/>
      <c r="E637" s="439"/>
      <c r="F637" s="439"/>
      <c r="G637" s="439"/>
      <c r="H637" s="439"/>
      <c r="I637" s="439"/>
      <c r="K637" s="439"/>
      <c r="L637" s="439"/>
    </row>
    <row r="638" spans="2:12">
      <c r="B638" s="88"/>
      <c r="C638" s="439"/>
      <c r="D638" s="439"/>
      <c r="E638" s="439"/>
      <c r="F638" s="439"/>
      <c r="G638" s="439"/>
      <c r="H638" s="439"/>
      <c r="I638" s="439"/>
      <c r="K638" s="439"/>
      <c r="L638" s="439"/>
    </row>
    <row r="639" spans="2:12">
      <c r="B639" s="88"/>
      <c r="C639" s="439"/>
      <c r="D639" s="439"/>
      <c r="E639" s="439"/>
      <c r="F639" s="439"/>
      <c r="G639" s="439"/>
      <c r="H639" s="439"/>
      <c r="I639" s="439"/>
      <c r="K639" s="439"/>
      <c r="L639" s="439"/>
    </row>
    <row r="640" spans="2:12">
      <c r="B640" s="88"/>
      <c r="C640" s="439"/>
      <c r="D640" s="439"/>
      <c r="E640" s="439"/>
      <c r="F640" s="439"/>
      <c r="G640" s="439"/>
      <c r="H640" s="439"/>
      <c r="I640" s="439"/>
      <c r="K640" s="439"/>
      <c r="L640" s="439"/>
    </row>
    <row r="641" spans="2:12">
      <c r="B641" s="88"/>
      <c r="C641" s="439"/>
      <c r="D641" s="439"/>
      <c r="E641" s="439"/>
      <c r="F641" s="439"/>
      <c r="G641" s="439"/>
      <c r="H641" s="439"/>
      <c r="I641" s="439"/>
      <c r="K641" s="439"/>
      <c r="L641" s="439"/>
    </row>
    <row r="642" spans="2:12">
      <c r="B642" s="88"/>
      <c r="C642" s="439"/>
      <c r="D642" s="439"/>
      <c r="E642" s="439"/>
      <c r="F642" s="439"/>
      <c r="G642" s="439"/>
      <c r="H642" s="439"/>
      <c r="I642" s="439"/>
      <c r="K642" s="439"/>
      <c r="L642" s="439"/>
    </row>
    <row r="643" spans="2:12">
      <c r="B643" s="88"/>
      <c r="C643" s="439"/>
      <c r="D643" s="439"/>
      <c r="E643" s="439"/>
      <c r="F643" s="439"/>
      <c r="G643" s="439"/>
      <c r="H643" s="439"/>
      <c r="I643" s="439"/>
      <c r="K643" s="439"/>
      <c r="L643" s="439"/>
    </row>
    <row r="644" spans="2:12">
      <c r="B644" s="88"/>
      <c r="C644" s="439"/>
      <c r="D644" s="439"/>
      <c r="E644" s="439"/>
      <c r="F644" s="439"/>
      <c r="G644" s="439"/>
      <c r="H644" s="439"/>
      <c r="I644" s="439"/>
      <c r="K644" s="439"/>
      <c r="L644" s="439"/>
    </row>
    <row r="645" spans="2:12">
      <c r="B645" s="88"/>
      <c r="C645" s="439"/>
      <c r="D645" s="439"/>
      <c r="E645" s="439"/>
      <c r="F645" s="439"/>
      <c r="G645" s="439"/>
      <c r="H645" s="439"/>
      <c r="I645" s="439"/>
      <c r="K645" s="439"/>
      <c r="L645" s="439"/>
    </row>
    <row r="646" spans="2:12">
      <c r="B646" s="88"/>
      <c r="C646" s="439"/>
      <c r="D646" s="439"/>
      <c r="E646" s="439"/>
      <c r="F646" s="439"/>
      <c r="G646" s="439"/>
      <c r="H646" s="439"/>
      <c r="I646" s="439"/>
      <c r="K646" s="439"/>
      <c r="L646" s="439"/>
    </row>
    <row r="647" spans="2:12">
      <c r="B647" s="88"/>
      <c r="C647" s="439"/>
      <c r="D647" s="439"/>
      <c r="E647" s="439"/>
      <c r="F647" s="439"/>
      <c r="G647" s="439"/>
      <c r="H647" s="439"/>
      <c r="I647" s="439"/>
      <c r="K647" s="439"/>
      <c r="L647" s="439"/>
    </row>
    <row r="648" spans="2:12">
      <c r="B648" s="88"/>
      <c r="C648" s="439"/>
      <c r="D648" s="439"/>
      <c r="E648" s="439"/>
      <c r="F648" s="439"/>
      <c r="G648" s="439"/>
      <c r="H648" s="439"/>
      <c r="I648" s="439"/>
      <c r="K648" s="439"/>
      <c r="L648" s="439"/>
    </row>
    <row r="649" spans="2:12">
      <c r="B649" s="88"/>
      <c r="C649" s="439"/>
      <c r="D649" s="439"/>
      <c r="E649" s="439"/>
      <c r="F649" s="439"/>
      <c r="G649" s="439"/>
      <c r="H649" s="439"/>
      <c r="I649" s="439"/>
      <c r="K649" s="439"/>
      <c r="L649" s="439"/>
    </row>
    <row r="650" spans="2:12">
      <c r="B650" s="88"/>
      <c r="C650" s="439"/>
      <c r="D650" s="439"/>
      <c r="E650" s="439"/>
      <c r="F650" s="439"/>
      <c r="G650" s="439"/>
      <c r="H650" s="439"/>
      <c r="I650" s="439"/>
      <c r="K650" s="439"/>
      <c r="L650" s="439"/>
    </row>
    <row r="651" spans="2:12">
      <c r="B651" s="88"/>
      <c r="C651" s="439"/>
      <c r="D651" s="439"/>
      <c r="E651" s="439"/>
      <c r="F651" s="439"/>
      <c r="G651" s="439"/>
      <c r="H651" s="439"/>
      <c r="I651" s="439"/>
      <c r="K651" s="439"/>
      <c r="L651" s="439"/>
    </row>
    <row r="652" spans="2:12">
      <c r="B652" s="88"/>
      <c r="C652" s="439"/>
      <c r="D652" s="439"/>
      <c r="E652" s="439"/>
      <c r="F652" s="439"/>
      <c r="G652" s="439"/>
      <c r="H652" s="439"/>
      <c r="I652" s="439"/>
      <c r="K652" s="439"/>
      <c r="L652" s="439"/>
    </row>
    <row r="653" spans="2:12">
      <c r="B653" s="88"/>
      <c r="C653" s="439"/>
      <c r="D653" s="439"/>
      <c r="E653" s="439"/>
      <c r="F653" s="439"/>
      <c r="G653" s="439"/>
      <c r="H653" s="439"/>
      <c r="I653" s="439"/>
      <c r="K653" s="439"/>
      <c r="L653" s="439"/>
    </row>
    <row r="654" spans="2:12">
      <c r="B654" s="88"/>
      <c r="C654" s="439"/>
      <c r="D654" s="439"/>
      <c r="E654" s="439"/>
      <c r="F654" s="439"/>
      <c r="G654" s="439"/>
      <c r="H654" s="439"/>
      <c r="I654" s="439"/>
      <c r="K654" s="439"/>
      <c r="L654" s="439"/>
    </row>
    <row r="655" spans="2:12">
      <c r="B655" s="88"/>
      <c r="C655" s="439"/>
      <c r="D655" s="439"/>
      <c r="E655" s="439"/>
      <c r="F655" s="439"/>
      <c r="G655" s="439"/>
      <c r="H655" s="439"/>
      <c r="I655" s="439"/>
      <c r="K655" s="439"/>
      <c r="L655" s="439"/>
    </row>
    <row r="656" spans="2:12">
      <c r="B656" s="88"/>
      <c r="C656" s="439"/>
      <c r="D656" s="439"/>
      <c r="E656" s="439"/>
      <c r="F656" s="439"/>
      <c r="G656" s="439"/>
      <c r="H656" s="439"/>
      <c r="I656" s="439"/>
      <c r="K656" s="439"/>
      <c r="L656" s="439"/>
    </row>
    <row r="657" spans="2:12">
      <c r="B657" s="88"/>
      <c r="C657" s="439"/>
      <c r="D657" s="439"/>
      <c r="E657" s="439"/>
      <c r="F657" s="439"/>
      <c r="G657" s="439"/>
      <c r="H657" s="439"/>
      <c r="I657" s="439"/>
      <c r="K657" s="439"/>
      <c r="L657" s="439"/>
    </row>
    <row r="658" spans="2:12">
      <c r="B658" s="88"/>
      <c r="C658" s="439"/>
      <c r="D658" s="439"/>
      <c r="E658" s="439"/>
      <c r="F658" s="439"/>
      <c r="G658" s="439"/>
      <c r="H658" s="439"/>
      <c r="I658" s="439"/>
      <c r="K658" s="439"/>
      <c r="L658" s="439"/>
    </row>
    <row r="659" spans="2:12">
      <c r="B659" s="88"/>
      <c r="C659" s="439"/>
      <c r="D659" s="439"/>
      <c r="E659" s="439"/>
      <c r="F659" s="439"/>
      <c r="G659" s="439"/>
      <c r="H659" s="439"/>
      <c r="I659" s="439"/>
      <c r="K659" s="439"/>
      <c r="L659" s="439"/>
    </row>
    <row r="660" spans="2:12">
      <c r="B660" s="88"/>
      <c r="C660" s="439"/>
      <c r="D660" s="439"/>
      <c r="E660" s="439"/>
      <c r="F660" s="439"/>
      <c r="G660" s="439"/>
      <c r="H660" s="439"/>
      <c r="I660" s="439"/>
      <c r="K660" s="439"/>
      <c r="L660" s="439"/>
    </row>
    <row r="661" spans="2:12">
      <c r="B661" s="88"/>
      <c r="C661" s="439"/>
      <c r="D661" s="439"/>
      <c r="E661" s="439"/>
      <c r="F661" s="439"/>
      <c r="G661" s="439"/>
      <c r="H661" s="439"/>
      <c r="I661" s="439"/>
      <c r="K661" s="439"/>
      <c r="L661" s="439"/>
    </row>
    <row r="662" spans="2:12">
      <c r="B662" s="88"/>
      <c r="C662" s="439"/>
      <c r="D662" s="439"/>
      <c r="E662" s="439"/>
      <c r="F662" s="439"/>
      <c r="G662" s="439"/>
      <c r="H662" s="439"/>
      <c r="I662" s="439"/>
      <c r="K662" s="439"/>
      <c r="L662" s="439"/>
    </row>
    <row r="663" spans="2:12">
      <c r="B663" s="88"/>
      <c r="C663" s="439"/>
      <c r="D663" s="439"/>
      <c r="E663" s="439"/>
      <c r="F663" s="439"/>
      <c r="G663" s="439"/>
      <c r="H663" s="439"/>
      <c r="I663" s="439"/>
      <c r="K663" s="439"/>
      <c r="L663" s="439"/>
    </row>
    <row r="664" spans="2:12">
      <c r="B664" s="88"/>
      <c r="C664" s="439"/>
      <c r="D664" s="439"/>
      <c r="E664" s="439"/>
      <c r="F664" s="439"/>
      <c r="G664" s="439"/>
      <c r="H664" s="439"/>
      <c r="I664" s="439"/>
      <c r="K664" s="439"/>
      <c r="L664" s="439"/>
    </row>
    <row r="665" spans="2:12">
      <c r="B665" s="88"/>
      <c r="C665" s="439"/>
      <c r="D665" s="439"/>
      <c r="E665" s="439"/>
      <c r="F665" s="439"/>
      <c r="G665" s="439"/>
      <c r="H665" s="439"/>
      <c r="I665" s="439"/>
      <c r="K665" s="439"/>
      <c r="L665" s="439"/>
    </row>
    <row r="666" spans="2:12">
      <c r="B666" s="88"/>
      <c r="C666" s="439"/>
      <c r="D666" s="439"/>
      <c r="E666" s="439"/>
      <c r="F666" s="439"/>
      <c r="G666" s="439"/>
      <c r="H666" s="439"/>
      <c r="I666" s="439"/>
      <c r="K666" s="439"/>
      <c r="L666" s="439"/>
    </row>
    <row r="667" spans="2:12">
      <c r="B667" s="88"/>
      <c r="C667" s="439"/>
      <c r="D667" s="439"/>
      <c r="E667" s="439"/>
      <c r="F667" s="439"/>
      <c r="G667" s="439"/>
      <c r="H667" s="439"/>
      <c r="I667" s="439"/>
      <c r="K667" s="439"/>
      <c r="L667" s="439"/>
    </row>
    <row r="668" spans="2:12">
      <c r="B668" s="88"/>
      <c r="C668" s="439"/>
      <c r="D668" s="439"/>
      <c r="E668" s="439"/>
      <c r="F668" s="439"/>
      <c r="G668" s="439"/>
      <c r="H668" s="439"/>
      <c r="I668" s="439"/>
      <c r="K668" s="439"/>
      <c r="L668" s="439"/>
    </row>
    <row r="669" spans="2:12">
      <c r="B669" s="88"/>
      <c r="C669" s="439"/>
      <c r="D669" s="439"/>
      <c r="E669" s="439"/>
      <c r="F669" s="439"/>
      <c r="G669" s="439"/>
      <c r="H669" s="439"/>
      <c r="I669" s="439"/>
      <c r="K669" s="439"/>
      <c r="L669" s="439"/>
    </row>
    <row r="670" spans="2:12">
      <c r="B670" s="88"/>
      <c r="C670" s="439"/>
      <c r="D670" s="439"/>
      <c r="E670" s="439"/>
      <c r="F670" s="439"/>
      <c r="G670" s="439"/>
      <c r="H670" s="439"/>
      <c r="I670" s="439"/>
      <c r="K670" s="439"/>
      <c r="L670" s="439"/>
    </row>
    <row r="671" spans="2:12">
      <c r="B671" s="88"/>
      <c r="C671" s="439"/>
      <c r="D671" s="439"/>
      <c r="E671" s="439"/>
      <c r="F671" s="439"/>
      <c r="G671" s="439"/>
      <c r="H671" s="439"/>
      <c r="I671" s="439"/>
      <c r="K671" s="439"/>
      <c r="L671" s="439"/>
    </row>
    <row r="672" spans="2:12">
      <c r="B672" s="88"/>
      <c r="C672" s="439"/>
      <c r="D672" s="439"/>
      <c r="E672" s="439"/>
      <c r="F672" s="439"/>
      <c r="G672" s="439"/>
      <c r="H672" s="439"/>
      <c r="I672" s="439"/>
      <c r="K672" s="439"/>
      <c r="L672" s="439"/>
    </row>
    <row r="673" spans="2:12">
      <c r="B673" s="88"/>
      <c r="C673" s="439"/>
      <c r="D673" s="439"/>
      <c r="E673" s="439"/>
      <c r="F673" s="439"/>
      <c r="G673" s="439"/>
      <c r="H673" s="439"/>
      <c r="I673" s="439"/>
      <c r="K673" s="439"/>
      <c r="L673" s="439"/>
    </row>
    <row r="674" spans="2:12">
      <c r="B674" s="88"/>
      <c r="C674" s="439"/>
      <c r="D674" s="439"/>
      <c r="E674" s="439"/>
      <c r="F674" s="439"/>
      <c r="G674" s="439"/>
      <c r="H674" s="439"/>
      <c r="I674" s="439"/>
      <c r="K674" s="439"/>
      <c r="L674" s="439"/>
    </row>
    <row r="675" spans="2:12">
      <c r="B675" s="88"/>
      <c r="C675" s="439"/>
      <c r="D675" s="439"/>
      <c r="E675" s="439"/>
      <c r="F675" s="439"/>
      <c r="G675" s="439"/>
      <c r="H675" s="439"/>
      <c r="I675" s="439"/>
      <c r="K675" s="439"/>
      <c r="L675" s="439"/>
    </row>
    <row r="676" spans="2:12">
      <c r="B676" s="88"/>
      <c r="C676" s="439"/>
      <c r="D676" s="439"/>
      <c r="E676" s="439"/>
      <c r="F676" s="439"/>
      <c r="G676" s="439"/>
      <c r="H676" s="439"/>
      <c r="I676" s="439"/>
      <c r="K676" s="439"/>
      <c r="L676" s="439"/>
    </row>
    <row r="677" spans="2:12">
      <c r="B677" s="88"/>
      <c r="C677" s="439"/>
      <c r="D677" s="439"/>
      <c r="E677" s="439"/>
      <c r="F677" s="439"/>
      <c r="G677" s="439"/>
      <c r="H677" s="439"/>
      <c r="I677" s="439"/>
      <c r="K677" s="439"/>
      <c r="L677" s="439"/>
    </row>
    <row r="678" spans="2:12">
      <c r="B678" s="88"/>
      <c r="C678" s="439"/>
      <c r="D678" s="439"/>
      <c r="E678" s="439"/>
      <c r="F678" s="439"/>
      <c r="G678" s="439"/>
      <c r="H678" s="439"/>
      <c r="I678" s="439"/>
      <c r="K678" s="439"/>
      <c r="L678" s="439"/>
    </row>
    <row r="679" spans="2:12">
      <c r="B679" s="88"/>
      <c r="C679" s="439"/>
      <c r="D679" s="439"/>
      <c r="E679" s="439"/>
      <c r="F679" s="439"/>
      <c r="G679" s="439"/>
      <c r="H679" s="439"/>
      <c r="I679" s="439"/>
      <c r="K679" s="439"/>
      <c r="L679" s="439"/>
    </row>
    <row r="680" spans="2:12">
      <c r="B680" s="88"/>
      <c r="C680" s="439"/>
      <c r="D680" s="439"/>
      <c r="E680" s="439"/>
      <c r="F680" s="439"/>
      <c r="G680" s="439"/>
      <c r="H680" s="439"/>
      <c r="I680" s="439"/>
      <c r="K680" s="439"/>
      <c r="L680" s="439"/>
    </row>
    <row r="681" spans="2:12">
      <c r="B681" s="88"/>
      <c r="C681" s="439"/>
      <c r="D681" s="439"/>
      <c r="E681" s="439"/>
      <c r="F681" s="439"/>
      <c r="G681" s="439"/>
      <c r="H681" s="439"/>
      <c r="I681" s="439"/>
      <c r="K681" s="439"/>
      <c r="L681" s="439"/>
    </row>
    <row r="682" spans="2:12">
      <c r="B682" s="88"/>
      <c r="C682" s="439"/>
      <c r="D682" s="439"/>
      <c r="E682" s="439"/>
      <c r="F682" s="439"/>
      <c r="G682" s="439"/>
      <c r="H682" s="439"/>
      <c r="I682" s="439"/>
      <c r="K682" s="439"/>
      <c r="L682" s="439"/>
    </row>
    <row r="683" spans="2:12">
      <c r="B683" s="88"/>
      <c r="C683" s="439"/>
      <c r="D683" s="439"/>
      <c r="E683" s="439"/>
      <c r="F683" s="439"/>
      <c r="G683" s="439"/>
      <c r="H683" s="439"/>
      <c r="I683" s="439"/>
      <c r="K683" s="439"/>
      <c r="L683" s="439"/>
    </row>
    <row r="684" spans="2:12">
      <c r="B684" s="88"/>
      <c r="C684" s="439"/>
      <c r="D684" s="439"/>
      <c r="E684" s="439"/>
      <c r="F684" s="439"/>
      <c r="G684" s="439"/>
      <c r="H684" s="439"/>
      <c r="I684" s="439"/>
      <c r="K684" s="439"/>
      <c r="L684" s="439"/>
    </row>
    <row r="685" spans="2:12">
      <c r="B685" s="88"/>
      <c r="C685" s="439"/>
      <c r="D685" s="439"/>
      <c r="E685" s="439"/>
      <c r="F685" s="439"/>
      <c r="G685" s="439"/>
      <c r="H685" s="439"/>
      <c r="I685" s="439"/>
      <c r="K685" s="439"/>
      <c r="L685" s="439"/>
    </row>
    <row r="686" spans="2:12">
      <c r="B686" s="88"/>
      <c r="C686" s="439"/>
      <c r="D686" s="439"/>
      <c r="E686" s="439"/>
      <c r="F686" s="439"/>
      <c r="G686" s="439"/>
      <c r="H686" s="439"/>
      <c r="I686" s="439"/>
      <c r="K686" s="439"/>
      <c r="L686" s="439"/>
    </row>
    <row r="687" spans="2:12">
      <c r="B687" s="88"/>
      <c r="C687" s="439"/>
      <c r="D687" s="439"/>
      <c r="E687" s="439"/>
      <c r="F687" s="439"/>
      <c r="G687" s="439"/>
      <c r="H687" s="439"/>
      <c r="I687" s="439"/>
      <c r="K687" s="439"/>
      <c r="L687" s="439"/>
    </row>
    <row r="688" spans="2:12">
      <c r="B688" s="88"/>
      <c r="C688" s="439"/>
      <c r="D688" s="439"/>
      <c r="E688" s="439"/>
      <c r="F688" s="439"/>
      <c r="G688" s="439"/>
      <c r="H688" s="439"/>
      <c r="I688" s="439"/>
      <c r="K688" s="439"/>
      <c r="L688" s="439"/>
    </row>
    <row r="689" spans="2:12">
      <c r="B689" s="88"/>
      <c r="C689" s="439"/>
      <c r="D689" s="439"/>
      <c r="E689" s="439"/>
      <c r="F689" s="439"/>
      <c r="G689" s="439"/>
      <c r="H689" s="439"/>
      <c r="I689" s="439"/>
      <c r="K689" s="439"/>
      <c r="L689" s="439"/>
    </row>
    <row r="690" spans="2:12">
      <c r="B690" s="88"/>
      <c r="C690" s="439"/>
      <c r="D690" s="439"/>
      <c r="E690" s="439"/>
      <c r="F690" s="439"/>
      <c r="G690" s="439"/>
      <c r="H690" s="439"/>
      <c r="I690" s="439"/>
      <c r="K690" s="439"/>
      <c r="L690" s="439"/>
    </row>
    <row r="691" spans="2:12">
      <c r="B691" s="88"/>
      <c r="C691" s="439"/>
      <c r="D691" s="439"/>
      <c r="E691" s="439"/>
      <c r="F691" s="439"/>
      <c r="G691" s="439"/>
      <c r="H691" s="439"/>
      <c r="I691" s="439"/>
      <c r="K691" s="439"/>
      <c r="L691" s="439"/>
    </row>
    <row r="692" spans="2:12">
      <c r="B692" s="88"/>
      <c r="C692" s="439"/>
      <c r="D692" s="439"/>
      <c r="E692" s="439"/>
      <c r="F692" s="439"/>
      <c r="G692" s="439"/>
      <c r="H692" s="439"/>
      <c r="I692" s="439"/>
      <c r="K692" s="439"/>
      <c r="L692" s="439"/>
    </row>
    <row r="693" spans="2:12">
      <c r="B693" s="88"/>
      <c r="C693" s="439"/>
      <c r="D693" s="439"/>
      <c r="E693" s="439"/>
      <c r="F693" s="439"/>
      <c r="G693" s="439"/>
      <c r="H693" s="439"/>
      <c r="I693" s="439"/>
      <c r="K693" s="439"/>
      <c r="L693" s="439"/>
    </row>
    <row r="694" spans="2:12">
      <c r="B694" s="88"/>
      <c r="C694" s="439"/>
      <c r="D694" s="439"/>
      <c r="E694" s="439"/>
      <c r="F694" s="439"/>
      <c r="G694" s="439"/>
      <c r="H694" s="439"/>
      <c r="I694" s="439"/>
      <c r="K694" s="439"/>
      <c r="L694" s="439"/>
    </row>
    <row r="695" spans="2:12">
      <c r="B695" s="88"/>
      <c r="C695" s="439"/>
      <c r="D695" s="439"/>
      <c r="E695" s="439"/>
      <c r="F695" s="439"/>
      <c r="G695" s="439"/>
      <c r="H695" s="439"/>
      <c r="I695" s="439"/>
      <c r="K695" s="439"/>
      <c r="L695" s="439"/>
    </row>
    <row r="696" spans="2:12">
      <c r="B696" s="88"/>
      <c r="C696" s="439"/>
      <c r="D696" s="439"/>
      <c r="E696" s="439"/>
      <c r="F696" s="439"/>
      <c r="G696" s="439"/>
      <c r="H696" s="439"/>
      <c r="I696" s="439"/>
      <c r="K696" s="439"/>
      <c r="L696" s="439"/>
    </row>
    <row r="697" spans="2:12">
      <c r="B697" s="88"/>
      <c r="C697" s="439"/>
      <c r="D697" s="439"/>
      <c r="E697" s="439"/>
      <c r="F697" s="439"/>
      <c r="G697" s="439"/>
      <c r="H697" s="439"/>
      <c r="I697" s="439"/>
      <c r="K697" s="439"/>
      <c r="L697" s="439"/>
    </row>
    <row r="698" spans="2:12">
      <c r="B698" s="88"/>
      <c r="C698" s="439"/>
      <c r="D698" s="439"/>
      <c r="E698" s="439"/>
      <c r="F698" s="439"/>
      <c r="G698" s="439"/>
      <c r="H698" s="439"/>
      <c r="I698" s="439"/>
      <c r="K698" s="439"/>
      <c r="L698" s="439"/>
    </row>
    <row r="699" spans="2:12">
      <c r="B699" s="88"/>
      <c r="C699" s="439"/>
      <c r="D699" s="439"/>
      <c r="E699" s="439"/>
      <c r="F699" s="439"/>
      <c r="G699" s="439"/>
      <c r="H699" s="439"/>
      <c r="I699" s="439"/>
      <c r="K699" s="439"/>
      <c r="L699" s="439"/>
    </row>
    <row r="700" spans="2:12">
      <c r="B700" s="88"/>
      <c r="C700" s="439"/>
      <c r="D700" s="439"/>
      <c r="E700" s="439"/>
      <c r="F700" s="439"/>
      <c r="G700" s="439"/>
      <c r="H700" s="439"/>
      <c r="I700" s="439"/>
      <c r="K700" s="439"/>
      <c r="L700" s="439"/>
    </row>
    <row r="701" spans="2:12">
      <c r="B701" s="88"/>
      <c r="C701" s="439"/>
      <c r="D701" s="439"/>
      <c r="E701" s="439"/>
      <c r="F701" s="439"/>
      <c r="G701" s="439"/>
      <c r="H701" s="439"/>
      <c r="I701" s="439"/>
      <c r="K701" s="439"/>
      <c r="L701" s="439"/>
    </row>
    <row r="702" spans="2:12">
      <c r="B702" s="88"/>
      <c r="C702" s="439"/>
      <c r="D702" s="439"/>
      <c r="E702" s="439"/>
      <c r="F702" s="439"/>
      <c r="G702" s="439"/>
      <c r="H702" s="439"/>
      <c r="I702" s="439"/>
      <c r="K702" s="439"/>
      <c r="L702" s="439"/>
    </row>
    <row r="703" spans="2:12">
      <c r="B703" s="88"/>
      <c r="C703" s="439"/>
      <c r="D703" s="439"/>
      <c r="E703" s="439"/>
      <c r="F703" s="439"/>
      <c r="G703" s="439"/>
      <c r="H703" s="439"/>
      <c r="I703" s="439"/>
      <c r="K703" s="439"/>
      <c r="L703" s="439"/>
    </row>
    <row r="704" spans="2:12">
      <c r="B704" s="88"/>
      <c r="C704" s="439"/>
      <c r="D704" s="439"/>
      <c r="E704" s="439"/>
      <c r="F704" s="439"/>
      <c r="G704" s="439"/>
      <c r="H704" s="439"/>
      <c r="I704" s="439"/>
      <c r="K704" s="439"/>
      <c r="L704" s="439"/>
    </row>
    <row r="705" spans="2:12">
      <c r="B705" s="88"/>
      <c r="C705" s="439"/>
      <c r="D705" s="439"/>
      <c r="E705" s="439"/>
      <c r="F705" s="439"/>
      <c r="G705" s="439"/>
      <c r="H705" s="439"/>
      <c r="I705" s="439"/>
      <c r="K705" s="439"/>
      <c r="L705" s="439"/>
    </row>
    <row r="706" spans="2:12">
      <c r="B706" s="88"/>
      <c r="C706" s="439"/>
      <c r="D706" s="439"/>
      <c r="E706" s="439"/>
      <c r="F706" s="439"/>
      <c r="G706" s="439"/>
      <c r="H706" s="439"/>
      <c r="I706" s="439"/>
      <c r="K706" s="439"/>
      <c r="L706" s="439"/>
    </row>
    <row r="707" spans="2:12">
      <c r="B707" s="88"/>
      <c r="C707" s="439"/>
      <c r="D707" s="439"/>
      <c r="E707" s="439"/>
      <c r="F707" s="439"/>
      <c r="G707" s="439"/>
      <c r="H707" s="439"/>
      <c r="I707" s="439"/>
      <c r="K707" s="439"/>
      <c r="L707" s="439"/>
    </row>
    <row r="708" spans="2:12">
      <c r="B708" s="88"/>
      <c r="C708" s="439"/>
      <c r="D708" s="439"/>
      <c r="E708" s="439"/>
      <c r="F708" s="439"/>
      <c r="G708" s="439"/>
      <c r="H708" s="439"/>
      <c r="I708" s="439"/>
      <c r="K708" s="439"/>
      <c r="L708" s="439"/>
    </row>
    <row r="709" spans="2:12">
      <c r="B709" s="88"/>
      <c r="C709" s="439"/>
      <c r="D709" s="439"/>
      <c r="E709" s="439"/>
      <c r="F709" s="439"/>
      <c r="G709" s="439"/>
      <c r="H709" s="439"/>
      <c r="I709" s="439"/>
      <c r="K709" s="439"/>
      <c r="L709" s="439"/>
    </row>
    <row r="710" spans="2:12">
      <c r="B710" s="88"/>
      <c r="C710" s="439"/>
      <c r="D710" s="439"/>
      <c r="E710" s="439"/>
      <c r="F710" s="439"/>
      <c r="G710" s="439"/>
      <c r="H710" s="439"/>
      <c r="I710" s="439"/>
      <c r="K710" s="439"/>
      <c r="L710" s="439"/>
    </row>
    <row r="711" spans="2:12">
      <c r="B711" s="88"/>
      <c r="C711" s="439"/>
      <c r="D711" s="439"/>
      <c r="E711" s="439"/>
      <c r="F711" s="439"/>
      <c r="G711" s="439"/>
      <c r="H711" s="439"/>
      <c r="I711" s="439"/>
      <c r="K711" s="439"/>
      <c r="L711" s="439"/>
    </row>
    <row r="712" spans="2:12">
      <c r="B712" s="88"/>
      <c r="C712" s="439"/>
      <c r="D712" s="439"/>
      <c r="E712" s="439"/>
      <c r="F712" s="439"/>
      <c r="G712" s="439"/>
      <c r="H712" s="439"/>
      <c r="I712" s="439"/>
      <c r="K712" s="439"/>
      <c r="L712" s="439"/>
    </row>
    <row r="713" spans="2:12">
      <c r="B713" s="88"/>
      <c r="C713" s="439"/>
      <c r="D713" s="439"/>
      <c r="E713" s="439"/>
      <c r="F713" s="439"/>
      <c r="G713" s="439"/>
      <c r="H713" s="439"/>
      <c r="I713" s="439"/>
      <c r="K713" s="439"/>
      <c r="L713" s="439"/>
    </row>
    <row r="714" spans="2:12">
      <c r="B714" s="88"/>
      <c r="C714" s="439"/>
      <c r="D714" s="439"/>
      <c r="E714" s="439"/>
      <c r="F714" s="439"/>
      <c r="G714" s="439"/>
      <c r="H714" s="439"/>
      <c r="I714" s="439"/>
      <c r="K714" s="439"/>
      <c r="L714" s="439"/>
    </row>
    <row r="715" spans="2:12">
      <c r="B715" s="88"/>
      <c r="C715" s="439"/>
      <c r="D715" s="439"/>
      <c r="E715" s="439"/>
      <c r="F715" s="439"/>
      <c r="G715" s="439"/>
      <c r="H715" s="439"/>
      <c r="I715" s="439"/>
      <c r="K715" s="439"/>
      <c r="L715" s="439"/>
    </row>
    <row r="716" spans="2:12">
      <c r="B716" s="88"/>
      <c r="C716" s="439"/>
      <c r="D716" s="439"/>
      <c r="E716" s="439"/>
      <c r="F716" s="439"/>
      <c r="G716" s="439"/>
      <c r="H716" s="439"/>
      <c r="I716" s="439"/>
      <c r="K716" s="439"/>
      <c r="L716" s="439"/>
    </row>
    <row r="717" spans="2:12">
      <c r="B717" s="88"/>
      <c r="C717" s="439"/>
      <c r="D717" s="439"/>
      <c r="E717" s="439"/>
      <c r="F717" s="439"/>
      <c r="G717" s="439"/>
      <c r="H717" s="439"/>
      <c r="I717" s="439"/>
      <c r="K717" s="439"/>
      <c r="L717" s="439"/>
    </row>
    <row r="718" spans="2:12">
      <c r="B718" s="88"/>
      <c r="C718" s="439"/>
      <c r="D718" s="439"/>
      <c r="E718" s="439"/>
      <c r="F718" s="439"/>
      <c r="G718" s="439"/>
      <c r="H718" s="439"/>
      <c r="I718" s="439"/>
      <c r="K718" s="439"/>
      <c r="L718" s="439"/>
    </row>
    <row r="719" spans="2:12">
      <c r="B719" s="88"/>
      <c r="C719" s="439"/>
      <c r="D719" s="439"/>
      <c r="E719" s="439"/>
      <c r="F719" s="439"/>
      <c r="G719" s="439"/>
      <c r="H719" s="439"/>
      <c r="I719" s="439"/>
      <c r="K719" s="439"/>
      <c r="L719" s="439"/>
    </row>
    <row r="720" spans="2:12">
      <c r="B720" s="88"/>
      <c r="C720" s="439"/>
      <c r="D720" s="439"/>
      <c r="E720" s="439"/>
      <c r="F720" s="439"/>
      <c r="G720" s="439"/>
      <c r="H720" s="439"/>
      <c r="I720" s="439"/>
      <c r="K720" s="439"/>
      <c r="L720" s="439"/>
    </row>
    <row r="721" spans="2:12">
      <c r="B721" s="88"/>
      <c r="C721" s="439"/>
      <c r="D721" s="439"/>
      <c r="E721" s="439"/>
      <c r="F721" s="439"/>
      <c r="G721" s="439"/>
      <c r="H721" s="439"/>
      <c r="I721" s="439"/>
      <c r="K721" s="439"/>
      <c r="L721" s="439"/>
    </row>
    <row r="722" spans="2:12">
      <c r="B722" s="88"/>
      <c r="C722" s="439"/>
      <c r="D722" s="439"/>
      <c r="E722" s="439"/>
      <c r="F722" s="439"/>
      <c r="G722" s="439"/>
      <c r="H722" s="439"/>
      <c r="I722" s="439"/>
      <c r="K722" s="439"/>
      <c r="L722" s="439"/>
    </row>
    <row r="723" spans="2:12">
      <c r="B723" s="88"/>
      <c r="C723" s="439"/>
      <c r="D723" s="439"/>
      <c r="E723" s="439"/>
      <c r="F723" s="439"/>
      <c r="G723" s="439"/>
      <c r="H723" s="439"/>
      <c r="I723" s="439"/>
      <c r="K723" s="439"/>
      <c r="L723" s="439"/>
    </row>
    <row r="724" spans="2:12">
      <c r="B724" s="88"/>
      <c r="C724" s="439"/>
      <c r="D724" s="439"/>
      <c r="E724" s="439"/>
      <c r="F724" s="439"/>
      <c r="G724" s="439"/>
      <c r="H724" s="439"/>
      <c r="I724" s="439"/>
      <c r="K724" s="439"/>
      <c r="L724" s="439"/>
    </row>
    <row r="725" spans="2:12">
      <c r="B725" s="88"/>
      <c r="C725" s="439"/>
      <c r="D725" s="439"/>
      <c r="E725" s="439"/>
      <c r="F725" s="439"/>
      <c r="G725" s="439"/>
      <c r="H725" s="439"/>
      <c r="I725" s="439"/>
      <c r="K725" s="439"/>
      <c r="L725" s="439"/>
    </row>
    <row r="726" spans="2:12">
      <c r="B726" s="88"/>
      <c r="C726" s="439"/>
      <c r="D726" s="439"/>
      <c r="E726" s="439"/>
      <c r="F726" s="439"/>
      <c r="G726" s="439"/>
      <c r="H726" s="439"/>
      <c r="I726" s="439"/>
      <c r="K726" s="439"/>
      <c r="L726" s="439"/>
    </row>
    <row r="727" spans="2:12">
      <c r="B727" s="88"/>
      <c r="C727" s="439"/>
      <c r="D727" s="439"/>
      <c r="E727" s="439"/>
      <c r="F727" s="439"/>
      <c r="G727" s="439"/>
      <c r="H727" s="439"/>
      <c r="I727" s="439"/>
      <c r="K727" s="439"/>
      <c r="L727" s="439"/>
    </row>
    <row r="728" spans="2:12">
      <c r="B728" s="88"/>
      <c r="C728" s="439"/>
      <c r="D728" s="439"/>
      <c r="E728" s="439"/>
      <c r="F728" s="439"/>
      <c r="G728" s="439"/>
      <c r="H728" s="439"/>
      <c r="I728" s="439"/>
      <c r="K728" s="439"/>
      <c r="L728" s="439"/>
    </row>
    <row r="729" spans="2:12">
      <c r="B729" s="88"/>
      <c r="C729" s="439"/>
      <c r="D729" s="439"/>
      <c r="E729" s="439"/>
      <c r="F729" s="439"/>
      <c r="G729" s="439"/>
      <c r="H729" s="439"/>
      <c r="I729" s="439"/>
      <c r="K729" s="439"/>
      <c r="L729" s="439"/>
    </row>
    <row r="730" spans="2:12">
      <c r="B730" s="88"/>
      <c r="C730" s="439"/>
      <c r="D730" s="439"/>
      <c r="E730" s="439"/>
      <c r="F730" s="439"/>
      <c r="G730" s="439"/>
      <c r="H730" s="439"/>
      <c r="I730" s="439"/>
      <c r="K730" s="439"/>
      <c r="L730" s="439"/>
    </row>
    <row r="731" spans="2:12">
      <c r="B731" s="88"/>
      <c r="C731" s="439"/>
      <c r="D731" s="439"/>
      <c r="E731" s="439"/>
      <c r="F731" s="439"/>
      <c r="G731" s="439"/>
      <c r="H731" s="439"/>
      <c r="I731" s="439"/>
      <c r="K731" s="439"/>
      <c r="L731" s="439"/>
    </row>
    <row r="732" spans="2:12">
      <c r="B732" s="88"/>
      <c r="C732" s="439"/>
      <c r="D732" s="439"/>
      <c r="E732" s="439"/>
      <c r="F732" s="439"/>
      <c r="G732" s="439"/>
      <c r="H732" s="439"/>
      <c r="I732" s="439"/>
      <c r="K732" s="439"/>
      <c r="L732" s="439"/>
    </row>
    <row r="733" spans="2:12">
      <c r="B733" s="88"/>
      <c r="C733" s="439"/>
      <c r="D733" s="439"/>
      <c r="E733" s="439"/>
      <c r="F733" s="439"/>
      <c r="G733" s="439"/>
      <c r="H733" s="439"/>
      <c r="I733" s="439"/>
      <c r="K733" s="439"/>
      <c r="L733" s="439"/>
    </row>
    <row r="734" spans="2:12">
      <c r="B734" s="88"/>
      <c r="C734" s="439"/>
      <c r="D734" s="439"/>
      <c r="E734" s="439"/>
      <c r="F734" s="439"/>
      <c r="G734" s="439"/>
      <c r="H734" s="439"/>
      <c r="I734" s="439"/>
      <c r="K734" s="439"/>
      <c r="L734" s="439"/>
    </row>
    <row r="735" spans="2:12">
      <c r="B735" s="88"/>
      <c r="C735" s="439"/>
      <c r="D735" s="439"/>
      <c r="E735" s="439"/>
      <c r="F735" s="439"/>
      <c r="G735" s="439"/>
      <c r="H735" s="439"/>
      <c r="I735" s="439"/>
      <c r="K735" s="439"/>
      <c r="L735" s="439"/>
    </row>
    <row r="736" spans="2:12">
      <c r="B736" s="88"/>
      <c r="C736" s="439"/>
      <c r="D736" s="439"/>
      <c r="E736" s="439"/>
      <c r="F736" s="439"/>
      <c r="G736" s="439"/>
      <c r="H736" s="439"/>
      <c r="I736" s="439"/>
      <c r="K736" s="439"/>
      <c r="L736" s="439"/>
    </row>
    <row r="737" spans="2:12">
      <c r="B737" s="88"/>
      <c r="C737" s="439"/>
      <c r="D737" s="439"/>
      <c r="E737" s="439"/>
      <c r="F737" s="439"/>
      <c r="G737" s="439"/>
      <c r="H737" s="439"/>
      <c r="I737" s="439"/>
      <c r="K737" s="439"/>
      <c r="L737" s="439"/>
    </row>
    <row r="738" spans="2:12">
      <c r="B738" s="88"/>
      <c r="C738" s="439"/>
      <c r="D738" s="439"/>
      <c r="E738" s="439"/>
      <c r="F738" s="439"/>
      <c r="G738" s="439"/>
      <c r="H738" s="439"/>
      <c r="I738" s="439"/>
      <c r="K738" s="439"/>
      <c r="L738" s="439"/>
    </row>
    <row r="739" spans="2:12">
      <c r="B739" s="88"/>
      <c r="C739" s="439"/>
      <c r="D739" s="439"/>
      <c r="E739" s="439"/>
      <c r="F739" s="439"/>
      <c r="G739" s="439"/>
      <c r="H739" s="439"/>
      <c r="I739" s="439"/>
      <c r="K739" s="439"/>
      <c r="L739" s="439"/>
    </row>
    <row r="740" spans="2:12">
      <c r="B740" s="88"/>
      <c r="C740" s="439"/>
      <c r="D740" s="439"/>
      <c r="E740" s="439"/>
      <c r="F740" s="439"/>
      <c r="G740" s="439"/>
      <c r="H740" s="439"/>
      <c r="I740" s="439"/>
      <c r="K740" s="439"/>
      <c r="L740" s="439"/>
    </row>
    <row r="741" spans="2:12">
      <c r="B741" s="88"/>
      <c r="C741" s="439"/>
      <c r="D741" s="439"/>
      <c r="E741" s="439"/>
      <c r="F741" s="439"/>
      <c r="G741" s="439"/>
      <c r="H741" s="439"/>
      <c r="I741" s="439"/>
      <c r="K741" s="439"/>
      <c r="L741" s="439"/>
    </row>
    <row r="742" spans="2:12">
      <c r="B742" s="88"/>
      <c r="C742" s="439"/>
      <c r="D742" s="439"/>
      <c r="E742" s="439"/>
      <c r="F742" s="439"/>
      <c r="G742" s="439"/>
      <c r="H742" s="439"/>
      <c r="I742" s="439"/>
      <c r="K742" s="439"/>
      <c r="L742" s="439"/>
    </row>
    <row r="743" spans="2:12">
      <c r="B743" s="88"/>
      <c r="C743" s="439"/>
      <c r="D743" s="439"/>
      <c r="E743" s="439"/>
      <c r="F743" s="439"/>
      <c r="G743" s="439"/>
      <c r="H743" s="439"/>
      <c r="I743" s="439"/>
      <c r="K743" s="439"/>
      <c r="L743" s="439"/>
    </row>
    <row r="744" spans="2:12">
      <c r="B744" s="88"/>
      <c r="C744" s="439"/>
      <c r="D744" s="439"/>
      <c r="E744" s="439"/>
      <c r="F744" s="439"/>
      <c r="G744" s="439"/>
      <c r="H744" s="439"/>
      <c r="I744" s="439"/>
      <c r="K744" s="439"/>
      <c r="L744" s="439"/>
    </row>
    <row r="745" spans="2:12">
      <c r="B745" s="88"/>
      <c r="C745" s="439"/>
      <c r="D745" s="439"/>
      <c r="E745" s="439"/>
      <c r="F745" s="439"/>
      <c r="G745" s="439"/>
      <c r="H745" s="439"/>
      <c r="I745" s="439"/>
      <c r="K745" s="439"/>
      <c r="L745" s="439"/>
    </row>
    <row r="746" spans="2:12">
      <c r="B746" s="88"/>
      <c r="C746" s="439"/>
      <c r="D746" s="439"/>
      <c r="E746" s="439"/>
      <c r="F746" s="439"/>
      <c r="G746" s="439"/>
      <c r="H746" s="439"/>
      <c r="I746" s="439"/>
      <c r="K746" s="439"/>
      <c r="L746" s="439"/>
    </row>
    <row r="747" spans="2:12">
      <c r="B747" s="88"/>
      <c r="C747" s="439"/>
      <c r="D747" s="439"/>
      <c r="E747" s="439"/>
      <c r="F747" s="439"/>
      <c r="G747" s="439"/>
      <c r="H747" s="439"/>
      <c r="I747" s="439"/>
      <c r="K747" s="439"/>
      <c r="L747" s="439"/>
    </row>
    <row r="748" spans="2:12">
      <c r="B748" s="88"/>
      <c r="C748" s="439"/>
      <c r="D748" s="439"/>
      <c r="E748" s="439"/>
      <c r="F748" s="439"/>
      <c r="G748" s="439"/>
      <c r="H748" s="439"/>
      <c r="I748" s="439"/>
      <c r="K748" s="439"/>
      <c r="L748" s="439"/>
    </row>
    <row r="749" spans="2:12">
      <c r="B749" s="88"/>
      <c r="C749" s="439"/>
      <c r="D749" s="439"/>
      <c r="E749" s="439"/>
      <c r="F749" s="439"/>
      <c r="G749" s="439"/>
      <c r="H749" s="439"/>
      <c r="I749" s="439"/>
      <c r="K749" s="439"/>
      <c r="L749" s="439"/>
    </row>
    <row r="750" spans="2:12">
      <c r="B750" s="88"/>
      <c r="C750" s="439"/>
      <c r="D750" s="439"/>
      <c r="E750" s="439"/>
      <c r="F750" s="439"/>
      <c r="G750" s="439"/>
      <c r="H750" s="439"/>
      <c r="I750" s="439"/>
      <c r="K750" s="439"/>
      <c r="L750" s="439"/>
    </row>
    <row r="751" spans="2:12">
      <c r="B751" s="88"/>
      <c r="C751" s="439"/>
      <c r="D751" s="439"/>
      <c r="E751" s="439"/>
      <c r="F751" s="439"/>
      <c r="G751" s="439"/>
      <c r="H751" s="439"/>
      <c r="I751" s="439"/>
      <c r="K751" s="439"/>
      <c r="L751" s="439"/>
    </row>
    <row r="752" spans="2:12">
      <c r="B752" s="88"/>
      <c r="C752" s="439"/>
      <c r="D752" s="439"/>
      <c r="E752" s="439"/>
      <c r="F752" s="439"/>
      <c r="G752" s="439"/>
      <c r="H752" s="439"/>
      <c r="I752" s="439"/>
      <c r="K752" s="439"/>
      <c r="L752" s="439"/>
    </row>
    <row r="753" spans="2:12">
      <c r="B753" s="88"/>
      <c r="C753" s="439"/>
      <c r="D753" s="439"/>
      <c r="E753" s="439"/>
      <c r="F753" s="439"/>
      <c r="G753" s="439"/>
      <c r="H753" s="439"/>
      <c r="I753" s="439"/>
      <c r="K753" s="439"/>
      <c r="L753" s="439"/>
    </row>
    <row r="754" spans="2:12">
      <c r="B754" s="88"/>
      <c r="C754" s="439"/>
      <c r="D754" s="439"/>
      <c r="E754" s="439"/>
      <c r="F754" s="439"/>
      <c r="G754" s="439"/>
      <c r="H754" s="439"/>
      <c r="I754" s="439"/>
      <c r="K754" s="439"/>
      <c r="L754" s="439"/>
    </row>
    <row r="755" spans="2:12">
      <c r="B755" s="88"/>
      <c r="C755" s="439"/>
      <c r="D755" s="439"/>
      <c r="E755" s="439"/>
      <c r="F755" s="439"/>
      <c r="G755" s="439"/>
      <c r="H755" s="439"/>
      <c r="I755" s="439"/>
      <c r="K755" s="439"/>
      <c r="L755" s="439"/>
    </row>
    <row r="756" spans="2:12">
      <c r="B756" s="88"/>
      <c r="C756" s="439"/>
      <c r="D756" s="439"/>
      <c r="E756" s="439"/>
      <c r="F756" s="439"/>
      <c r="G756" s="439"/>
      <c r="H756" s="439"/>
      <c r="I756" s="439"/>
      <c r="K756" s="439"/>
      <c r="L756" s="439"/>
    </row>
    <row r="757" spans="2:12">
      <c r="B757" s="88"/>
      <c r="C757" s="439"/>
      <c r="D757" s="439"/>
      <c r="E757" s="439"/>
      <c r="F757" s="439"/>
      <c r="G757" s="439"/>
      <c r="H757" s="439"/>
      <c r="I757" s="439"/>
      <c r="K757" s="439"/>
      <c r="L757" s="439"/>
    </row>
    <row r="758" spans="2:12">
      <c r="B758" s="88"/>
      <c r="C758" s="439"/>
      <c r="D758" s="439"/>
      <c r="E758" s="439"/>
      <c r="F758" s="439"/>
      <c r="G758" s="439"/>
      <c r="H758" s="439"/>
      <c r="I758" s="439"/>
      <c r="K758" s="439"/>
      <c r="L758" s="439"/>
    </row>
    <row r="759" spans="2:12">
      <c r="B759" s="88"/>
      <c r="C759" s="439"/>
      <c r="D759" s="439"/>
      <c r="E759" s="439"/>
      <c r="F759" s="439"/>
      <c r="G759" s="439"/>
      <c r="H759" s="439"/>
      <c r="I759" s="439"/>
      <c r="K759" s="439"/>
      <c r="L759" s="439"/>
    </row>
    <row r="760" spans="2:12">
      <c r="B760" s="88"/>
      <c r="C760" s="439"/>
      <c r="D760" s="439"/>
      <c r="E760" s="439"/>
      <c r="F760" s="439"/>
      <c r="G760" s="439"/>
      <c r="H760" s="439"/>
      <c r="I760" s="439"/>
      <c r="K760" s="439"/>
      <c r="L760" s="439"/>
    </row>
    <row r="761" spans="2:12">
      <c r="B761" s="88"/>
      <c r="C761" s="439"/>
      <c r="D761" s="439"/>
      <c r="E761" s="439"/>
      <c r="F761" s="439"/>
      <c r="G761" s="439"/>
      <c r="H761" s="439"/>
      <c r="I761" s="439"/>
      <c r="K761" s="439"/>
      <c r="L761" s="439"/>
    </row>
    <row r="762" spans="2:12">
      <c r="B762" s="88"/>
      <c r="C762" s="439"/>
      <c r="D762" s="439"/>
      <c r="E762" s="439"/>
      <c r="F762" s="439"/>
      <c r="G762" s="439"/>
      <c r="H762" s="439"/>
      <c r="I762" s="439"/>
      <c r="K762" s="439"/>
      <c r="L762" s="439"/>
    </row>
    <row r="763" spans="2:12">
      <c r="B763" s="88"/>
      <c r="C763" s="439"/>
      <c r="D763" s="439"/>
      <c r="E763" s="439"/>
      <c r="F763" s="439"/>
      <c r="G763" s="439"/>
      <c r="H763" s="439"/>
      <c r="I763" s="439"/>
      <c r="K763" s="439"/>
      <c r="L763" s="439"/>
    </row>
    <row r="764" spans="2:12">
      <c r="B764" s="88"/>
      <c r="C764" s="439"/>
      <c r="D764" s="439"/>
      <c r="E764" s="439"/>
      <c r="F764" s="439"/>
      <c r="G764" s="439"/>
      <c r="H764" s="439"/>
      <c r="I764" s="439"/>
      <c r="K764" s="439"/>
      <c r="L764" s="439"/>
    </row>
    <row r="765" spans="2:12">
      <c r="B765" s="88"/>
      <c r="C765" s="439"/>
      <c r="D765" s="439"/>
      <c r="E765" s="439"/>
      <c r="F765" s="439"/>
      <c r="G765" s="439"/>
      <c r="H765" s="439"/>
      <c r="I765" s="439"/>
      <c r="K765" s="439"/>
      <c r="L765" s="439"/>
    </row>
    <row r="766" spans="2:12">
      <c r="B766" s="88"/>
      <c r="C766" s="439"/>
      <c r="D766" s="439"/>
      <c r="E766" s="439"/>
      <c r="F766" s="439"/>
      <c r="G766" s="439"/>
      <c r="H766" s="439"/>
      <c r="I766" s="439"/>
      <c r="K766" s="439"/>
      <c r="L766" s="439"/>
    </row>
    <row r="767" spans="2:12">
      <c r="B767" s="88"/>
      <c r="C767" s="439"/>
      <c r="D767" s="439"/>
      <c r="E767" s="439"/>
      <c r="F767" s="439"/>
      <c r="G767" s="439"/>
      <c r="H767" s="439"/>
      <c r="I767" s="439"/>
      <c r="K767" s="439"/>
      <c r="L767" s="439"/>
    </row>
    <row r="768" spans="2:12">
      <c r="B768" s="88"/>
      <c r="C768" s="439"/>
      <c r="D768" s="439"/>
      <c r="E768" s="439"/>
      <c r="F768" s="439"/>
      <c r="G768" s="439"/>
      <c r="H768" s="439"/>
      <c r="I768" s="439"/>
      <c r="K768" s="439"/>
      <c r="L768" s="439"/>
    </row>
    <row r="769" spans="2:12">
      <c r="B769" s="88"/>
      <c r="C769" s="439"/>
      <c r="D769" s="439"/>
      <c r="E769" s="439"/>
      <c r="F769" s="439"/>
      <c r="G769" s="439"/>
      <c r="H769" s="439"/>
      <c r="I769" s="439"/>
      <c r="K769" s="439"/>
      <c r="L769" s="439"/>
    </row>
    <row r="770" spans="2:12">
      <c r="B770" s="88"/>
      <c r="C770" s="439"/>
      <c r="D770" s="439"/>
      <c r="E770" s="439"/>
      <c r="F770" s="439"/>
      <c r="G770" s="439"/>
      <c r="H770" s="439"/>
      <c r="I770" s="439"/>
      <c r="K770" s="439"/>
      <c r="L770" s="439"/>
    </row>
    <row r="771" spans="2:12">
      <c r="B771" s="88"/>
      <c r="C771" s="439"/>
      <c r="D771" s="439"/>
      <c r="E771" s="439"/>
      <c r="F771" s="439"/>
      <c r="G771" s="439"/>
      <c r="H771" s="439"/>
      <c r="I771" s="439"/>
      <c r="K771" s="439"/>
      <c r="L771" s="439"/>
    </row>
    <row r="772" spans="2:12">
      <c r="B772" s="88"/>
      <c r="C772" s="439"/>
      <c r="D772" s="439"/>
      <c r="E772" s="439"/>
      <c r="F772" s="439"/>
      <c r="G772" s="439"/>
      <c r="H772" s="439"/>
      <c r="I772" s="439"/>
      <c r="K772" s="439"/>
      <c r="L772" s="439"/>
    </row>
    <row r="773" spans="2:12">
      <c r="B773" s="88"/>
      <c r="C773" s="439"/>
      <c r="D773" s="439"/>
      <c r="E773" s="439"/>
      <c r="F773" s="439"/>
      <c r="G773" s="439"/>
      <c r="H773" s="439"/>
      <c r="I773" s="439"/>
      <c r="K773" s="439"/>
      <c r="L773" s="439"/>
    </row>
    <row r="774" spans="2:12">
      <c r="B774" s="88"/>
      <c r="C774" s="439"/>
      <c r="D774" s="439"/>
      <c r="E774" s="439"/>
      <c r="F774" s="439"/>
      <c r="G774" s="439"/>
      <c r="H774" s="439"/>
      <c r="I774" s="439"/>
      <c r="K774" s="439"/>
      <c r="L774" s="439"/>
    </row>
    <row r="775" spans="2:12">
      <c r="B775" s="88"/>
      <c r="C775" s="439"/>
      <c r="D775" s="439"/>
      <c r="E775" s="439"/>
      <c r="F775" s="439"/>
      <c r="G775" s="439"/>
      <c r="H775" s="439"/>
      <c r="I775" s="439"/>
      <c r="K775" s="439"/>
      <c r="L775" s="439"/>
    </row>
    <row r="776" spans="2:12">
      <c r="B776" s="88"/>
      <c r="C776" s="439"/>
      <c r="D776" s="439"/>
      <c r="E776" s="439"/>
      <c r="F776" s="439"/>
      <c r="G776" s="439"/>
      <c r="H776" s="439"/>
      <c r="I776" s="439"/>
      <c r="K776" s="439"/>
      <c r="L776" s="439"/>
    </row>
    <row r="777" spans="2:12">
      <c r="B777" s="88"/>
      <c r="C777" s="439"/>
      <c r="D777" s="439"/>
      <c r="E777" s="439"/>
      <c r="F777" s="439"/>
      <c r="G777" s="439"/>
      <c r="H777" s="439"/>
      <c r="I777" s="439"/>
      <c r="K777" s="439"/>
      <c r="L777" s="439"/>
    </row>
    <row r="778" spans="2:12">
      <c r="B778" s="88"/>
      <c r="C778" s="439"/>
      <c r="D778" s="439"/>
      <c r="E778" s="439"/>
      <c r="F778" s="439"/>
      <c r="G778" s="439"/>
      <c r="H778" s="439"/>
      <c r="I778" s="439"/>
      <c r="K778" s="439"/>
      <c r="L778" s="439"/>
    </row>
    <row r="779" spans="2:12">
      <c r="B779" s="88"/>
      <c r="C779" s="439"/>
      <c r="D779" s="439"/>
      <c r="E779" s="439"/>
      <c r="F779" s="439"/>
      <c r="G779" s="439"/>
      <c r="H779" s="439"/>
      <c r="I779" s="439"/>
      <c r="K779" s="439"/>
      <c r="L779" s="439"/>
    </row>
    <row r="780" spans="2:12">
      <c r="B780" s="88"/>
      <c r="C780" s="439"/>
      <c r="D780" s="439"/>
      <c r="E780" s="439"/>
      <c r="F780" s="439"/>
      <c r="G780" s="439"/>
      <c r="H780" s="439"/>
      <c r="I780" s="439"/>
      <c r="K780" s="439"/>
      <c r="L780" s="439"/>
    </row>
    <row r="781" spans="2:12">
      <c r="B781" s="88"/>
      <c r="C781" s="439"/>
      <c r="D781" s="439"/>
      <c r="E781" s="439"/>
      <c r="F781" s="439"/>
      <c r="G781" s="439"/>
      <c r="H781" s="439"/>
      <c r="I781" s="439"/>
      <c r="K781" s="439"/>
      <c r="L781" s="439"/>
    </row>
    <row r="782" spans="2:12">
      <c r="B782" s="88"/>
      <c r="C782" s="439"/>
      <c r="D782" s="439"/>
      <c r="E782" s="439"/>
      <c r="F782" s="439"/>
      <c r="G782" s="439"/>
      <c r="H782" s="439"/>
      <c r="I782" s="439"/>
      <c r="K782" s="439"/>
      <c r="L782" s="439"/>
    </row>
    <row r="783" spans="2:12">
      <c r="B783" s="88"/>
      <c r="C783" s="439"/>
      <c r="D783" s="439"/>
      <c r="E783" s="439"/>
      <c r="F783" s="439"/>
      <c r="G783" s="439"/>
      <c r="H783" s="439"/>
      <c r="I783" s="439"/>
      <c r="K783" s="439"/>
      <c r="L783" s="439"/>
    </row>
    <row r="784" spans="2:12">
      <c r="B784" s="88"/>
      <c r="C784" s="439"/>
      <c r="D784" s="439"/>
      <c r="E784" s="439"/>
      <c r="F784" s="439"/>
      <c r="G784" s="439"/>
      <c r="H784" s="439"/>
      <c r="I784" s="439"/>
      <c r="K784" s="439"/>
      <c r="L784" s="439"/>
    </row>
    <row r="785" spans="2:12">
      <c r="B785" s="88"/>
      <c r="C785" s="439"/>
      <c r="D785" s="439"/>
      <c r="E785" s="439"/>
      <c r="F785" s="439"/>
      <c r="G785" s="439"/>
      <c r="H785" s="439"/>
      <c r="I785" s="439"/>
      <c r="K785" s="439"/>
      <c r="L785" s="439"/>
    </row>
    <row r="786" spans="2:12">
      <c r="B786" s="88"/>
      <c r="C786" s="439"/>
      <c r="D786" s="439"/>
      <c r="E786" s="439"/>
      <c r="F786" s="439"/>
      <c r="G786" s="439"/>
      <c r="H786" s="439"/>
      <c r="I786" s="439"/>
      <c r="K786" s="439"/>
      <c r="L786" s="439"/>
    </row>
    <row r="787" spans="2:12">
      <c r="B787" s="88"/>
      <c r="C787" s="439"/>
      <c r="D787" s="439"/>
      <c r="E787" s="439"/>
      <c r="F787" s="439"/>
      <c r="G787" s="439"/>
      <c r="H787" s="439"/>
      <c r="I787" s="439"/>
      <c r="K787" s="439"/>
      <c r="L787" s="439"/>
    </row>
    <row r="788" spans="2:12">
      <c r="B788" s="88"/>
      <c r="C788" s="439"/>
      <c r="D788" s="439"/>
      <c r="E788" s="439"/>
      <c r="F788" s="439"/>
      <c r="G788" s="439"/>
      <c r="H788" s="439"/>
      <c r="I788" s="439"/>
      <c r="K788" s="439"/>
      <c r="L788" s="439"/>
    </row>
    <row r="789" spans="2:12">
      <c r="B789" s="88"/>
      <c r="C789" s="439"/>
      <c r="D789" s="439"/>
      <c r="E789" s="439"/>
      <c r="F789" s="439"/>
      <c r="G789" s="439"/>
      <c r="H789" s="439"/>
      <c r="I789" s="439"/>
      <c r="K789" s="439"/>
      <c r="L789" s="439"/>
    </row>
    <row r="790" spans="2:12">
      <c r="B790" s="88"/>
      <c r="C790" s="439"/>
      <c r="D790" s="439"/>
      <c r="E790" s="439"/>
      <c r="F790" s="439"/>
      <c r="G790" s="439"/>
      <c r="H790" s="439"/>
      <c r="I790" s="439"/>
      <c r="K790" s="439"/>
      <c r="L790" s="439"/>
    </row>
    <row r="791" spans="2:12">
      <c r="B791" s="88"/>
      <c r="C791" s="439"/>
      <c r="D791" s="439"/>
      <c r="E791" s="439"/>
      <c r="F791" s="439"/>
      <c r="G791" s="439"/>
      <c r="H791" s="439"/>
      <c r="I791" s="439"/>
      <c r="K791" s="439"/>
      <c r="L791" s="439"/>
    </row>
    <row r="792" spans="2:12">
      <c r="B792" s="88"/>
      <c r="C792" s="439"/>
      <c r="D792" s="439"/>
      <c r="E792" s="439"/>
      <c r="F792" s="439"/>
      <c r="G792" s="439"/>
      <c r="H792" s="439"/>
      <c r="I792" s="439"/>
      <c r="K792" s="439"/>
      <c r="L792" s="439"/>
    </row>
    <row r="793" spans="2:12">
      <c r="B793" s="88"/>
      <c r="C793" s="439"/>
      <c r="D793" s="439"/>
      <c r="E793" s="439"/>
      <c r="F793" s="439"/>
      <c r="G793" s="439"/>
      <c r="H793" s="439"/>
      <c r="I793" s="439"/>
      <c r="K793" s="439"/>
      <c r="L793" s="439"/>
    </row>
    <row r="794" spans="2:12">
      <c r="B794" s="88"/>
      <c r="C794" s="439"/>
      <c r="D794" s="439"/>
      <c r="E794" s="439"/>
      <c r="F794" s="439"/>
      <c r="G794" s="439"/>
      <c r="H794" s="439"/>
      <c r="I794" s="439"/>
      <c r="K794" s="439"/>
      <c r="L794" s="439"/>
    </row>
    <row r="795" spans="2:12">
      <c r="B795" s="88"/>
      <c r="C795" s="439"/>
      <c r="D795" s="439"/>
      <c r="E795" s="439"/>
      <c r="F795" s="439"/>
      <c r="G795" s="439"/>
      <c r="H795" s="439"/>
      <c r="I795" s="439"/>
      <c r="K795" s="439"/>
      <c r="L795" s="439"/>
    </row>
    <row r="796" spans="2:12">
      <c r="B796" s="88"/>
      <c r="C796" s="439"/>
      <c r="D796" s="439"/>
      <c r="E796" s="439"/>
      <c r="F796" s="439"/>
      <c r="G796" s="439"/>
      <c r="H796" s="439"/>
      <c r="I796" s="439"/>
      <c r="K796" s="439"/>
      <c r="L796" s="439"/>
    </row>
    <row r="797" spans="2:12">
      <c r="B797" s="88"/>
      <c r="C797" s="439"/>
      <c r="D797" s="439"/>
      <c r="E797" s="439"/>
      <c r="F797" s="439"/>
      <c r="G797" s="439"/>
      <c r="H797" s="439"/>
      <c r="I797" s="439"/>
      <c r="K797" s="439"/>
      <c r="L797" s="439"/>
    </row>
    <row r="798" spans="2:12">
      <c r="B798" s="88"/>
      <c r="C798" s="439"/>
      <c r="D798" s="439"/>
      <c r="E798" s="439"/>
      <c r="F798" s="439"/>
      <c r="G798" s="439"/>
      <c r="H798" s="439"/>
      <c r="I798" s="439"/>
      <c r="K798" s="439"/>
      <c r="L798" s="439"/>
    </row>
    <row r="799" spans="2:12">
      <c r="B799" s="88"/>
      <c r="C799" s="439"/>
      <c r="D799" s="439"/>
      <c r="E799" s="439"/>
      <c r="F799" s="439"/>
      <c r="G799" s="439"/>
      <c r="H799" s="439"/>
      <c r="I799" s="439"/>
      <c r="K799" s="439"/>
      <c r="L799" s="439"/>
    </row>
    <row r="800" spans="2:12">
      <c r="B800" s="88"/>
      <c r="C800" s="439"/>
      <c r="D800" s="439"/>
      <c r="E800" s="439"/>
      <c r="F800" s="439"/>
      <c r="G800" s="439"/>
      <c r="H800" s="439"/>
      <c r="I800" s="439"/>
      <c r="K800" s="439"/>
      <c r="L800" s="439"/>
    </row>
    <row r="801" spans="2:12">
      <c r="B801" s="88"/>
      <c r="C801" s="439"/>
      <c r="D801" s="439"/>
      <c r="E801" s="439"/>
      <c r="F801" s="439"/>
      <c r="G801" s="439"/>
      <c r="H801" s="439"/>
      <c r="I801" s="439"/>
      <c r="K801" s="439"/>
      <c r="L801" s="439"/>
    </row>
    <row r="802" spans="2:12">
      <c r="B802" s="88"/>
      <c r="C802" s="439"/>
      <c r="D802" s="439"/>
      <c r="E802" s="439"/>
      <c r="F802" s="439"/>
      <c r="G802" s="439"/>
      <c r="H802" s="439"/>
      <c r="I802" s="439"/>
      <c r="K802" s="439"/>
      <c r="L802" s="439"/>
    </row>
    <row r="803" spans="2:12">
      <c r="B803" s="88"/>
      <c r="C803" s="439"/>
      <c r="D803" s="439"/>
      <c r="E803" s="439"/>
      <c r="F803" s="439"/>
      <c r="G803" s="439"/>
      <c r="H803" s="439"/>
      <c r="I803" s="439"/>
      <c r="K803" s="439"/>
      <c r="L803" s="439"/>
    </row>
    <row r="804" spans="2:12">
      <c r="B804" s="88"/>
      <c r="C804" s="439"/>
      <c r="D804" s="439"/>
      <c r="E804" s="439"/>
      <c r="F804" s="439"/>
      <c r="G804" s="439"/>
      <c r="H804" s="439"/>
      <c r="I804" s="439"/>
      <c r="K804" s="439"/>
      <c r="L804" s="439"/>
    </row>
    <row r="805" spans="2:12">
      <c r="B805" s="88"/>
      <c r="C805" s="439"/>
      <c r="D805" s="439"/>
      <c r="E805" s="439"/>
      <c r="F805" s="439"/>
      <c r="G805" s="439"/>
      <c r="H805" s="439"/>
      <c r="I805" s="439"/>
      <c r="K805" s="439"/>
      <c r="L805" s="439"/>
    </row>
    <row r="806" spans="2:12">
      <c r="B806" s="88"/>
      <c r="C806" s="439"/>
      <c r="D806" s="439"/>
      <c r="E806" s="439"/>
      <c r="F806" s="439"/>
      <c r="G806" s="439"/>
      <c r="H806" s="439"/>
      <c r="I806" s="439"/>
      <c r="K806" s="439"/>
      <c r="L806" s="439"/>
    </row>
    <row r="807" spans="2:12">
      <c r="B807" s="88"/>
      <c r="C807" s="439"/>
      <c r="D807" s="439"/>
      <c r="E807" s="439"/>
      <c r="F807" s="439"/>
      <c r="G807" s="439"/>
      <c r="H807" s="439"/>
      <c r="I807" s="439"/>
      <c r="K807" s="439"/>
      <c r="L807" s="439"/>
    </row>
    <row r="808" spans="2:12">
      <c r="B808" s="88"/>
      <c r="C808" s="439"/>
      <c r="D808" s="439"/>
      <c r="E808" s="439"/>
      <c r="F808" s="439"/>
      <c r="G808" s="439"/>
      <c r="H808" s="439"/>
      <c r="I808" s="439"/>
      <c r="K808" s="439"/>
      <c r="L808" s="439"/>
    </row>
    <row r="809" spans="2:12">
      <c r="B809" s="88"/>
      <c r="C809" s="439"/>
      <c r="D809" s="439"/>
      <c r="E809" s="439"/>
      <c r="F809" s="439"/>
      <c r="G809" s="439"/>
      <c r="H809" s="439"/>
      <c r="I809" s="439"/>
      <c r="K809" s="439"/>
      <c r="L809" s="439"/>
    </row>
    <row r="810" spans="2:12">
      <c r="B810" s="88"/>
      <c r="C810" s="439"/>
      <c r="D810" s="439"/>
      <c r="E810" s="439"/>
      <c r="F810" s="439"/>
      <c r="G810" s="439"/>
      <c r="H810" s="439"/>
      <c r="I810" s="439"/>
      <c r="K810" s="439"/>
      <c r="L810" s="439"/>
    </row>
    <row r="811" spans="2:12">
      <c r="B811" s="88"/>
      <c r="C811" s="439"/>
      <c r="D811" s="439"/>
      <c r="E811" s="439"/>
      <c r="F811" s="439"/>
      <c r="G811" s="439"/>
      <c r="H811" s="439"/>
      <c r="I811" s="439"/>
      <c r="K811" s="439"/>
      <c r="L811" s="439"/>
    </row>
    <row r="812" spans="2:12">
      <c r="B812" s="88"/>
      <c r="C812" s="439"/>
      <c r="D812" s="439"/>
      <c r="E812" s="439"/>
      <c r="F812" s="439"/>
      <c r="G812" s="439"/>
      <c r="H812" s="439"/>
      <c r="I812" s="439"/>
      <c r="K812" s="439"/>
      <c r="L812" s="439"/>
    </row>
    <row r="813" spans="2:12">
      <c r="B813" s="88"/>
      <c r="C813" s="439"/>
      <c r="D813" s="439"/>
      <c r="E813" s="439"/>
      <c r="F813" s="439"/>
      <c r="G813" s="439"/>
      <c r="H813" s="439"/>
      <c r="I813" s="439"/>
      <c r="K813" s="439"/>
      <c r="L813" s="439"/>
    </row>
    <row r="814" spans="2:12">
      <c r="B814" s="88"/>
      <c r="C814" s="439"/>
      <c r="D814" s="439"/>
      <c r="E814" s="439"/>
      <c r="F814" s="439"/>
      <c r="G814" s="439"/>
      <c r="H814" s="439"/>
      <c r="I814" s="439"/>
      <c r="K814" s="439"/>
      <c r="L814" s="439"/>
    </row>
    <row r="815" spans="2:12">
      <c r="B815" s="88"/>
      <c r="C815" s="439"/>
      <c r="D815" s="439"/>
      <c r="E815" s="439"/>
      <c r="F815" s="439"/>
      <c r="G815" s="439"/>
      <c r="H815" s="439"/>
      <c r="I815" s="439"/>
      <c r="K815" s="439"/>
      <c r="L815" s="439"/>
    </row>
    <row r="816" spans="2:12">
      <c r="B816" s="88"/>
      <c r="C816" s="439"/>
      <c r="D816" s="439"/>
      <c r="E816" s="439"/>
      <c r="F816" s="439"/>
      <c r="G816" s="439"/>
      <c r="H816" s="439"/>
      <c r="I816" s="439"/>
      <c r="K816" s="439"/>
      <c r="L816" s="439"/>
    </row>
    <row r="817" spans="2:12">
      <c r="B817" s="88"/>
      <c r="C817" s="439"/>
      <c r="D817" s="439"/>
      <c r="E817" s="439"/>
      <c r="F817" s="439"/>
      <c r="G817" s="439"/>
      <c r="H817" s="439"/>
      <c r="I817" s="439"/>
      <c r="K817" s="439"/>
      <c r="L817" s="439"/>
    </row>
    <row r="818" spans="2:12">
      <c r="B818" s="88"/>
      <c r="C818" s="439"/>
      <c r="D818" s="439"/>
      <c r="E818" s="439"/>
      <c r="F818" s="439"/>
      <c r="G818" s="439"/>
      <c r="H818" s="439"/>
      <c r="I818" s="439"/>
      <c r="K818" s="439"/>
      <c r="L818" s="439"/>
    </row>
    <row r="819" spans="2:12">
      <c r="B819" s="88"/>
      <c r="C819" s="439"/>
      <c r="D819" s="439"/>
      <c r="E819" s="439"/>
      <c r="F819" s="439"/>
      <c r="G819" s="439"/>
      <c r="H819" s="439"/>
      <c r="I819" s="439"/>
      <c r="K819" s="439"/>
      <c r="L819" s="439"/>
    </row>
    <row r="820" spans="2:12">
      <c r="B820" s="88"/>
      <c r="C820" s="439"/>
      <c r="D820" s="439"/>
      <c r="E820" s="439"/>
      <c r="F820" s="439"/>
      <c r="G820" s="439"/>
      <c r="H820" s="439"/>
      <c r="I820" s="439"/>
      <c r="K820" s="439"/>
      <c r="L820" s="439"/>
    </row>
    <row r="821" spans="2:12">
      <c r="B821" s="88"/>
      <c r="C821" s="439"/>
      <c r="D821" s="439"/>
      <c r="E821" s="439"/>
      <c r="F821" s="439"/>
      <c r="G821" s="439"/>
      <c r="H821" s="439"/>
      <c r="I821" s="439"/>
      <c r="K821" s="439"/>
      <c r="L821" s="439"/>
    </row>
    <row r="822" spans="2:12">
      <c r="B822" s="88"/>
      <c r="C822" s="439"/>
      <c r="D822" s="439"/>
      <c r="E822" s="439"/>
      <c r="F822" s="439"/>
      <c r="G822" s="439"/>
      <c r="H822" s="439"/>
      <c r="I822" s="439"/>
      <c r="K822" s="439"/>
      <c r="L822" s="439"/>
    </row>
    <row r="823" spans="2:12">
      <c r="B823" s="88"/>
      <c r="C823" s="439"/>
      <c r="D823" s="439"/>
      <c r="E823" s="439"/>
      <c r="F823" s="439"/>
      <c r="G823" s="439"/>
      <c r="H823" s="439"/>
      <c r="I823" s="439"/>
      <c r="K823" s="439"/>
      <c r="L823" s="439"/>
    </row>
    <row r="824" spans="2:12">
      <c r="B824" s="88"/>
      <c r="C824" s="439"/>
      <c r="D824" s="439"/>
      <c r="E824" s="439"/>
      <c r="F824" s="439"/>
      <c r="G824" s="439"/>
      <c r="H824" s="439"/>
      <c r="I824" s="439"/>
      <c r="K824" s="439"/>
      <c r="L824" s="439"/>
    </row>
    <row r="825" spans="2:12">
      <c r="B825" s="88"/>
      <c r="C825" s="439"/>
      <c r="D825" s="439"/>
      <c r="E825" s="439"/>
      <c r="F825" s="439"/>
      <c r="G825" s="439"/>
      <c r="H825" s="439"/>
      <c r="I825" s="439"/>
      <c r="K825" s="439"/>
      <c r="L825" s="439"/>
    </row>
    <row r="826" spans="2:12">
      <c r="B826" s="88"/>
      <c r="C826" s="439"/>
      <c r="D826" s="439"/>
      <c r="E826" s="439"/>
      <c r="F826" s="439"/>
      <c r="G826" s="439"/>
      <c r="H826" s="439"/>
      <c r="I826" s="439"/>
      <c r="K826" s="439"/>
      <c r="L826" s="439"/>
    </row>
    <row r="827" spans="2:12">
      <c r="B827" s="88"/>
      <c r="C827" s="439"/>
      <c r="D827" s="439"/>
      <c r="E827" s="439"/>
      <c r="F827" s="439"/>
      <c r="G827" s="439"/>
      <c r="H827" s="439"/>
      <c r="I827" s="439"/>
      <c r="K827" s="439"/>
      <c r="L827" s="439"/>
    </row>
    <row r="828" spans="2:12">
      <c r="B828" s="88"/>
      <c r="C828" s="439"/>
      <c r="D828" s="439"/>
      <c r="E828" s="439"/>
      <c r="F828" s="439"/>
      <c r="G828" s="439"/>
      <c r="H828" s="439"/>
      <c r="I828" s="439"/>
      <c r="K828" s="439"/>
      <c r="L828" s="439"/>
    </row>
    <row r="829" spans="2:12">
      <c r="B829" s="88"/>
      <c r="C829" s="439"/>
      <c r="D829" s="439"/>
      <c r="E829" s="439"/>
      <c r="F829" s="439"/>
      <c r="G829" s="439"/>
      <c r="H829" s="439"/>
      <c r="I829" s="439"/>
      <c r="K829" s="439"/>
      <c r="L829" s="439"/>
    </row>
    <row r="830" spans="2:12">
      <c r="B830" s="88"/>
      <c r="C830" s="439"/>
      <c r="D830" s="439"/>
      <c r="E830" s="439"/>
      <c r="F830" s="439"/>
      <c r="G830" s="439"/>
      <c r="H830" s="439"/>
      <c r="I830" s="439"/>
      <c r="K830" s="439"/>
      <c r="L830" s="439"/>
    </row>
    <row r="831" spans="2:12">
      <c r="B831" s="88"/>
      <c r="C831" s="439"/>
      <c r="D831" s="439"/>
      <c r="E831" s="439"/>
      <c r="F831" s="439"/>
      <c r="G831" s="439"/>
      <c r="H831" s="439"/>
      <c r="I831" s="439"/>
      <c r="K831" s="439"/>
      <c r="L831" s="439"/>
    </row>
    <row r="832" spans="2:12">
      <c r="B832" s="88"/>
      <c r="C832" s="439"/>
      <c r="D832" s="439"/>
      <c r="E832" s="439"/>
      <c r="F832" s="439"/>
      <c r="G832" s="439"/>
      <c r="H832" s="439"/>
      <c r="I832" s="439"/>
      <c r="K832" s="439"/>
      <c r="L832" s="439"/>
    </row>
    <row r="833" spans="2:12">
      <c r="B833" s="88"/>
      <c r="C833" s="439"/>
      <c r="D833" s="439"/>
      <c r="E833" s="439"/>
      <c r="F833" s="439"/>
      <c r="G833" s="439"/>
      <c r="H833" s="439"/>
      <c r="I833" s="439"/>
      <c r="K833" s="439"/>
      <c r="L833" s="439"/>
    </row>
    <row r="834" spans="2:12">
      <c r="B834" s="88"/>
      <c r="C834" s="439"/>
      <c r="D834" s="439"/>
      <c r="E834" s="439"/>
      <c r="F834" s="439"/>
      <c r="G834" s="439"/>
      <c r="H834" s="439"/>
      <c r="I834" s="439"/>
      <c r="K834" s="439"/>
      <c r="L834" s="439"/>
    </row>
    <row r="835" spans="2:12">
      <c r="B835" s="88"/>
      <c r="C835" s="439"/>
      <c r="D835" s="439"/>
      <c r="E835" s="439"/>
      <c r="F835" s="439"/>
      <c r="G835" s="439"/>
      <c r="H835" s="439"/>
      <c r="I835" s="439"/>
      <c r="K835" s="439"/>
      <c r="L835" s="439"/>
    </row>
    <row r="836" spans="2:12">
      <c r="B836" s="88"/>
      <c r="C836" s="439"/>
      <c r="D836" s="439"/>
      <c r="E836" s="439"/>
      <c r="F836" s="439"/>
      <c r="G836" s="439"/>
      <c r="H836" s="439"/>
      <c r="I836" s="439"/>
      <c r="K836" s="439"/>
      <c r="L836" s="439"/>
    </row>
    <row r="837" spans="2:12">
      <c r="B837" s="88"/>
      <c r="C837" s="439"/>
      <c r="D837" s="439"/>
      <c r="E837" s="439"/>
      <c r="F837" s="439"/>
      <c r="G837" s="439"/>
      <c r="H837" s="439"/>
      <c r="I837" s="439"/>
      <c r="K837" s="439"/>
      <c r="L837" s="439"/>
    </row>
    <row r="838" spans="2:12">
      <c r="B838" s="88"/>
      <c r="C838" s="439"/>
      <c r="D838" s="439"/>
      <c r="E838" s="439"/>
      <c r="F838" s="439"/>
      <c r="G838" s="439"/>
      <c r="H838" s="439"/>
      <c r="I838" s="439"/>
      <c r="K838" s="439"/>
      <c r="L838" s="439"/>
    </row>
    <row r="839" spans="2:12">
      <c r="B839" s="88"/>
      <c r="C839" s="439"/>
      <c r="D839" s="439"/>
      <c r="E839" s="439"/>
      <c r="F839" s="439"/>
      <c r="G839" s="439"/>
      <c r="H839" s="439"/>
      <c r="I839" s="439"/>
      <c r="K839" s="439"/>
      <c r="L839" s="439"/>
    </row>
    <row r="840" spans="2:12">
      <c r="B840" s="88"/>
      <c r="C840" s="439"/>
      <c r="D840" s="439"/>
      <c r="E840" s="439"/>
      <c r="F840" s="439"/>
      <c r="G840" s="439"/>
      <c r="H840" s="439"/>
      <c r="I840" s="439"/>
      <c r="K840" s="439"/>
      <c r="L840" s="439"/>
    </row>
    <row r="841" spans="2:12">
      <c r="B841" s="88"/>
      <c r="C841" s="439"/>
      <c r="D841" s="439"/>
      <c r="E841" s="439"/>
      <c r="F841" s="439"/>
      <c r="G841" s="439"/>
      <c r="H841" s="439"/>
      <c r="I841" s="439"/>
      <c r="K841" s="439"/>
      <c r="L841" s="439"/>
    </row>
    <row r="842" spans="2:12">
      <c r="B842" s="88"/>
      <c r="C842" s="439"/>
      <c r="D842" s="439"/>
      <c r="E842" s="439"/>
      <c r="F842" s="439"/>
      <c r="G842" s="439"/>
      <c r="H842" s="439"/>
      <c r="I842" s="439"/>
      <c r="K842" s="439"/>
      <c r="L842" s="439"/>
    </row>
    <row r="843" spans="2:12">
      <c r="B843" s="88"/>
      <c r="C843" s="439"/>
      <c r="D843" s="439"/>
      <c r="E843" s="439"/>
      <c r="F843" s="439"/>
      <c r="G843" s="439"/>
      <c r="H843" s="439"/>
      <c r="I843" s="439"/>
      <c r="K843" s="439"/>
      <c r="L843" s="439"/>
    </row>
    <row r="844" spans="2:12">
      <c r="B844" s="88"/>
      <c r="C844" s="439"/>
      <c r="D844" s="439"/>
      <c r="E844" s="439"/>
      <c r="F844" s="439"/>
      <c r="G844" s="439"/>
      <c r="H844" s="439"/>
      <c r="I844" s="439"/>
      <c r="K844" s="439"/>
      <c r="L844" s="439"/>
    </row>
    <row r="845" spans="2:12">
      <c r="B845" s="88"/>
      <c r="C845" s="439"/>
      <c r="D845" s="439"/>
      <c r="E845" s="439"/>
      <c r="F845" s="439"/>
      <c r="G845" s="439"/>
      <c r="H845" s="439"/>
      <c r="I845" s="439"/>
      <c r="K845" s="439"/>
      <c r="L845" s="439"/>
    </row>
    <row r="846" spans="2:12">
      <c r="B846" s="88"/>
      <c r="C846" s="439"/>
      <c r="D846" s="439"/>
      <c r="E846" s="439"/>
      <c r="F846" s="439"/>
      <c r="G846" s="439"/>
      <c r="H846" s="439"/>
      <c r="I846" s="439"/>
      <c r="K846" s="439"/>
      <c r="L846" s="439"/>
    </row>
    <row r="847" spans="2:12">
      <c r="B847" s="88"/>
      <c r="C847" s="439"/>
      <c r="D847" s="439"/>
      <c r="E847" s="439"/>
      <c r="F847" s="439"/>
      <c r="G847" s="439"/>
      <c r="H847" s="439"/>
      <c r="I847" s="439"/>
      <c r="K847" s="439"/>
      <c r="L847" s="439"/>
    </row>
    <row r="848" spans="2:12">
      <c r="B848" s="88"/>
      <c r="C848" s="439"/>
      <c r="D848" s="439"/>
      <c r="E848" s="439"/>
      <c r="F848" s="439"/>
      <c r="G848" s="439"/>
      <c r="H848" s="439"/>
      <c r="I848" s="439"/>
      <c r="K848" s="439"/>
      <c r="L848" s="439"/>
    </row>
    <row r="849" spans="2:12">
      <c r="B849" s="88"/>
      <c r="C849" s="439"/>
      <c r="D849" s="439"/>
      <c r="E849" s="439"/>
      <c r="F849" s="439"/>
      <c r="G849" s="439"/>
      <c r="H849" s="439"/>
      <c r="I849" s="439"/>
      <c r="K849" s="439"/>
      <c r="L849" s="439"/>
    </row>
    <row r="850" spans="2:12">
      <c r="B850" s="88"/>
      <c r="C850" s="439"/>
      <c r="D850" s="439"/>
      <c r="E850" s="439"/>
      <c r="F850" s="439"/>
      <c r="G850" s="439"/>
      <c r="H850" s="439"/>
      <c r="I850" s="439"/>
      <c r="K850" s="439"/>
      <c r="L850" s="439"/>
    </row>
    <row r="851" spans="2:12">
      <c r="B851" s="88"/>
      <c r="C851" s="439"/>
      <c r="D851" s="439"/>
      <c r="E851" s="439"/>
      <c r="F851" s="439"/>
      <c r="G851" s="439"/>
      <c r="H851" s="439"/>
      <c r="I851" s="439"/>
      <c r="K851" s="439"/>
      <c r="L851" s="439"/>
    </row>
    <row r="852" spans="2:12">
      <c r="B852" s="88"/>
      <c r="C852" s="439"/>
      <c r="D852" s="439"/>
      <c r="E852" s="439"/>
      <c r="F852" s="439"/>
      <c r="G852" s="439"/>
      <c r="H852" s="439"/>
      <c r="I852" s="439"/>
      <c r="K852" s="439"/>
      <c r="L852" s="439"/>
    </row>
    <row r="853" spans="2:12">
      <c r="B853" s="88"/>
      <c r="C853" s="439"/>
      <c r="D853" s="439"/>
      <c r="E853" s="439"/>
      <c r="F853" s="439"/>
      <c r="G853" s="439"/>
      <c r="H853" s="439"/>
      <c r="I853" s="439"/>
      <c r="K853" s="439"/>
      <c r="L853" s="439"/>
    </row>
    <row r="854" spans="2:12">
      <c r="B854" s="88"/>
      <c r="C854" s="439"/>
      <c r="D854" s="439"/>
      <c r="E854" s="439"/>
      <c r="F854" s="439"/>
      <c r="G854" s="439"/>
      <c r="H854" s="439"/>
      <c r="I854" s="439"/>
      <c r="K854" s="439"/>
      <c r="L854" s="439"/>
    </row>
    <row r="855" spans="2:12">
      <c r="B855" s="88"/>
      <c r="C855" s="439"/>
      <c r="D855" s="439"/>
      <c r="E855" s="439"/>
      <c r="F855" s="439"/>
      <c r="G855" s="439"/>
      <c r="H855" s="439"/>
      <c r="I855" s="439"/>
      <c r="K855" s="439"/>
      <c r="L855" s="439"/>
    </row>
    <row r="856" spans="2:12">
      <c r="B856" s="88"/>
      <c r="C856" s="439"/>
      <c r="D856" s="439"/>
      <c r="E856" s="439"/>
      <c r="F856" s="439"/>
      <c r="G856" s="439"/>
      <c r="H856" s="439"/>
      <c r="I856" s="439"/>
      <c r="K856" s="439"/>
      <c r="L856" s="439"/>
    </row>
    <row r="857" spans="2:12">
      <c r="B857" s="88"/>
      <c r="C857" s="439"/>
      <c r="D857" s="439"/>
      <c r="E857" s="439"/>
      <c r="F857" s="439"/>
      <c r="G857" s="439"/>
      <c r="H857" s="439"/>
      <c r="I857" s="439"/>
      <c r="K857" s="439"/>
      <c r="L857" s="439"/>
    </row>
    <row r="858" spans="2:12">
      <c r="B858" s="88"/>
      <c r="C858" s="439"/>
      <c r="D858" s="439"/>
      <c r="E858" s="439"/>
      <c r="F858" s="439"/>
      <c r="G858" s="439"/>
      <c r="H858" s="439"/>
      <c r="I858" s="439"/>
      <c r="K858" s="439"/>
      <c r="L858" s="439"/>
    </row>
    <row r="859" spans="2:12">
      <c r="B859" s="88"/>
      <c r="C859" s="439"/>
      <c r="D859" s="439"/>
      <c r="E859" s="439"/>
      <c r="F859" s="439"/>
      <c r="G859" s="439"/>
      <c r="H859" s="439"/>
      <c r="I859" s="439"/>
      <c r="K859" s="439"/>
      <c r="L859" s="439"/>
    </row>
    <row r="860" spans="2:12">
      <c r="B860" s="88"/>
      <c r="C860" s="439"/>
      <c r="D860" s="439"/>
      <c r="E860" s="439"/>
      <c r="F860" s="439"/>
      <c r="G860" s="439"/>
      <c r="H860" s="439"/>
      <c r="I860" s="439"/>
      <c r="K860" s="439"/>
      <c r="L860" s="439"/>
    </row>
    <row r="861" spans="2:12">
      <c r="B861" s="88"/>
      <c r="C861" s="439"/>
      <c r="D861" s="439"/>
      <c r="E861" s="439"/>
      <c r="F861" s="439"/>
      <c r="G861" s="439"/>
      <c r="H861" s="439"/>
      <c r="I861" s="439"/>
      <c r="K861" s="439"/>
      <c r="L861" s="439"/>
    </row>
    <row r="862" spans="2:12">
      <c r="B862" s="88"/>
      <c r="C862" s="439"/>
      <c r="D862" s="439"/>
      <c r="E862" s="439"/>
      <c r="F862" s="439"/>
      <c r="G862" s="439"/>
      <c r="H862" s="439"/>
      <c r="I862" s="439"/>
      <c r="K862" s="439"/>
      <c r="L862" s="439"/>
    </row>
    <row r="863" spans="2:12">
      <c r="B863" s="88"/>
      <c r="C863" s="439"/>
      <c r="D863" s="439"/>
      <c r="E863" s="439"/>
      <c r="F863" s="439"/>
      <c r="G863" s="439"/>
      <c r="H863" s="439"/>
      <c r="I863" s="439"/>
      <c r="K863" s="439"/>
      <c r="L863" s="439"/>
    </row>
    <row r="864" spans="2:12">
      <c r="B864" s="88"/>
      <c r="C864" s="439"/>
      <c r="D864" s="439"/>
      <c r="E864" s="439"/>
      <c r="F864" s="439"/>
      <c r="G864" s="439"/>
      <c r="H864" s="439"/>
      <c r="I864" s="439"/>
      <c r="K864" s="439"/>
      <c r="L864" s="439"/>
    </row>
    <row r="865" spans="2:12">
      <c r="B865" s="88"/>
      <c r="C865" s="439"/>
      <c r="D865" s="439"/>
      <c r="E865" s="439"/>
      <c r="F865" s="439"/>
      <c r="G865" s="439"/>
      <c r="H865" s="439"/>
      <c r="I865" s="439"/>
      <c r="K865" s="439"/>
      <c r="L865" s="439"/>
    </row>
    <row r="866" spans="2:12">
      <c r="B866" s="88"/>
      <c r="C866" s="439"/>
      <c r="D866" s="439"/>
      <c r="E866" s="439"/>
      <c r="F866" s="439"/>
      <c r="G866" s="439"/>
      <c r="H866" s="439"/>
      <c r="I866" s="439"/>
      <c r="K866" s="439"/>
      <c r="L866" s="439"/>
    </row>
    <row r="867" spans="2:12">
      <c r="B867" s="88"/>
      <c r="C867" s="439"/>
      <c r="D867" s="439"/>
      <c r="E867" s="439"/>
      <c r="F867" s="439"/>
      <c r="G867" s="439"/>
      <c r="H867" s="439"/>
      <c r="I867" s="439"/>
      <c r="K867" s="439"/>
      <c r="L867" s="439"/>
    </row>
    <row r="868" spans="2:12">
      <c r="B868" s="88"/>
      <c r="C868" s="439"/>
      <c r="D868" s="439"/>
      <c r="E868" s="439"/>
      <c r="F868" s="439"/>
      <c r="G868" s="439"/>
      <c r="H868" s="439"/>
      <c r="I868" s="439"/>
      <c r="K868" s="439"/>
      <c r="L868" s="439"/>
    </row>
    <row r="869" spans="2:12">
      <c r="B869" s="88"/>
      <c r="C869" s="439"/>
      <c r="D869" s="439"/>
      <c r="E869" s="439"/>
      <c r="F869" s="439"/>
      <c r="G869" s="439"/>
      <c r="H869" s="439"/>
      <c r="I869" s="439"/>
      <c r="K869" s="439"/>
      <c r="L869" s="439"/>
    </row>
    <row r="870" spans="2:12">
      <c r="B870" s="88"/>
      <c r="C870" s="439"/>
      <c r="D870" s="439"/>
      <c r="E870" s="439"/>
      <c r="F870" s="439"/>
      <c r="G870" s="439"/>
      <c r="H870" s="439"/>
      <c r="I870" s="439"/>
      <c r="K870" s="439"/>
      <c r="L870" s="439"/>
    </row>
    <row r="871" spans="2:12">
      <c r="B871" s="88"/>
      <c r="C871" s="439"/>
      <c r="D871" s="439"/>
      <c r="E871" s="439"/>
      <c r="F871" s="439"/>
      <c r="G871" s="439"/>
      <c r="H871" s="439"/>
      <c r="I871" s="439"/>
      <c r="K871" s="439"/>
      <c r="L871" s="439"/>
    </row>
    <row r="872" spans="2:12">
      <c r="B872" s="88"/>
      <c r="C872" s="439"/>
      <c r="D872" s="439"/>
      <c r="E872" s="439"/>
      <c r="F872" s="439"/>
      <c r="G872" s="439"/>
      <c r="H872" s="439"/>
      <c r="I872" s="439"/>
      <c r="K872" s="439"/>
      <c r="L872" s="439"/>
    </row>
    <row r="873" spans="2:12">
      <c r="B873" s="88"/>
      <c r="C873" s="439"/>
      <c r="D873" s="439"/>
      <c r="E873" s="439"/>
      <c r="F873" s="439"/>
      <c r="G873" s="439"/>
      <c r="H873" s="439"/>
      <c r="I873" s="439"/>
      <c r="K873" s="439"/>
      <c r="L873" s="439"/>
    </row>
    <row r="874" spans="2:12">
      <c r="B874" s="88"/>
      <c r="C874" s="439"/>
      <c r="D874" s="439"/>
      <c r="E874" s="439"/>
      <c r="F874" s="439"/>
      <c r="G874" s="439"/>
      <c r="H874" s="439"/>
      <c r="I874" s="439"/>
      <c r="K874" s="439"/>
      <c r="L874" s="439"/>
    </row>
    <row r="875" spans="2:12">
      <c r="B875" s="88"/>
      <c r="C875" s="439"/>
      <c r="D875" s="439"/>
      <c r="E875" s="439"/>
      <c r="F875" s="439"/>
      <c r="G875" s="439"/>
      <c r="H875" s="439"/>
      <c r="I875" s="439"/>
      <c r="K875" s="439"/>
      <c r="L875" s="439"/>
    </row>
    <row r="876" spans="2:12">
      <c r="B876" s="88"/>
      <c r="C876" s="439"/>
      <c r="D876" s="439"/>
      <c r="E876" s="439"/>
      <c r="F876" s="439"/>
      <c r="G876" s="439"/>
      <c r="H876" s="439"/>
      <c r="I876" s="439"/>
      <c r="K876" s="439"/>
      <c r="L876" s="439"/>
    </row>
    <row r="877" spans="2:12">
      <c r="B877" s="88"/>
      <c r="C877" s="439"/>
      <c r="D877" s="439"/>
      <c r="E877" s="439"/>
      <c r="F877" s="439"/>
      <c r="G877" s="439"/>
      <c r="H877" s="439"/>
      <c r="I877" s="439"/>
      <c r="K877" s="439"/>
      <c r="L877" s="439"/>
    </row>
    <row r="878" spans="2:12">
      <c r="B878" s="88"/>
      <c r="C878" s="439"/>
      <c r="D878" s="439"/>
      <c r="E878" s="439"/>
      <c r="F878" s="439"/>
      <c r="G878" s="439"/>
      <c r="H878" s="439"/>
      <c r="I878" s="439"/>
      <c r="K878" s="439"/>
      <c r="L878" s="439"/>
    </row>
    <row r="879" spans="2:12">
      <c r="B879" s="88"/>
      <c r="C879" s="439"/>
      <c r="D879" s="439"/>
      <c r="E879" s="439"/>
      <c r="F879" s="439"/>
      <c r="G879" s="439"/>
      <c r="H879" s="439"/>
      <c r="I879" s="439"/>
      <c r="K879" s="439"/>
      <c r="L879" s="439"/>
    </row>
    <row r="880" spans="2:12">
      <c r="B880" s="88"/>
      <c r="C880" s="439"/>
      <c r="D880" s="439"/>
      <c r="E880" s="439"/>
      <c r="F880" s="439"/>
      <c r="G880" s="439"/>
      <c r="H880" s="439"/>
      <c r="I880" s="439"/>
      <c r="K880" s="439"/>
      <c r="L880" s="439"/>
    </row>
    <row r="881" spans="2:12">
      <c r="B881" s="88"/>
      <c r="C881" s="439"/>
      <c r="D881" s="439"/>
      <c r="E881" s="439"/>
      <c r="F881" s="439"/>
      <c r="G881" s="439"/>
      <c r="H881" s="439"/>
      <c r="I881" s="439"/>
      <c r="K881" s="439"/>
      <c r="L881" s="439"/>
    </row>
    <row r="882" spans="2:12">
      <c r="B882" s="88"/>
      <c r="C882" s="439"/>
      <c r="D882" s="439"/>
      <c r="E882" s="439"/>
      <c r="F882" s="439"/>
      <c r="G882" s="439"/>
      <c r="H882" s="439"/>
      <c r="I882" s="439"/>
      <c r="K882" s="439"/>
      <c r="L882" s="439"/>
    </row>
    <row r="883" spans="2:12">
      <c r="B883" s="88"/>
      <c r="C883" s="439"/>
      <c r="D883" s="439"/>
      <c r="E883" s="439"/>
      <c r="F883" s="439"/>
      <c r="G883" s="439"/>
      <c r="H883" s="439"/>
      <c r="I883" s="439"/>
      <c r="K883" s="439"/>
      <c r="L883" s="439"/>
    </row>
    <row r="884" spans="2:12">
      <c r="B884" s="88"/>
      <c r="C884" s="439"/>
      <c r="D884" s="439"/>
      <c r="E884" s="439"/>
      <c r="F884" s="439"/>
      <c r="G884" s="439"/>
      <c r="H884" s="439"/>
      <c r="I884" s="439"/>
      <c r="K884" s="439"/>
      <c r="L884" s="439"/>
    </row>
    <row r="885" spans="2:12">
      <c r="B885" s="88"/>
      <c r="C885" s="439"/>
      <c r="D885" s="439"/>
      <c r="E885" s="439"/>
      <c r="F885" s="439"/>
      <c r="G885" s="439"/>
      <c r="H885" s="439"/>
      <c r="I885" s="439"/>
      <c r="K885" s="439"/>
      <c r="L885" s="439"/>
    </row>
    <row r="886" spans="2:12">
      <c r="B886" s="88"/>
      <c r="C886" s="439"/>
      <c r="D886" s="439"/>
      <c r="E886" s="439"/>
      <c r="F886" s="439"/>
      <c r="G886" s="439"/>
      <c r="H886" s="439"/>
      <c r="I886" s="439"/>
      <c r="K886" s="439"/>
      <c r="L886" s="439"/>
    </row>
    <row r="887" spans="2:12">
      <c r="B887" s="88"/>
      <c r="C887" s="439"/>
      <c r="D887" s="439"/>
      <c r="E887" s="439"/>
      <c r="F887" s="439"/>
      <c r="G887" s="439"/>
      <c r="H887" s="439"/>
      <c r="I887" s="439"/>
      <c r="K887" s="439"/>
      <c r="L887" s="439"/>
    </row>
    <row r="888" spans="2:12">
      <c r="B888" s="88"/>
      <c r="C888" s="439"/>
      <c r="D888" s="439"/>
      <c r="E888" s="439"/>
      <c r="F888" s="439"/>
      <c r="G888" s="439"/>
      <c r="H888" s="439"/>
      <c r="I888" s="439"/>
      <c r="K888" s="439"/>
      <c r="L888" s="439"/>
    </row>
    <row r="889" spans="2:12">
      <c r="B889" s="88"/>
      <c r="C889" s="439"/>
      <c r="D889" s="439"/>
      <c r="E889" s="439"/>
      <c r="F889" s="439"/>
      <c r="G889" s="439"/>
      <c r="H889" s="439"/>
      <c r="I889" s="439"/>
      <c r="K889" s="439"/>
      <c r="L889" s="439"/>
    </row>
    <row r="890" spans="2:12">
      <c r="B890" s="88"/>
      <c r="C890" s="439"/>
      <c r="D890" s="439"/>
      <c r="E890" s="439"/>
      <c r="F890" s="439"/>
      <c r="G890" s="439"/>
      <c r="H890" s="439"/>
      <c r="I890" s="439"/>
      <c r="K890" s="439"/>
      <c r="L890" s="439"/>
    </row>
    <row r="891" spans="2:12">
      <c r="B891" s="88"/>
      <c r="C891" s="439"/>
      <c r="D891" s="439"/>
      <c r="E891" s="439"/>
      <c r="F891" s="439"/>
      <c r="G891" s="439"/>
      <c r="H891" s="439"/>
      <c r="I891" s="439"/>
      <c r="K891" s="439"/>
      <c r="L891" s="439"/>
    </row>
    <row r="892" spans="2:12">
      <c r="B892" s="88"/>
      <c r="C892" s="439"/>
      <c r="D892" s="439"/>
      <c r="E892" s="439"/>
      <c r="F892" s="439"/>
      <c r="G892" s="439"/>
      <c r="H892" s="439"/>
      <c r="I892" s="439"/>
      <c r="K892" s="439"/>
      <c r="L892" s="439"/>
    </row>
    <row r="893" spans="2:12">
      <c r="B893" s="88"/>
      <c r="C893" s="439"/>
      <c r="D893" s="439"/>
      <c r="E893" s="439"/>
      <c r="F893" s="439"/>
      <c r="G893" s="439"/>
      <c r="H893" s="439"/>
      <c r="I893" s="439"/>
      <c r="K893" s="439"/>
      <c r="L893" s="439"/>
    </row>
    <row r="894" spans="2:12">
      <c r="B894" s="88"/>
      <c r="C894" s="439"/>
      <c r="D894" s="439"/>
      <c r="E894" s="439"/>
      <c r="F894" s="439"/>
      <c r="G894" s="439"/>
      <c r="H894" s="439"/>
      <c r="I894" s="439"/>
      <c r="K894" s="439"/>
      <c r="L894" s="439"/>
    </row>
    <row r="895" spans="2:12">
      <c r="B895" s="88"/>
      <c r="C895" s="439"/>
      <c r="D895" s="439"/>
      <c r="E895" s="439"/>
      <c r="F895" s="439"/>
      <c r="G895" s="439"/>
      <c r="H895" s="439"/>
      <c r="I895" s="439"/>
      <c r="K895" s="439"/>
      <c r="L895" s="439"/>
    </row>
    <row r="896" spans="2:12">
      <c r="B896" s="88"/>
      <c r="C896" s="439"/>
      <c r="D896" s="439"/>
      <c r="E896" s="439"/>
      <c r="F896" s="439"/>
      <c r="G896" s="439"/>
      <c r="H896" s="439"/>
      <c r="I896" s="439"/>
      <c r="K896" s="439"/>
      <c r="L896" s="439"/>
    </row>
    <row r="897" spans="2:12">
      <c r="B897" s="88"/>
      <c r="C897" s="439"/>
      <c r="D897" s="439"/>
      <c r="E897" s="439"/>
      <c r="F897" s="439"/>
      <c r="G897" s="439"/>
      <c r="H897" s="439"/>
      <c r="I897" s="439"/>
      <c r="K897" s="439"/>
      <c r="L897" s="439"/>
    </row>
    <row r="898" spans="2:12">
      <c r="B898" s="88"/>
      <c r="C898" s="439"/>
      <c r="D898" s="439"/>
      <c r="E898" s="439"/>
      <c r="F898" s="439"/>
      <c r="G898" s="439"/>
      <c r="H898" s="439"/>
      <c r="I898" s="439"/>
      <c r="K898" s="439"/>
      <c r="L898" s="439"/>
    </row>
    <row r="899" spans="2:12">
      <c r="B899" s="88"/>
      <c r="C899" s="439"/>
      <c r="D899" s="439"/>
      <c r="E899" s="439"/>
      <c r="F899" s="439"/>
      <c r="G899" s="439"/>
      <c r="H899" s="439"/>
      <c r="I899" s="439"/>
      <c r="K899" s="439"/>
      <c r="L899" s="439"/>
    </row>
    <row r="900" spans="2:12">
      <c r="B900" s="88"/>
      <c r="C900" s="439"/>
      <c r="D900" s="439"/>
      <c r="E900" s="439"/>
      <c r="F900" s="439"/>
      <c r="G900" s="439"/>
      <c r="H900" s="439"/>
      <c r="I900" s="439"/>
      <c r="K900" s="439"/>
      <c r="L900" s="439"/>
    </row>
    <row r="901" spans="2:12">
      <c r="B901" s="88"/>
      <c r="C901" s="439"/>
      <c r="D901" s="439"/>
      <c r="E901" s="439"/>
      <c r="F901" s="439"/>
      <c r="G901" s="439"/>
      <c r="H901" s="439"/>
      <c r="I901" s="439"/>
      <c r="K901" s="439"/>
      <c r="L901" s="439"/>
    </row>
    <row r="902" spans="2:12">
      <c r="B902" s="88"/>
      <c r="C902" s="439"/>
      <c r="D902" s="439"/>
      <c r="E902" s="439"/>
      <c r="F902" s="439"/>
      <c r="G902" s="439"/>
      <c r="H902" s="439"/>
      <c r="I902" s="439"/>
      <c r="K902" s="439"/>
      <c r="L902" s="439"/>
    </row>
    <row r="903" spans="2:12">
      <c r="B903" s="88"/>
      <c r="C903" s="439"/>
      <c r="D903" s="439"/>
      <c r="E903" s="439"/>
      <c r="F903" s="439"/>
      <c r="G903" s="439"/>
      <c r="H903" s="439"/>
      <c r="I903" s="439"/>
      <c r="K903" s="439"/>
      <c r="L903" s="439"/>
    </row>
    <row r="904" spans="2:12">
      <c r="B904" s="88"/>
      <c r="C904" s="439"/>
      <c r="D904" s="439"/>
      <c r="E904" s="439"/>
      <c r="F904" s="439"/>
      <c r="G904" s="439"/>
      <c r="H904" s="439"/>
      <c r="I904" s="439"/>
      <c r="K904" s="439"/>
      <c r="L904" s="439"/>
    </row>
    <row r="905" spans="2:12">
      <c r="B905" s="88"/>
      <c r="C905" s="439"/>
      <c r="D905" s="439"/>
      <c r="E905" s="439"/>
      <c r="F905" s="439"/>
      <c r="G905" s="439"/>
      <c r="H905" s="439"/>
      <c r="I905" s="439"/>
      <c r="K905" s="439"/>
      <c r="L905" s="439"/>
    </row>
    <row r="906" spans="2:12">
      <c r="B906" s="88"/>
      <c r="C906" s="439"/>
      <c r="D906" s="439"/>
      <c r="E906" s="439"/>
      <c r="F906" s="439"/>
      <c r="G906" s="439"/>
      <c r="H906" s="439"/>
      <c r="I906" s="439"/>
      <c r="K906" s="439"/>
      <c r="L906" s="439"/>
    </row>
    <row r="907" spans="2:12">
      <c r="B907" s="88"/>
      <c r="C907" s="439"/>
      <c r="D907" s="439"/>
      <c r="E907" s="439"/>
      <c r="F907" s="439"/>
      <c r="G907" s="439"/>
      <c r="H907" s="439"/>
      <c r="I907" s="439"/>
      <c r="K907" s="439"/>
      <c r="L907" s="439"/>
    </row>
    <row r="908" spans="2:12">
      <c r="B908" s="88"/>
      <c r="C908" s="439"/>
      <c r="D908" s="439"/>
      <c r="E908" s="439"/>
      <c r="F908" s="439"/>
      <c r="G908" s="439"/>
      <c r="H908" s="439"/>
      <c r="I908" s="439"/>
      <c r="K908" s="439"/>
      <c r="L908" s="439"/>
    </row>
    <row r="909" spans="2:12">
      <c r="B909" s="88"/>
      <c r="C909" s="439"/>
      <c r="D909" s="439"/>
      <c r="E909" s="439"/>
      <c r="F909" s="439"/>
      <c r="G909" s="439"/>
      <c r="H909" s="439"/>
      <c r="I909" s="439"/>
      <c r="K909" s="439"/>
      <c r="L909" s="439"/>
    </row>
    <row r="910" spans="2:12">
      <c r="B910" s="88"/>
      <c r="C910" s="439"/>
      <c r="D910" s="439"/>
      <c r="E910" s="439"/>
      <c r="F910" s="439"/>
      <c r="G910" s="439"/>
      <c r="H910" s="439"/>
      <c r="I910" s="439"/>
      <c r="K910" s="439"/>
      <c r="L910" s="439"/>
    </row>
    <row r="911" spans="2:12">
      <c r="B911" s="88"/>
      <c r="C911" s="439"/>
      <c r="D911" s="439"/>
      <c r="E911" s="439"/>
      <c r="F911" s="439"/>
      <c r="G911" s="439"/>
      <c r="H911" s="439"/>
      <c r="I911" s="439"/>
      <c r="K911" s="439"/>
      <c r="L911" s="439"/>
    </row>
    <row r="912" spans="2:12">
      <c r="B912" s="88"/>
      <c r="C912" s="439"/>
      <c r="D912" s="439"/>
      <c r="E912" s="439"/>
      <c r="F912" s="439"/>
      <c r="G912" s="439"/>
      <c r="H912" s="439"/>
      <c r="I912" s="439"/>
      <c r="K912" s="439"/>
      <c r="L912" s="439"/>
    </row>
    <row r="913" spans="2:12">
      <c r="B913" s="88"/>
      <c r="C913" s="439"/>
      <c r="D913" s="439"/>
      <c r="E913" s="439"/>
      <c r="F913" s="439"/>
      <c r="G913" s="439"/>
      <c r="H913" s="439"/>
      <c r="I913" s="439"/>
      <c r="K913" s="439"/>
      <c r="L913" s="439"/>
    </row>
    <row r="914" spans="2:12">
      <c r="B914" s="88"/>
      <c r="C914" s="439"/>
      <c r="D914" s="439"/>
      <c r="E914" s="439"/>
      <c r="F914" s="439"/>
      <c r="G914" s="439"/>
      <c r="H914" s="439"/>
      <c r="I914" s="439"/>
      <c r="K914" s="439"/>
      <c r="L914" s="439"/>
    </row>
    <row r="915" spans="2:12">
      <c r="B915" s="88"/>
      <c r="C915" s="439"/>
      <c r="D915" s="439"/>
      <c r="E915" s="439"/>
      <c r="F915" s="439"/>
      <c r="G915" s="439"/>
      <c r="H915" s="439"/>
      <c r="I915" s="439"/>
      <c r="K915" s="439"/>
      <c r="L915" s="439"/>
    </row>
    <row r="916" spans="2:12">
      <c r="B916" s="88"/>
      <c r="C916" s="439"/>
      <c r="D916" s="439"/>
      <c r="E916" s="439"/>
      <c r="F916" s="439"/>
      <c r="G916" s="439"/>
      <c r="H916" s="439"/>
      <c r="I916" s="439"/>
      <c r="K916" s="439"/>
      <c r="L916" s="439"/>
    </row>
    <row r="917" spans="2:12">
      <c r="B917" s="88"/>
      <c r="C917" s="439"/>
      <c r="D917" s="439"/>
      <c r="E917" s="439"/>
      <c r="F917" s="439"/>
      <c r="G917" s="439"/>
      <c r="H917" s="439"/>
      <c r="I917" s="439"/>
      <c r="K917" s="439"/>
      <c r="L917" s="439"/>
    </row>
    <row r="918" spans="2:12">
      <c r="B918" s="88"/>
      <c r="C918" s="439"/>
      <c r="D918" s="439"/>
      <c r="E918" s="439"/>
      <c r="F918" s="439"/>
      <c r="G918" s="439"/>
      <c r="H918" s="439"/>
      <c r="I918" s="439"/>
      <c r="K918" s="439"/>
      <c r="L918" s="439"/>
    </row>
    <row r="919" spans="2:12">
      <c r="B919" s="88"/>
      <c r="C919" s="439"/>
      <c r="D919" s="439"/>
      <c r="E919" s="439"/>
      <c r="F919" s="439"/>
      <c r="G919" s="439"/>
      <c r="H919" s="439"/>
      <c r="I919" s="439"/>
      <c r="K919" s="439"/>
      <c r="L919" s="439"/>
    </row>
    <row r="920" spans="2:12">
      <c r="B920" s="88"/>
      <c r="C920" s="439"/>
      <c r="D920" s="439"/>
      <c r="E920" s="439"/>
      <c r="F920" s="439"/>
      <c r="G920" s="439"/>
      <c r="H920" s="439"/>
      <c r="I920" s="439"/>
      <c r="K920" s="439"/>
      <c r="L920" s="439"/>
    </row>
    <row r="921" spans="2:12">
      <c r="B921" s="88"/>
      <c r="C921" s="439"/>
      <c r="D921" s="439"/>
      <c r="E921" s="439"/>
      <c r="F921" s="439"/>
      <c r="G921" s="439"/>
      <c r="H921" s="439"/>
      <c r="I921" s="439"/>
      <c r="K921" s="439"/>
      <c r="L921" s="439"/>
    </row>
    <row r="922" spans="2:12">
      <c r="B922" s="88"/>
      <c r="C922" s="439"/>
      <c r="D922" s="439"/>
      <c r="E922" s="439"/>
      <c r="F922" s="439"/>
      <c r="G922" s="439"/>
      <c r="H922" s="439"/>
      <c r="I922" s="439"/>
      <c r="K922" s="439"/>
      <c r="L922" s="439"/>
    </row>
    <row r="923" spans="2:12">
      <c r="B923" s="88"/>
      <c r="C923" s="439"/>
      <c r="D923" s="439"/>
      <c r="E923" s="439"/>
      <c r="F923" s="439"/>
      <c r="G923" s="439"/>
      <c r="H923" s="439"/>
      <c r="I923" s="439"/>
      <c r="K923" s="439"/>
      <c r="L923" s="439"/>
    </row>
    <row r="924" spans="2:12">
      <c r="B924" s="88"/>
      <c r="C924" s="439"/>
      <c r="D924" s="439"/>
      <c r="E924" s="439"/>
      <c r="F924" s="439"/>
      <c r="G924" s="439"/>
      <c r="H924" s="439"/>
      <c r="I924" s="439"/>
      <c r="K924" s="439"/>
      <c r="L924" s="439"/>
    </row>
    <row r="925" spans="2:12">
      <c r="B925" s="88"/>
      <c r="C925" s="439"/>
      <c r="D925" s="439"/>
      <c r="E925" s="439"/>
      <c r="F925" s="439"/>
      <c r="G925" s="439"/>
      <c r="H925" s="439"/>
      <c r="I925" s="439"/>
      <c r="K925" s="439"/>
      <c r="L925" s="439"/>
    </row>
    <row r="926" spans="2:12">
      <c r="B926" s="88"/>
      <c r="C926" s="439"/>
      <c r="D926" s="439"/>
      <c r="E926" s="439"/>
      <c r="F926" s="439"/>
      <c r="G926" s="439"/>
      <c r="H926" s="439"/>
      <c r="I926" s="439"/>
      <c r="K926" s="439"/>
      <c r="L926" s="439"/>
    </row>
    <row r="927" spans="2:12">
      <c r="B927" s="88"/>
      <c r="C927" s="439"/>
      <c r="D927" s="439"/>
      <c r="E927" s="439"/>
      <c r="F927" s="439"/>
      <c r="G927" s="439"/>
      <c r="H927" s="439"/>
      <c r="I927" s="439"/>
      <c r="K927" s="439"/>
      <c r="L927" s="439"/>
    </row>
    <row r="928" spans="2:12">
      <c r="B928" s="88"/>
      <c r="C928" s="439"/>
      <c r="D928" s="439"/>
      <c r="E928" s="439"/>
      <c r="F928" s="439"/>
      <c r="G928" s="439"/>
      <c r="H928" s="439"/>
      <c r="I928" s="439"/>
      <c r="K928" s="439"/>
      <c r="L928" s="439"/>
    </row>
    <row r="929" spans="2:12">
      <c r="B929" s="88"/>
      <c r="C929" s="439"/>
      <c r="D929" s="439"/>
      <c r="E929" s="439"/>
      <c r="F929" s="439"/>
      <c r="G929" s="439"/>
      <c r="H929" s="439"/>
      <c r="I929" s="439"/>
      <c r="K929" s="439"/>
      <c r="L929" s="439"/>
    </row>
    <row r="930" spans="2:12">
      <c r="B930" s="88"/>
      <c r="C930" s="439"/>
      <c r="D930" s="439"/>
      <c r="E930" s="439"/>
      <c r="F930" s="439"/>
      <c r="G930" s="439"/>
      <c r="H930" s="439"/>
      <c r="I930" s="439"/>
      <c r="K930" s="439"/>
      <c r="L930" s="439"/>
    </row>
    <row r="931" spans="2:12">
      <c r="B931" s="88"/>
      <c r="C931" s="439"/>
      <c r="D931" s="439"/>
      <c r="E931" s="439"/>
      <c r="F931" s="439"/>
      <c r="G931" s="439"/>
      <c r="H931" s="439"/>
      <c r="I931" s="439"/>
      <c r="K931" s="439"/>
      <c r="L931" s="439"/>
    </row>
    <row r="932" spans="2:12">
      <c r="B932" s="88"/>
      <c r="C932" s="439"/>
      <c r="D932" s="439"/>
      <c r="E932" s="439"/>
      <c r="F932" s="439"/>
      <c r="G932" s="439"/>
      <c r="H932" s="439"/>
      <c r="I932" s="439"/>
      <c r="K932" s="439"/>
      <c r="L932" s="439"/>
    </row>
    <row r="933" spans="2:12">
      <c r="B933" s="88"/>
      <c r="C933" s="439"/>
      <c r="D933" s="439"/>
      <c r="E933" s="439"/>
      <c r="F933" s="439"/>
      <c r="G933" s="439"/>
      <c r="H933" s="439"/>
      <c r="I933" s="439"/>
      <c r="K933" s="439"/>
      <c r="L933" s="439"/>
    </row>
    <row r="934" spans="2:12">
      <c r="B934" s="88"/>
      <c r="C934" s="439"/>
      <c r="D934" s="439"/>
      <c r="E934" s="439"/>
      <c r="F934" s="439"/>
      <c r="G934" s="439"/>
      <c r="H934" s="439"/>
      <c r="I934" s="439"/>
      <c r="K934" s="439"/>
      <c r="L934" s="439"/>
    </row>
    <row r="935" spans="2:12">
      <c r="B935" s="88"/>
      <c r="C935" s="439"/>
      <c r="D935" s="439"/>
      <c r="E935" s="439"/>
      <c r="F935" s="439"/>
      <c r="G935" s="439"/>
      <c r="H935" s="439"/>
      <c r="I935" s="439"/>
      <c r="K935" s="439"/>
      <c r="L935" s="439"/>
    </row>
    <row r="936" spans="2:12">
      <c r="B936" s="88"/>
      <c r="C936" s="439"/>
      <c r="D936" s="439"/>
      <c r="E936" s="439"/>
      <c r="F936" s="439"/>
      <c r="G936" s="439"/>
      <c r="H936" s="439"/>
      <c r="I936" s="439"/>
      <c r="K936" s="439"/>
      <c r="L936" s="439"/>
    </row>
    <row r="937" spans="2:12">
      <c r="B937" s="88"/>
      <c r="C937" s="439"/>
      <c r="D937" s="439"/>
      <c r="E937" s="439"/>
      <c r="F937" s="439"/>
      <c r="G937" s="439"/>
      <c r="H937" s="439"/>
      <c r="I937" s="439"/>
      <c r="K937" s="439"/>
      <c r="L937" s="439"/>
    </row>
    <row r="938" spans="2:12">
      <c r="B938" s="88"/>
      <c r="C938" s="439"/>
      <c r="D938" s="439"/>
      <c r="E938" s="439"/>
      <c r="F938" s="439"/>
      <c r="G938" s="439"/>
      <c r="H938" s="439"/>
      <c r="I938" s="439"/>
      <c r="K938" s="439"/>
      <c r="L938" s="439"/>
    </row>
    <row r="939" spans="2:12">
      <c r="B939" s="88"/>
      <c r="C939" s="439"/>
      <c r="D939" s="439"/>
      <c r="E939" s="439"/>
      <c r="F939" s="439"/>
      <c r="G939" s="439"/>
      <c r="H939" s="439"/>
      <c r="I939" s="439"/>
      <c r="K939" s="439"/>
      <c r="L939" s="439"/>
    </row>
    <row r="940" spans="2:12">
      <c r="B940" s="88"/>
      <c r="C940" s="439"/>
      <c r="D940" s="439"/>
      <c r="E940" s="439"/>
      <c r="F940" s="439"/>
      <c r="G940" s="439"/>
      <c r="H940" s="439"/>
      <c r="I940" s="439"/>
      <c r="K940" s="439"/>
      <c r="L940" s="439"/>
    </row>
    <row r="941" spans="2:12">
      <c r="B941" s="88"/>
      <c r="C941" s="439"/>
      <c r="D941" s="439"/>
      <c r="E941" s="439"/>
      <c r="F941" s="439"/>
      <c r="G941" s="439"/>
      <c r="H941" s="439"/>
      <c r="I941" s="439"/>
      <c r="K941" s="439"/>
      <c r="L941" s="439"/>
    </row>
    <row r="942" spans="2:12">
      <c r="B942" s="88"/>
      <c r="C942" s="439"/>
      <c r="D942" s="439"/>
      <c r="E942" s="439"/>
      <c r="F942" s="439"/>
      <c r="G942" s="439"/>
      <c r="H942" s="439"/>
      <c r="I942" s="439"/>
      <c r="K942" s="439"/>
      <c r="L942" s="439"/>
    </row>
    <row r="943" spans="2:12">
      <c r="B943" s="88"/>
      <c r="C943" s="439"/>
      <c r="D943" s="439"/>
      <c r="E943" s="439"/>
      <c r="F943" s="439"/>
      <c r="G943" s="439"/>
      <c r="H943" s="439"/>
      <c r="I943" s="439"/>
      <c r="K943" s="439"/>
      <c r="L943" s="439"/>
    </row>
    <row r="944" spans="2:12">
      <c r="B944" s="88"/>
      <c r="C944" s="439"/>
      <c r="D944" s="439"/>
      <c r="E944" s="439"/>
      <c r="F944" s="439"/>
      <c r="G944" s="439"/>
      <c r="H944" s="439"/>
      <c r="I944" s="439"/>
      <c r="K944" s="439"/>
      <c r="L944" s="439"/>
    </row>
    <row r="945" spans="2:12">
      <c r="B945" s="88"/>
      <c r="C945" s="439"/>
      <c r="D945" s="439"/>
      <c r="E945" s="439"/>
      <c r="F945" s="439"/>
      <c r="G945" s="439"/>
      <c r="H945" s="439"/>
      <c r="I945" s="439"/>
      <c r="K945" s="439"/>
      <c r="L945" s="439"/>
    </row>
    <row r="946" spans="2:12">
      <c r="B946" s="88"/>
      <c r="C946" s="439"/>
      <c r="D946" s="439"/>
      <c r="E946" s="439"/>
      <c r="F946" s="439"/>
      <c r="G946" s="439"/>
      <c r="H946" s="439"/>
      <c r="I946" s="439"/>
      <c r="K946" s="439"/>
      <c r="L946" s="439"/>
    </row>
    <row r="947" spans="2:12">
      <c r="B947" s="88"/>
      <c r="C947" s="439"/>
      <c r="D947" s="439"/>
      <c r="E947" s="439"/>
      <c r="F947" s="439"/>
      <c r="G947" s="439"/>
      <c r="H947" s="439"/>
      <c r="I947" s="439"/>
      <c r="K947" s="439"/>
      <c r="L947" s="439"/>
    </row>
    <row r="948" spans="2:12">
      <c r="B948" s="88"/>
      <c r="C948" s="439"/>
      <c r="D948" s="439"/>
      <c r="E948" s="439"/>
      <c r="F948" s="439"/>
      <c r="G948" s="439"/>
      <c r="H948" s="439"/>
      <c r="I948" s="439"/>
      <c r="K948" s="439"/>
      <c r="L948" s="439"/>
    </row>
    <row r="949" spans="2:12">
      <c r="B949" s="88"/>
      <c r="C949" s="439"/>
      <c r="D949" s="439"/>
      <c r="E949" s="439"/>
      <c r="F949" s="439"/>
      <c r="G949" s="439"/>
      <c r="H949" s="439"/>
      <c r="I949" s="439"/>
      <c r="K949" s="439"/>
      <c r="L949" s="439"/>
    </row>
    <row r="950" spans="2:12">
      <c r="B950" s="88"/>
      <c r="C950" s="439"/>
      <c r="D950" s="439"/>
      <c r="E950" s="439"/>
      <c r="F950" s="439"/>
      <c r="G950" s="439"/>
      <c r="H950" s="439"/>
      <c r="I950" s="439"/>
      <c r="K950" s="439"/>
      <c r="L950" s="439"/>
    </row>
    <row r="951" spans="2:12">
      <c r="B951" s="88"/>
      <c r="C951" s="439"/>
      <c r="D951" s="439"/>
      <c r="E951" s="439"/>
      <c r="F951" s="439"/>
      <c r="G951" s="439"/>
      <c r="H951" s="439"/>
      <c r="I951" s="439"/>
      <c r="K951" s="439"/>
      <c r="L951" s="439"/>
    </row>
    <row r="952" spans="2:12">
      <c r="B952" s="88"/>
      <c r="C952" s="439"/>
      <c r="D952" s="439"/>
      <c r="E952" s="439"/>
      <c r="F952" s="439"/>
      <c r="G952" s="439"/>
      <c r="H952" s="439"/>
      <c r="I952" s="439"/>
      <c r="K952" s="439"/>
      <c r="L952" s="439"/>
    </row>
    <row r="953" spans="2:12">
      <c r="B953" s="88"/>
      <c r="C953" s="439"/>
      <c r="D953" s="439"/>
      <c r="E953" s="439"/>
      <c r="F953" s="439"/>
      <c r="G953" s="439"/>
      <c r="H953" s="439"/>
      <c r="I953" s="439"/>
      <c r="K953" s="439"/>
      <c r="L953" s="439"/>
    </row>
    <row r="954" spans="2:12">
      <c r="B954" s="88"/>
      <c r="C954" s="439"/>
      <c r="D954" s="439"/>
      <c r="E954" s="439"/>
      <c r="F954" s="439"/>
      <c r="G954" s="439"/>
      <c r="H954" s="439"/>
      <c r="I954" s="439"/>
      <c r="K954" s="439"/>
      <c r="L954" s="439"/>
    </row>
    <row r="955" spans="2:12">
      <c r="B955" s="88"/>
      <c r="C955" s="439"/>
      <c r="D955" s="439"/>
      <c r="E955" s="439"/>
      <c r="F955" s="439"/>
      <c r="G955" s="439"/>
      <c r="H955" s="439"/>
      <c r="I955" s="439"/>
      <c r="K955" s="439"/>
      <c r="L955" s="439"/>
    </row>
    <row r="956" spans="2:12">
      <c r="B956" s="88"/>
      <c r="C956" s="439"/>
      <c r="D956" s="439"/>
      <c r="E956" s="439"/>
      <c r="F956" s="439"/>
      <c r="G956" s="439"/>
      <c r="H956" s="439"/>
      <c r="I956" s="439"/>
      <c r="K956" s="439"/>
      <c r="L956" s="439"/>
    </row>
    <row r="957" spans="2:12">
      <c r="B957" s="88"/>
      <c r="C957" s="439"/>
      <c r="D957" s="439"/>
      <c r="E957" s="439"/>
      <c r="F957" s="439"/>
      <c r="G957" s="439"/>
      <c r="H957" s="439"/>
      <c r="I957" s="439"/>
      <c r="K957" s="439"/>
      <c r="L957" s="439"/>
    </row>
    <row r="958" spans="2:12">
      <c r="B958" s="88"/>
      <c r="C958" s="439"/>
      <c r="D958" s="439"/>
      <c r="E958" s="439"/>
      <c r="F958" s="439"/>
      <c r="G958" s="439"/>
      <c r="H958" s="439"/>
      <c r="I958" s="439"/>
      <c r="K958" s="439"/>
      <c r="L958" s="439"/>
    </row>
    <row r="959" spans="2:12">
      <c r="B959" s="88"/>
      <c r="C959" s="439"/>
      <c r="D959" s="439"/>
      <c r="E959" s="439"/>
      <c r="F959" s="439"/>
      <c r="G959" s="439"/>
      <c r="H959" s="439"/>
      <c r="I959" s="439"/>
      <c r="K959" s="439"/>
      <c r="L959" s="439"/>
    </row>
    <row r="960" spans="2:12">
      <c r="B960" s="88"/>
      <c r="C960" s="439"/>
      <c r="D960" s="439"/>
      <c r="E960" s="439"/>
      <c r="F960" s="439"/>
      <c r="G960" s="439"/>
      <c r="H960" s="439"/>
      <c r="I960" s="439"/>
      <c r="K960" s="439"/>
      <c r="L960" s="439"/>
    </row>
    <row r="961" spans="2:12">
      <c r="B961" s="88"/>
      <c r="C961" s="439"/>
      <c r="D961" s="439"/>
      <c r="E961" s="439"/>
      <c r="F961" s="439"/>
      <c r="G961" s="439"/>
      <c r="H961" s="439"/>
      <c r="I961" s="439"/>
      <c r="K961" s="439"/>
      <c r="L961" s="439"/>
    </row>
    <row r="962" spans="2:12">
      <c r="B962" s="88"/>
      <c r="C962" s="439"/>
      <c r="D962" s="439"/>
      <c r="E962" s="439"/>
      <c r="F962" s="439"/>
      <c r="G962" s="439"/>
      <c r="H962" s="439"/>
      <c r="I962" s="439"/>
      <c r="K962" s="439"/>
      <c r="L962" s="439"/>
    </row>
    <row r="963" spans="2:12">
      <c r="B963" s="88"/>
      <c r="C963" s="439"/>
      <c r="D963" s="439"/>
      <c r="E963" s="439"/>
      <c r="F963" s="439"/>
      <c r="G963" s="439"/>
      <c r="H963" s="439"/>
      <c r="I963" s="439"/>
      <c r="K963" s="439"/>
      <c r="L963" s="439"/>
    </row>
    <row r="964" spans="2:12">
      <c r="B964" s="88"/>
      <c r="C964" s="439"/>
      <c r="D964" s="439"/>
      <c r="E964" s="439"/>
      <c r="F964" s="439"/>
      <c r="G964" s="439"/>
      <c r="H964" s="439"/>
      <c r="I964" s="439"/>
      <c r="K964" s="439"/>
      <c r="L964" s="439"/>
    </row>
    <row r="965" spans="2:12">
      <c r="B965" s="88"/>
      <c r="C965" s="439"/>
      <c r="D965" s="439"/>
      <c r="E965" s="439"/>
      <c r="F965" s="439"/>
      <c r="G965" s="439"/>
      <c r="H965" s="439"/>
      <c r="I965" s="439"/>
      <c r="K965" s="439"/>
      <c r="L965" s="439"/>
    </row>
    <row r="966" spans="2:12">
      <c r="B966" s="88"/>
      <c r="C966" s="439"/>
      <c r="D966" s="439"/>
      <c r="E966" s="439"/>
      <c r="F966" s="439"/>
      <c r="G966" s="439"/>
      <c r="H966" s="439"/>
      <c r="I966" s="439"/>
      <c r="K966" s="439"/>
      <c r="L966" s="439"/>
    </row>
    <row r="967" spans="2:12">
      <c r="B967" s="88"/>
      <c r="C967" s="439"/>
      <c r="D967" s="439"/>
      <c r="E967" s="439"/>
      <c r="F967" s="439"/>
      <c r="G967" s="439"/>
      <c r="H967" s="439"/>
      <c r="I967" s="439"/>
      <c r="K967" s="439"/>
      <c r="L967" s="439"/>
    </row>
    <row r="968" spans="2:12">
      <c r="B968" s="88"/>
      <c r="C968" s="439"/>
      <c r="D968" s="439"/>
      <c r="E968" s="439"/>
      <c r="F968" s="439"/>
      <c r="G968" s="439"/>
      <c r="H968" s="439"/>
      <c r="I968" s="439"/>
      <c r="K968" s="439"/>
      <c r="L968" s="439"/>
    </row>
    <row r="969" spans="2:12">
      <c r="B969" s="88"/>
      <c r="C969" s="439"/>
      <c r="D969" s="439"/>
      <c r="E969" s="439"/>
      <c r="F969" s="439"/>
      <c r="G969" s="439"/>
      <c r="H969" s="439"/>
      <c r="I969" s="439"/>
      <c r="K969" s="439"/>
      <c r="L969" s="439"/>
    </row>
    <row r="970" spans="2:12">
      <c r="B970" s="88"/>
      <c r="C970" s="439"/>
      <c r="D970" s="439"/>
      <c r="E970" s="439"/>
      <c r="F970" s="439"/>
      <c r="G970" s="439"/>
      <c r="H970" s="439"/>
      <c r="I970" s="439"/>
      <c r="K970" s="439"/>
      <c r="L970" s="439"/>
    </row>
    <row r="971" spans="2:12">
      <c r="B971" s="88"/>
      <c r="C971" s="439"/>
      <c r="D971" s="439"/>
      <c r="E971" s="439"/>
      <c r="F971" s="439"/>
      <c r="G971" s="439"/>
      <c r="H971" s="439"/>
      <c r="I971" s="439"/>
      <c r="K971" s="439"/>
      <c r="L971" s="439"/>
    </row>
    <row r="972" spans="2:12">
      <c r="B972" s="88"/>
      <c r="C972" s="439"/>
      <c r="D972" s="439"/>
      <c r="E972" s="439"/>
      <c r="F972" s="439"/>
      <c r="G972" s="439"/>
      <c r="H972" s="439"/>
      <c r="I972" s="439"/>
      <c r="K972" s="439"/>
      <c r="L972" s="439"/>
    </row>
    <row r="973" spans="2:12">
      <c r="B973" s="88"/>
      <c r="C973" s="439"/>
      <c r="D973" s="439"/>
      <c r="E973" s="439"/>
      <c r="F973" s="439"/>
      <c r="G973" s="439"/>
      <c r="H973" s="439"/>
      <c r="I973" s="439"/>
      <c r="K973" s="439"/>
      <c r="L973" s="439"/>
    </row>
    <row r="974" spans="2:12">
      <c r="B974" s="88"/>
      <c r="C974" s="439"/>
      <c r="D974" s="439"/>
      <c r="E974" s="439"/>
      <c r="F974" s="439"/>
      <c r="G974" s="439"/>
      <c r="H974" s="439"/>
      <c r="I974" s="439"/>
      <c r="K974" s="439"/>
      <c r="L974" s="439"/>
    </row>
    <row r="975" spans="2:12">
      <c r="B975" s="88"/>
      <c r="C975" s="439"/>
      <c r="D975" s="439"/>
      <c r="E975" s="439"/>
      <c r="F975" s="439"/>
      <c r="G975" s="439"/>
      <c r="H975" s="439"/>
      <c r="I975" s="439"/>
      <c r="K975" s="439"/>
      <c r="L975" s="439"/>
    </row>
    <row r="976" spans="2:12">
      <c r="B976" s="88"/>
      <c r="C976" s="439"/>
      <c r="D976" s="439"/>
      <c r="E976" s="439"/>
      <c r="F976" s="439"/>
      <c r="G976" s="439"/>
      <c r="H976" s="439"/>
      <c r="I976" s="439"/>
      <c r="K976" s="439"/>
      <c r="L976" s="439"/>
    </row>
    <row r="977" spans="2:12">
      <c r="B977" s="88"/>
      <c r="C977" s="439"/>
      <c r="D977" s="439"/>
      <c r="E977" s="439"/>
      <c r="F977" s="439"/>
      <c r="G977" s="439"/>
      <c r="H977" s="439"/>
      <c r="I977" s="439"/>
      <c r="K977" s="439"/>
      <c r="L977" s="439"/>
    </row>
    <row r="978" spans="2:12">
      <c r="B978" s="88"/>
      <c r="C978" s="439"/>
      <c r="D978" s="439"/>
      <c r="E978" s="439"/>
      <c r="F978" s="439"/>
      <c r="G978" s="439"/>
      <c r="H978" s="439"/>
      <c r="I978" s="439"/>
      <c r="K978" s="439"/>
      <c r="L978" s="439"/>
    </row>
    <row r="979" spans="2:12">
      <c r="B979" s="88"/>
      <c r="C979" s="439"/>
      <c r="D979" s="439"/>
      <c r="E979" s="439"/>
      <c r="F979" s="439"/>
      <c r="G979" s="439"/>
      <c r="H979" s="439"/>
      <c r="I979" s="439"/>
      <c r="K979" s="439"/>
      <c r="L979" s="439"/>
    </row>
    <row r="980" spans="2:12">
      <c r="B980" s="88"/>
      <c r="C980" s="439"/>
      <c r="D980" s="439"/>
      <c r="E980" s="439"/>
      <c r="F980" s="439"/>
      <c r="G980" s="439"/>
      <c r="H980" s="439"/>
      <c r="I980" s="439"/>
      <c r="K980" s="439"/>
      <c r="L980" s="439"/>
    </row>
    <row r="981" spans="2:12">
      <c r="B981" s="88"/>
      <c r="C981" s="439"/>
      <c r="D981" s="439"/>
      <c r="E981" s="439"/>
      <c r="F981" s="439"/>
      <c r="G981" s="439"/>
      <c r="H981" s="439"/>
      <c r="I981" s="439"/>
      <c r="K981" s="439"/>
      <c r="L981" s="439"/>
    </row>
    <row r="982" spans="2:12">
      <c r="B982" s="88"/>
      <c r="C982" s="439"/>
      <c r="D982" s="439"/>
      <c r="E982" s="439"/>
      <c r="F982" s="439"/>
      <c r="G982" s="439"/>
      <c r="H982" s="439"/>
      <c r="I982" s="439"/>
      <c r="K982" s="439"/>
      <c r="L982" s="439"/>
    </row>
    <row r="983" spans="2:12">
      <c r="B983" s="88"/>
      <c r="C983" s="439"/>
      <c r="D983" s="439"/>
      <c r="E983" s="439"/>
      <c r="F983" s="439"/>
      <c r="G983" s="439"/>
      <c r="H983" s="439"/>
      <c r="I983" s="439"/>
      <c r="K983" s="439"/>
      <c r="L983" s="439"/>
    </row>
    <row r="984" spans="2:12">
      <c r="B984" s="88"/>
      <c r="C984" s="439"/>
      <c r="D984" s="439"/>
      <c r="E984" s="439"/>
      <c r="F984" s="439"/>
      <c r="G984" s="439"/>
      <c r="H984" s="439"/>
      <c r="I984" s="439"/>
      <c r="K984" s="439"/>
      <c r="L984" s="439"/>
    </row>
    <row r="985" spans="2:12">
      <c r="B985" s="88"/>
      <c r="C985" s="439"/>
      <c r="D985" s="439"/>
      <c r="E985" s="439"/>
      <c r="F985" s="439"/>
      <c r="G985" s="439"/>
      <c r="H985" s="439"/>
      <c r="I985" s="439"/>
      <c r="K985" s="439"/>
      <c r="L985" s="439"/>
    </row>
    <row r="986" spans="2:12">
      <c r="B986" s="88"/>
      <c r="C986" s="439"/>
      <c r="D986" s="439"/>
      <c r="E986" s="439"/>
      <c r="F986" s="439"/>
      <c r="G986" s="439"/>
      <c r="H986" s="439"/>
      <c r="I986" s="439"/>
      <c r="K986" s="439"/>
      <c r="L986" s="439"/>
    </row>
    <row r="987" spans="2:12">
      <c r="B987" s="88"/>
      <c r="C987" s="439"/>
      <c r="D987" s="439"/>
      <c r="E987" s="439"/>
      <c r="F987" s="439"/>
      <c r="G987" s="439"/>
      <c r="H987" s="439"/>
      <c r="I987" s="439"/>
      <c r="K987" s="439"/>
      <c r="L987" s="439"/>
    </row>
    <row r="988" spans="2:12">
      <c r="B988" s="88"/>
      <c r="C988" s="439"/>
      <c r="D988" s="439"/>
      <c r="E988" s="439"/>
      <c r="F988" s="439"/>
      <c r="G988" s="439"/>
      <c r="H988" s="439"/>
      <c r="I988" s="439"/>
      <c r="K988" s="439"/>
      <c r="L988" s="439"/>
    </row>
    <row r="989" spans="2:12">
      <c r="B989" s="88"/>
      <c r="C989" s="439"/>
      <c r="D989" s="439"/>
      <c r="E989" s="439"/>
      <c r="F989" s="439"/>
      <c r="G989" s="439"/>
      <c r="H989" s="439"/>
      <c r="I989" s="439"/>
      <c r="K989" s="439"/>
      <c r="L989" s="439"/>
    </row>
    <row r="990" spans="2:12">
      <c r="B990" s="88"/>
      <c r="C990" s="439"/>
      <c r="D990" s="439"/>
      <c r="E990" s="439"/>
      <c r="F990" s="439"/>
      <c r="G990" s="439"/>
      <c r="H990" s="439"/>
      <c r="I990" s="439"/>
      <c r="K990" s="439"/>
      <c r="L990" s="439"/>
    </row>
    <row r="991" spans="2:12">
      <c r="B991" s="88"/>
      <c r="C991" s="439"/>
      <c r="D991" s="439"/>
      <c r="E991" s="439"/>
      <c r="F991" s="439"/>
      <c r="G991" s="439"/>
      <c r="H991" s="439"/>
      <c r="I991" s="439"/>
      <c r="K991" s="439"/>
      <c r="L991" s="439"/>
    </row>
    <row r="992" spans="2:12">
      <c r="B992" s="88"/>
      <c r="C992" s="439"/>
      <c r="D992" s="439"/>
      <c r="E992" s="439"/>
      <c r="F992" s="439"/>
      <c r="G992" s="439"/>
      <c r="H992" s="439"/>
      <c r="I992" s="439"/>
      <c r="K992" s="439"/>
      <c r="L992" s="439"/>
    </row>
    <row r="993" spans="2:12">
      <c r="B993" s="88"/>
      <c r="C993" s="439"/>
      <c r="D993" s="439"/>
      <c r="E993" s="439"/>
      <c r="F993" s="439"/>
      <c r="G993" s="439"/>
      <c r="H993" s="439"/>
      <c r="I993" s="439"/>
      <c r="K993" s="439"/>
      <c r="L993" s="439"/>
    </row>
    <row r="994" spans="2:12">
      <c r="B994" s="88"/>
      <c r="C994" s="439"/>
      <c r="D994" s="439"/>
      <c r="E994" s="439"/>
      <c r="F994" s="439"/>
      <c r="G994" s="439"/>
      <c r="H994" s="439"/>
      <c r="I994" s="439"/>
      <c r="K994" s="439"/>
      <c r="L994" s="439"/>
    </row>
    <row r="995" spans="2:12">
      <c r="B995" s="88"/>
      <c r="C995" s="439"/>
      <c r="D995" s="439"/>
      <c r="E995" s="439"/>
      <c r="F995" s="439"/>
      <c r="G995" s="439"/>
      <c r="H995" s="439"/>
      <c r="I995" s="439"/>
      <c r="K995" s="439"/>
      <c r="L995" s="439"/>
    </row>
    <row r="996" spans="2:12">
      <c r="B996" s="88"/>
      <c r="C996" s="439"/>
      <c r="D996" s="439"/>
      <c r="E996" s="439"/>
      <c r="F996" s="439"/>
      <c r="G996" s="439"/>
      <c r="H996" s="439"/>
      <c r="I996" s="439"/>
      <c r="K996" s="439"/>
      <c r="L996" s="439"/>
    </row>
    <row r="997" spans="2:12">
      <c r="B997" s="88"/>
      <c r="C997" s="439"/>
      <c r="D997" s="439"/>
      <c r="E997" s="439"/>
      <c r="F997" s="439"/>
      <c r="G997" s="439"/>
      <c r="H997" s="439"/>
      <c r="I997" s="439"/>
      <c r="K997" s="439"/>
      <c r="L997" s="439"/>
    </row>
    <row r="998" spans="2:12">
      <c r="B998" s="88"/>
      <c r="C998" s="439"/>
      <c r="D998" s="439"/>
      <c r="E998" s="439"/>
      <c r="F998" s="439"/>
      <c r="G998" s="439"/>
      <c r="H998" s="439"/>
      <c r="I998" s="439"/>
      <c r="K998" s="439"/>
      <c r="L998" s="439"/>
    </row>
    <row r="999" spans="2:12">
      <c r="B999" s="88"/>
      <c r="C999" s="439"/>
      <c r="D999" s="439"/>
      <c r="E999" s="439"/>
      <c r="F999" s="439"/>
      <c r="G999" s="439"/>
      <c r="H999" s="439"/>
      <c r="I999" s="439"/>
      <c r="K999" s="439"/>
      <c r="L999" s="439"/>
    </row>
    <row r="1000" spans="2:12">
      <c r="B1000" s="88"/>
      <c r="C1000" s="439"/>
      <c r="D1000" s="439"/>
      <c r="E1000" s="439"/>
      <c r="F1000" s="439"/>
      <c r="G1000" s="439"/>
      <c r="H1000" s="439"/>
      <c r="I1000" s="439"/>
      <c r="K1000" s="439"/>
      <c r="L1000" s="439"/>
    </row>
    <row r="1001" spans="2:12">
      <c r="B1001" s="88"/>
      <c r="C1001" s="439"/>
      <c r="D1001" s="439"/>
      <c r="E1001" s="439"/>
      <c r="F1001" s="439"/>
      <c r="G1001" s="439"/>
      <c r="H1001" s="439"/>
      <c r="I1001" s="439"/>
      <c r="K1001" s="439"/>
      <c r="L1001" s="439"/>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47" t="s">
        <v>351</v>
      </c>
      <c r="C1" s="141"/>
      <c r="D1" s="147"/>
      <c r="E1" s="147"/>
      <c r="F1" s="147"/>
      <c r="G1" s="118"/>
      <c r="H1" s="118"/>
    </row>
    <row r="2" spans="1:8">
      <c r="A2" s="118" t="s">
        <v>249</v>
      </c>
      <c r="B2" s="47" t="s">
        <v>250</v>
      </c>
      <c r="C2" s="118" t="s">
        <v>273</v>
      </c>
      <c r="D2" s="118"/>
      <c r="E2" s="118"/>
      <c r="F2" s="118"/>
      <c r="G2" s="118"/>
      <c r="H2" s="118"/>
    </row>
    <row r="3" spans="1:8">
      <c r="A3" s="118" t="s">
        <v>252</v>
      </c>
      <c r="B3" s="144" t="s">
        <v>5</v>
      </c>
      <c r="C3" s="144" t="s">
        <v>352</v>
      </c>
      <c r="D3" s="144" t="s">
        <v>353</v>
      </c>
      <c r="E3" s="144" t="s">
        <v>354</v>
      </c>
      <c r="F3" s="144" t="s">
        <v>355</v>
      </c>
      <c r="G3" s="144"/>
      <c r="H3" s="144"/>
    </row>
    <row r="4" spans="1:8" ht="25.5">
      <c r="B4" s="148" t="s">
        <v>16</v>
      </c>
      <c r="C4" s="639" t="s">
        <v>277</v>
      </c>
      <c r="D4" s="639" t="s">
        <v>356</v>
      </c>
      <c r="E4" s="639" t="s">
        <v>357</v>
      </c>
      <c r="F4" s="639" t="s">
        <v>358</v>
      </c>
      <c r="G4" s="150"/>
    </row>
    <row r="5" spans="1:8" ht="51">
      <c r="B5" s="148" t="s">
        <v>27</v>
      </c>
      <c r="C5" s="470" t="s">
        <v>279</v>
      </c>
      <c r="D5" s="470" t="s">
        <v>359</v>
      </c>
      <c r="E5" s="470" t="s">
        <v>360</v>
      </c>
      <c r="F5" s="470" t="s">
        <v>361</v>
      </c>
      <c r="G5" s="144"/>
      <c r="H5" s="144"/>
    </row>
    <row r="6" spans="1:8">
      <c r="B6" s="149">
        <v>1</v>
      </c>
      <c r="C6" s="637"/>
      <c r="D6" s="637" t="s">
        <v>321</v>
      </c>
      <c r="E6" s="637" t="s">
        <v>362</v>
      </c>
      <c r="F6" s="637" t="s">
        <v>321</v>
      </c>
      <c r="G6" s="149">
        <v>1</v>
      </c>
    </row>
    <row r="7" spans="1:8">
      <c r="B7" s="149">
        <v>2</v>
      </c>
      <c r="C7" s="637" t="s">
        <v>218</v>
      </c>
      <c r="D7" s="637"/>
      <c r="E7" s="637" t="s">
        <v>363</v>
      </c>
      <c r="F7" s="637"/>
      <c r="G7" s="149">
        <v>2</v>
      </c>
      <c r="H7" s="144"/>
    </row>
    <row r="8" spans="1:8">
      <c r="B8" s="149">
        <v>3</v>
      </c>
      <c r="C8" s="640"/>
      <c r="D8" s="637"/>
      <c r="E8" s="637"/>
      <c r="F8" s="637"/>
      <c r="G8" s="149">
        <v>3</v>
      </c>
    </row>
    <row r="9" spans="1:8">
      <c r="B9" s="149">
        <v>4</v>
      </c>
      <c r="C9" s="637"/>
      <c r="D9" s="637"/>
      <c r="E9" s="637"/>
      <c r="F9" s="637"/>
      <c r="G9" s="149">
        <v>4</v>
      </c>
      <c r="H9" s="144"/>
    </row>
    <row r="10" spans="1:8" ht="25.5">
      <c r="B10" s="149">
        <v>5</v>
      </c>
      <c r="C10" s="820"/>
      <c r="D10" s="641"/>
      <c r="E10" s="641" t="s">
        <v>364</v>
      </c>
      <c r="F10" s="641"/>
      <c r="G10" s="149">
        <v>5</v>
      </c>
    </row>
    <row r="11" spans="1:8" ht="38.25">
      <c r="B11" s="149">
        <v>6</v>
      </c>
      <c r="C11" s="817" t="s">
        <v>365</v>
      </c>
      <c r="D11" s="637"/>
      <c r="E11" s="637"/>
      <c r="F11" s="637" t="s">
        <v>366</v>
      </c>
      <c r="G11" s="149">
        <v>6</v>
      </c>
      <c r="H11" s="144"/>
    </row>
    <row r="12" spans="1:8" ht="38.25">
      <c r="B12" s="149">
        <v>7</v>
      </c>
      <c r="C12" s="820"/>
      <c r="D12" s="641" t="s">
        <v>367</v>
      </c>
      <c r="E12" s="642"/>
      <c r="F12" s="642"/>
      <c r="G12" s="149">
        <v>7</v>
      </c>
    </row>
    <row r="13" spans="1:8" ht="38.25">
      <c r="B13" s="149">
        <v>8</v>
      </c>
      <c r="C13" s="637"/>
      <c r="D13" s="637"/>
      <c r="E13" s="637"/>
      <c r="F13" s="637" t="s">
        <v>368</v>
      </c>
      <c r="G13" s="149">
        <v>8</v>
      </c>
      <c r="H13" s="144"/>
    </row>
    <row r="14" spans="1:8">
      <c r="B14" s="149">
        <v>9</v>
      </c>
      <c r="C14" s="637"/>
      <c r="D14" s="637"/>
      <c r="E14" s="637"/>
      <c r="F14" s="637"/>
      <c r="G14" s="149">
        <v>9</v>
      </c>
    </row>
    <row r="15" spans="1:8" ht="38.25">
      <c r="B15" s="149">
        <v>10</v>
      </c>
      <c r="C15" s="637" t="s">
        <v>369</v>
      </c>
      <c r="D15" s="637" t="s">
        <v>370</v>
      </c>
      <c r="E15" s="637" t="s">
        <v>371</v>
      </c>
      <c r="F15" s="637" t="s">
        <v>372</v>
      </c>
      <c r="G15" s="149">
        <v>10</v>
      </c>
      <c r="H15" s="144"/>
    </row>
    <row r="16" spans="1:8">
      <c r="B16" s="47"/>
      <c r="C16" s="118"/>
      <c r="D16" s="118"/>
      <c r="E16" s="118"/>
      <c r="F16" s="118"/>
      <c r="G16" s="150"/>
    </row>
    <row r="17" spans="2:14" ht="25.5">
      <c r="B17" s="47" t="s">
        <v>289</v>
      </c>
      <c r="C17" s="640" t="s">
        <v>272</v>
      </c>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Guesstimated</v>
      </c>
      <c r="D23" s="118" t="str">
        <f>D6</f>
        <v>None</v>
      </c>
      <c r="E23" t="str">
        <f>E6</f>
        <v>Policy doesn't exist</v>
      </c>
      <c r="F23" s="118" t="str">
        <f>F6</f>
        <v>None</v>
      </c>
      <c r="G23" s="118"/>
      <c r="H23" s="118"/>
    </row>
    <row r="24" spans="2:14">
      <c r="B24" s="119"/>
      <c r="C24" s="118" t="str">
        <f>C11</f>
        <v>Extrapolated from discovered instances of erroneous unbilled consumption (that were not back-billed)</v>
      </c>
      <c r="D24" s="118" t="str">
        <f>D12</f>
        <v>A sample of meter multipliers have been analyzed to confirm multiplier conversion in the billing system is correct</v>
      </c>
      <c r="E24" t="str">
        <f>E7</f>
        <v>Policy exists, but is unclear</v>
      </c>
      <c r="F24" s="118" t="str">
        <f>F11</f>
        <v>Billing data evaluated annually for general errors, but a specific analysis for systematic data handling errors has not been conducted</v>
      </c>
      <c r="G24" s="118"/>
      <c r="H24" s="118"/>
    </row>
    <row r="25" spans="2:14">
      <c r="B25" s="119"/>
      <c r="C25" s="118" t="str">
        <f>C15</f>
        <v>Estimation derived from a specific analysis at the account level to identify erroneous unbilled consumption</v>
      </c>
      <c r="D25" s="118" t="str">
        <f>D15</f>
        <v>All meter multipliers have been analyzed to confirm multiplier conversion in the billing system is correct</v>
      </c>
      <c r="E25" s="118" t="str">
        <f>E10</f>
        <v>Policy is clear, but adherance in practice is inconsistent</v>
      </c>
      <c r="F25" s="118" t="str">
        <f>F13</f>
        <v>Detailed analysis conducted within 5 years of the audit period on stuck meters, extended estimations, &amp; miscoded multipliers</v>
      </c>
      <c r="G25" s="118"/>
      <c r="H25" s="118"/>
    </row>
    <row r="26" spans="2:14">
      <c r="B26" s="119"/>
      <c r="C26" s="118"/>
      <c r="D26" s="118"/>
      <c r="E26" s="118" t="str">
        <f>E15</f>
        <v>Policy is clear, and adherance in practice is consistent</v>
      </c>
      <c r="F26" s="118" t="str">
        <f>F15</f>
        <v>Detailed analysis conducted within 3 years of the audit period on stuck meters, extended estimations, &amp; miscoded multipliers</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273</v>
      </c>
      <c r="C34" s="118"/>
      <c r="D34" s="118"/>
      <c r="E34" s="118"/>
      <c r="F34" s="118"/>
      <c r="G34" s="118"/>
      <c r="H34" s="118"/>
    </row>
    <row r="35" spans="2:8">
      <c r="B35" s="136" t="s">
        <v>279</v>
      </c>
      <c r="C35" s="118"/>
      <c r="D35" s="118"/>
      <c r="E35" s="118"/>
      <c r="F35" s="118"/>
      <c r="G35" s="118"/>
      <c r="H35" s="118"/>
    </row>
    <row r="36" spans="2:8">
      <c r="B36" s="136" t="s">
        <v>359</v>
      </c>
      <c r="C36" s="118"/>
      <c r="D36" s="118"/>
      <c r="E36" s="118"/>
      <c r="F36" s="118"/>
      <c r="G36" s="118"/>
      <c r="H36" s="118"/>
    </row>
    <row r="37" spans="2:8">
      <c r="B37" s="136" t="s">
        <v>360</v>
      </c>
      <c r="C37" s="118"/>
      <c r="D37" s="118"/>
      <c r="E37" s="118"/>
      <c r="F37" s="118"/>
      <c r="G37" s="118"/>
      <c r="H37" s="118"/>
    </row>
    <row r="38" spans="2:8">
      <c r="B38" s="136" t="s">
        <v>361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47" t="s">
        <v>373</v>
      </c>
      <c r="C1" s="141"/>
      <c r="D1" s="147"/>
      <c r="E1" s="147"/>
      <c r="F1" s="147"/>
      <c r="G1" s="118"/>
      <c r="H1" s="118"/>
    </row>
    <row r="2" spans="2:8">
      <c r="D2" s="118"/>
      <c r="E2" s="118"/>
      <c r="F2" s="118"/>
      <c r="G2" s="118"/>
      <c r="H2" s="118"/>
    </row>
    <row r="3" spans="2:8">
      <c r="B3" s="144" t="s">
        <v>5</v>
      </c>
      <c r="C3" s="144" t="s">
        <v>374</v>
      </c>
      <c r="D3" s="144" t="s">
        <v>375</v>
      </c>
      <c r="E3" s="144" t="s">
        <v>376</v>
      </c>
      <c r="F3" s="144" t="s">
        <v>377</v>
      </c>
      <c r="G3" s="144"/>
      <c r="H3" s="144"/>
    </row>
    <row r="4" spans="2:8" ht="25.5">
      <c r="B4" s="148" t="s">
        <v>16</v>
      </c>
      <c r="C4" s="639" t="s">
        <v>277</v>
      </c>
      <c r="D4" s="639" t="s">
        <v>378</v>
      </c>
      <c r="E4" s="639" t="s">
        <v>379</v>
      </c>
      <c r="F4" s="639" t="s">
        <v>380</v>
      </c>
      <c r="G4" s="150"/>
    </row>
    <row r="5" spans="2:8" ht="38.25">
      <c r="B5" s="148" t="s">
        <v>27</v>
      </c>
      <c r="C5" s="470" t="s">
        <v>381</v>
      </c>
      <c r="D5" s="470" t="s">
        <v>382</v>
      </c>
      <c r="E5" s="470" t="s">
        <v>383</v>
      </c>
      <c r="F5" s="470" t="s">
        <v>384</v>
      </c>
      <c r="G5" s="144"/>
      <c r="H5" s="144"/>
    </row>
    <row r="6" spans="2:8">
      <c r="B6" s="149">
        <v>1</v>
      </c>
      <c r="C6" s="637" t="s">
        <v>218</v>
      </c>
      <c r="D6" s="637"/>
      <c r="E6" s="637"/>
      <c r="F6" s="637"/>
      <c r="G6" s="149">
        <v>1</v>
      </c>
    </row>
    <row r="7" spans="2:8">
      <c r="B7" s="149">
        <v>2</v>
      </c>
      <c r="C7" s="637"/>
      <c r="D7" s="637"/>
      <c r="E7" s="637"/>
      <c r="F7" s="637"/>
      <c r="G7" s="149">
        <v>2</v>
      </c>
      <c r="H7" s="144"/>
    </row>
    <row r="8" spans="2:8" ht="25.5">
      <c r="B8" s="149">
        <v>3</v>
      </c>
      <c r="C8" s="817"/>
      <c r="D8" s="637"/>
      <c r="E8" s="637" t="s">
        <v>385</v>
      </c>
      <c r="F8" s="637"/>
      <c r="G8" s="149">
        <v>3</v>
      </c>
    </row>
    <row r="9" spans="2:8">
      <c r="B9" s="149">
        <v>4</v>
      </c>
      <c r="C9" s="637"/>
      <c r="D9" s="637"/>
      <c r="E9" s="637"/>
      <c r="F9" s="637"/>
      <c r="G9" s="149">
        <v>4</v>
      </c>
      <c r="H9" s="144"/>
    </row>
    <row r="10" spans="2:8">
      <c r="B10" s="149">
        <v>5</v>
      </c>
      <c r="C10" s="637"/>
      <c r="D10" s="641"/>
      <c r="E10" s="641"/>
      <c r="F10" s="641"/>
      <c r="G10" s="149">
        <v>5</v>
      </c>
    </row>
    <row r="11" spans="2:8" ht="25.5">
      <c r="B11" s="149">
        <v>6</v>
      </c>
      <c r="C11" s="817"/>
      <c r="D11" s="637"/>
      <c r="E11" s="637" t="s">
        <v>386</v>
      </c>
      <c r="F11" s="637"/>
      <c r="G11" s="149">
        <v>6</v>
      </c>
      <c r="H11" s="144"/>
    </row>
    <row r="12" spans="2:8">
      <c r="B12" s="149">
        <v>7</v>
      </c>
      <c r="C12" s="637"/>
      <c r="D12" s="641"/>
      <c r="E12" s="641"/>
      <c r="F12" s="641" t="s">
        <v>387</v>
      </c>
      <c r="G12" s="149">
        <v>7</v>
      </c>
    </row>
    <row r="13" spans="2:8">
      <c r="B13" s="149">
        <v>8</v>
      </c>
      <c r="C13" s="637"/>
      <c r="D13" s="637" t="s">
        <v>49</v>
      </c>
      <c r="E13" s="637"/>
      <c r="F13" s="637"/>
      <c r="G13" s="149">
        <v>8</v>
      </c>
      <c r="H13" s="144"/>
    </row>
    <row r="14" spans="2:8">
      <c r="B14" s="149">
        <v>9</v>
      </c>
      <c r="C14" s="637"/>
      <c r="D14" s="637"/>
      <c r="E14" s="637"/>
      <c r="F14" s="637"/>
      <c r="G14" s="149">
        <v>9</v>
      </c>
    </row>
    <row r="15" spans="2:8" ht="25.5">
      <c r="B15" s="149">
        <v>10</v>
      </c>
      <c r="C15" s="637" t="s">
        <v>388</v>
      </c>
      <c r="D15" s="637" t="s">
        <v>62</v>
      </c>
      <c r="E15" s="637" t="s">
        <v>389</v>
      </c>
      <c r="F15" s="637" t="s">
        <v>390</v>
      </c>
      <c r="G15" s="149">
        <v>10</v>
      </c>
      <c r="H15" s="144"/>
    </row>
    <row r="16" spans="2: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D13</f>
        <v>No</v>
      </c>
      <c r="E23" t="str">
        <f>E8</f>
        <v>Mains inventory (GIS, ledger, etc) is not maintained or updated</v>
      </c>
      <c r="F23" s="118" t="str">
        <f>F12</f>
        <v>No field validation is conducted</v>
      </c>
      <c r="G23" s="118"/>
      <c r="H23" s="118"/>
    </row>
    <row r="24" spans="2:14">
      <c r="B24" s="119"/>
      <c r="C24" s="118" t="str">
        <f>C15</f>
        <v>Derived directly from Mains inventory (GIS, ledger, etc)</v>
      </c>
      <c r="D24" s="118" t="str">
        <f>D15</f>
        <v>Yes</v>
      </c>
      <c r="E24" t="str">
        <f>E11</f>
        <v>Additions or subtractions are updated in the mains inventory (GIS, ledger, etc), but less than annually</v>
      </c>
      <c r="F24" s="118" t="str">
        <f>F15</f>
        <v>Field validation is accomplished (i.e. in daily operations or specific validation projects)</v>
      </c>
      <c r="G24" s="118"/>
      <c r="H24" s="118"/>
    </row>
    <row r="25" spans="2:14">
      <c r="B25" s="119"/>
      <c r="C25" s="118"/>
      <c r="D25" s="118"/>
      <c r="E25" s="118" t="str">
        <f>E15</f>
        <v>Additions or subtractions are updated in the mains inventory (GIS, ledger, etc), at least annually</v>
      </c>
      <c r="F25" s="118"/>
      <c r="G25" s="118"/>
      <c r="H25" s="118"/>
    </row>
    <row r="26" spans="2:14">
      <c r="B26" s="119"/>
      <c r="C26" s="118"/>
      <c r="D26" s="118"/>
      <c r="E26" s="118"/>
      <c r="F26" s="118"/>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c r="C34" s="118"/>
      <c r="D34" s="118"/>
      <c r="E34" s="118"/>
      <c r="F34" s="118"/>
      <c r="G34" s="118"/>
      <c r="H34" s="118"/>
    </row>
    <row r="35" spans="2:8">
      <c r="B35" s="136" t="s">
        <v>381</v>
      </c>
      <c r="C35" s="118"/>
      <c r="D35" s="118"/>
      <c r="E35" s="118"/>
      <c r="F35" s="118"/>
      <c r="G35" s="118"/>
      <c r="H35" s="118"/>
    </row>
    <row r="36" spans="2:8">
      <c r="B36" s="136" t="s">
        <v>382</v>
      </c>
      <c r="C36" s="118"/>
      <c r="D36" s="118"/>
      <c r="E36" s="118"/>
      <c r="F36" s="118"/>
      <c r="G36" s="118"/>
      <c r="H36" s="118"/>
    </row>
    <row r="37" spans="2:8">
      <c r="B37" s="136" t="s">
        <v>383</v>
      </c>
      <c r="C37" s="118"/>
      <c r="D37" s="118"/>
      <c r="E37" s="118"/>
      <c r="F37" s="118"/>
      <c r="G37" s="118"/>
      <c r="H37" s="118"/>
    </row>
    <row r="38" spans="2:8">
      <c r="B38" s="136" t="s">
        <v>384</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47" t="s">
        <v>391</v>
      </c>
      <c r="C1" s="141"/>
      <c r="D1" s="147"/>
      <c r="E1" s="147"/>
      <c r="F1" s="147"/>
      <c r="G1" s="147"/>
      <c r="H1" s="118"/>
      <c r="I1" s="118"/>
    </row>
    <row r="2" spans="2:9">
      <c r="D2" s="118"/>
      <c r="E2" s="118"/>
      <c r="F2" s="118"/>
      <c r="G2" s="118"/>
      <c r="H2" s="118"/>
      <c r="I2" s="118"/>
    </row>
    <row r="3" spans="2:9">
      <c r="B3" s="144" t="s">
        <v>5</v>
      </c>
      <c r="C3" s="144" t="s">
        <v>392</v>
      </c>
      <c r="D3" s="144" t="s">
        <v>393</v>
      </c>
      <c r="E3" s="144" t="s">
        <v>394</v>
      </c>
      <c r="F3" s="144" t="s">
        <v>395</v>
      </c>
      <c r="G3" s="144" t="s">
        <v>396</v>
      </c>
      <c r="H3" s="144"/>
      <c r="I3" s="144"/>
    </row>
    <row r="4" spans="2:9" ht="25.5">
      <c r="B4" s="148" t="s">
        <v>16</v>
      </c>
      <c r="C4" s="639" t="s">
        <v>277</v>
      </c>
      <c r="D4" s="639" t="s">
        <v>397</v>
      </c>
      <c r="E4" s="639" t="s">
        <v>397</v>
      </c>
      <c r="F4" s="639" t="s">
        <v>379</v>
      </c>
      <c r="G4" s="639" t="s">
        <v>380</v>
      </c>
      <c r="H4" s="150"/>
    </row>
    <row r="5" spans="2:9" ht="63.75">
      <c r="B5" s="148" t="s">
        <v>27</v>
      </c>
      <c r="C5" s="470" t="s">
        <v>381</v>
      </c>
      <c r="D5" s="470" t="s">
        <v>398</v>
      </c>
      <c r="E5" s="470" t="s">
        <v>399</v>
      </c>
      <c r="F5" s="470" t="s">
        <v>400</v>
      </c>
      <c r="G5" s="470" t="s">
        <v>401</v>
      </c>
      <c r="H5" s="144"/>
      <c r="I5" s="144"/>
    </row>
    <row r="6" spans="2:9" ht="25.5">
      <c r="B6" s="149">
        <v>1</v>
      </c>
      <c r="C6" s="637"/>
      <c r="D6" s="637"/>
      <c r="E6" s="637"/>
      <c r="F6" s="637" t="s">
        <v>402</v>
      </c>
      <c r="G6" s="637"/>
      <c r="H6" s="149">
        <v>1</v>
      </c>
    </row>
    <row r="7" spans="2:9">
      <c r="B7" s="149">
        <v>2</v>
      </c>
      <c r="C7" s="637" t="s">
        <v>218</v>
      </c>
      <c r="D7" s="637"/>
      <c r="E7" s="637"/>
      <c r="F7" s="637"/>
      <c r="G7" s="637"/>
      <c r="H7" s="149">
        <v>2</v>
      </c>
      <c r="I7" s="144"/>
    </row>
    <row r="8" spans="2:9">
      <c r="B8" s="149">
        <v>3</v>
      </c>
      <c r="C8" s="817"/>
      <c r="D8" s="637"/>
      <c r="E8" s="637"/>
      <c r="F8" s="637"/>
      <c r="G8" s="637"/>
      <c r="H8" s="149">
        <v>3</v>
      </c>
    </row>
    <row r="9" spans="2:9">
      <c r="B9" s="149">
        <v>4</v>
      </c>
      <c r="C9" s="637"/>
      <c r="D9" s="637" t="s">
        <v>403</v>
      </c>
      <c r="E9" s="637"/>
      <c r="F9" s="637"/>
      <c r="G9" s="637"/>
      <c r="H9" s="149">
        <v>4</v>
      </c>
      <c r="I9" s="144"/>
    </row>
    <row r="10" spans="2:9">
      <c r="B10" s="149">
        <v>5</v>
      </c>
      <c r="C10" s="637"/>
      <c r="D10" s="641"/>
      <c r="E10" s="641" t="s">
        <v>49</v>
      </c>
      <c r="F10" s="641"/>
      <c r="G10" s="641" t="s">
        <v>387</v>
      </c>
      <c r="H10" s="149">
        <v>5</v>
      </c>
    </row>
    <row r="11" spans="2:9" ht="38.25">
      <c r="B11" s="149">
        <v>6</v>
      </c>
      <c r="C11" s="817"/>
      <c r="D11" s="637"/>
      <c r="E11" s="637"/>
      <c r="F11" s="637" t="s">
        <v>404</v>
      </c>
      <c r="G11" s="637"/>
      <c r="H11" s="149">
        <v>6</v>
      </c>
      <c r="I11" s="144"/>
    </row>
    <row r="12" spans="2:9">
      <c r="B12" s="149">
        <v>7</v>
      </c>
      <c r="C12" s="637"/>
      <c r="D12" s="641"/>
      <c r="E12" s="641"/>
      <c r="F12" s="641"/>
      <c r="G12" s="641"/>
      <c r="H12" s="149">
        <v>7</v>
      </c>
    </row>
    <row r="13" spans="2:9" ht="51">
      <c r="B13" s="149">
        <v>8</v>
      </c>
      <c r="C13" s="637"/>
      <c r="D13" s="637" t="s">
        <v>405</v>
      </c>
      <c r="E13" s="637"/>
      <c r="F13" s="637"/>
      <c r="G13" s="637" t="s">
        <v>406</v>
      </c>
      <c r="H13" s="149">
        <v>8</v>
      </c>
      <c r="I13" s="144"/>
    </row>
    <row r="14" spans="2:9">
      <c r="B14" s="149">
        <v>9</v>
      </c>
      <c r="C14" s="637"/>
      <c r="D14" s="637"/>
      <c r="E14" s="637"/>
      <c r="F14" s="637"/>
      <c r="G14" s="637"/>
      <c r="H14" s="149">
        <v>9</v>
      </c>
    </row>
    <row r="15" spans="2:9" ht="51">
      <c r="B15" s="149">
        <v>10</v>
      </c>
      <c r="C15" s="637" t="s">
        <v>407</v>
      </c>
      <c r="D15" s="637" t="s">
        <v>408</v>
      </c>
      <c r="E15" s="637" t="s">
        <v>62</v>
      </c>
      <c r="F15" s="637" t="s">
        <v>409</v>
      </c>
      <c r="G15" s="637" t="s">
        <v>410</v>
      </c>
      <c r="H15" s="149">
        <v>10</v>
      </c>
      <c r="I15" s="144"/>
    </row>
    <row r="16" spans="2:9">
      <c r="B16" s="47"/>
      <c r="C16" s="118"/>
      <c r="D16" s="118"/>
      <c r="E16" s="118"/>
      <c r="F16" s="118"/>
      <c r="G16" s="118"/>
      <c r="H16" s="150"/>
    </row>
    <row r="17" spans="2:15">
      <c r="B17" s="47"/>
      <c r="C17" s="118"/>
      <c r="D17" s="118"/>
      <c r="E17" s="118"/>
      <c r="F17" s="118"/>
      <c r="G17" s="118"/>
      <c r="H17" s="144"/>
      <c r="I17" s="144"/>
    </row>
    <row r="18" spans="2:15">
      <c r="B18" s="47"/>
      <c r="C18" s="118"/>
      <c r="D18" s="118"/>
      <c r="E18" s="118"/>
      <c r="F18" s="118"/>
      <c r="G18" s="118"/>
      <c r="H18" s="150"/>
    </row>
    <row r="19" spans="2:15">
      <c r="B19" s="47"/>
      <c r="C19" s="118"/>
      <c r="D19" s="118"/>
      <c r="E19" s="118"/>
      <c r="F19" s="118"/>
      <c r="G19" s="118"/>
      <c r="H19" s="118"/>
      <c r="I19" s="118"/>
    </row>
    <row r="20" spans="2:15">
      <c r="B20" s="47"/>
      <c r="C20" s="118"/>
      <c r="D20" s="118"/>
      <c r="E20" s="118"/>
      <c r="F20" s="118"/>
      <c r="G20" s="118"/>
      <c r="H20" s="118"/>
      <c r="I20" s="118"/>
    </row>
    <row r="21" spans="2:15">
      <c r="B21" s="47"/>
      <c r="C21" s="118"/>
      <c r="D21" s="118"/>
      <c r="E21" s="118"/>
      <c r="F21" s="118"/>
      <c r="G21" s="118"/>
      <c r="H21" s="118"/>
      <c r="I21" s="118"/>
    </row>
    <row r="22" spans="2:15">
      <c r="B22" s="47"/>
      <c r="C22" s="118"/>
      <c r="D22" s="118"/>
      <c r="E22" s="118"/>
      <c r="F22" s="118"/>
      <c r="G22" s="118"/>
      <c r="H22" s="118"/>
      <c r="I22" s="118"/>
    </row>
    <row r="23" spans="2:15">
      <c r="B23" s="119" t="s">
        <v>70</v>
      </c>
      <c r="C23" s="118" t="str">
        <f>C7</f>
        <v>Guesstimated</v>
      </c>
      <c r="D23" s="118" t="str">
        <f>D9</f>
        <v>Unsure</v>
      </c>
      <c r="E23" t="str">
        <f>E10</f>
        <v>No</v>
      </c>
      <c r="F23" s="118" t="str">
        <f>F6</f>
        <v>Service line inventory (GIS, billing system, etc) is not maintained or updated</v>
      </c>
      <c r="G23" s="118" t="str">
        <f>G10</f>
        <v>No field validation is conducted</v>
      </c>
      <c r="H23" s="118"/>
      <c r="I23" s="118"/>
    </row>
    <row r="24" spans="2:15">
      <c r="B24" s="119"/>
      <c r="C24" s="118" t="str">
        <f>C15</f>
        <v>Extracted from Services inventory (GIS, billing system, etc)</v>
      </c>
      <c r="D24" s="118" t="str">
        <f>D13</f>
        <v>Non-premise based, i.e. meter count, customer count</v>
      </c>
      <c r="E24" t="str">
        <f>E15</f>
        <v>Yes</v>
      </c>
      <c r="F24" s="118" t="str">
        <f>F11</f>
        <v>Additions or subtractions are updated in the service line inventory (GIS, billing system, etc), but less than annually</v>
      </c>
      <c r="G24" s="118" t="str">
        <f>G13</f>
        <v>Field validation is accomplished for a portion of the system (i.e. in daily operations or specific validation projects)</v>
      </c>
      <c r="H24" s="118"/>
      <c r="I24" s="118"/>
    </row>
    <row r="25" spans="2:15">
      <c r="B25" s="119"/>
      <c r="C25" s="118"/>
      <c r="D25" s="118" t="str">
        <f>D15</f>
        <v>Premise based, i.e. service connection count, location ID count</v>
      </c>
      <c r="E25" s="118"/>
      <c r="F25" s="118" t="str">
        <f>F15</f>
        <v>Additions or subtractions are updated in the service line inventory (GIS, billing system, etc), at least annually</v>
      </c>
      <c r="G25" s="118" t="str">
        <f>G15</f>
        <v>Field validation is accomplished for the entire system (i.e. in daily operations or specific validation projects)</v>
      </c>
      <c r="H25" s="118"/>
      <c r="I25" s="118"/>
    </row>
    <row r="26" spans="2:15">
      <c r="B26" s="119"/>
      <c r="C26" s="118"/>
      <c r="D26" s="118"/>
      <c r="E26" s="118"/>
      <c r="F26" s="118"/>
      <c r="G26" s="118"/>
      <c r="I26" s="118"/>
      <c r="M26" s="118"/>
      <c r="O26" s="118"/>
    </row>
    <row r="27" spans="2:15">
      <c r="B27" s="119"/>
      <c r="C27" s="118"/>
      <c r="D27" s="118"/>
      <c r="E27" s="118"/>
      <c r="F27" s="118"/>
      <c r="G27" s="118"/>
      <c r="I27" s="118"/>
      <c r="O27" s="118"/>
    </row>
    <row r="28" spans="2:15">
      <c r="B28" s="119"/>
      <c r="C28" s="118"/>
      <c r="D28" s="118"/>
      <c r="E28" s="118"/>
      <c r="F28" s="118"/>
      <c r="G28" s="118"/>
      <c r="H28" s="118"/>
      <c r="I28" s="118"/>
    </row>
    <row r="29" spans="2:15">
      <c r="B29" s="119"/>
      <c r="C29" s="118"/>
      <c r="D29" s="118"/>
      <c r="E29" s="118"/>
      <c r="F29" s="118"/>
      <c r="G29" s="118"/>
      <c r="H29" s="118"/>
      <c r="I29" s="118"/>
    </row>
    <row r="30" spans="2:15">
      <c r="B30" s="121"/>
      <c r="C30" s="118"/>
      <c r="D30" s="118"/>
      <c r="E30" s="118"/>
      <c r="F30" s="118"/>
      <c r="G30" s="118"/>
      <c r="H30" s="118"/>
      <c r="I30" s="118"/>
    </row>
    <row r="31" spans="2:15">
      <c r="B31" s="121"/>
      <c r="C31" s="118"/>
      <c r="D31" s="118"/>
      <c r="E31" s="118"/>
      <c r="F31" s="118"/>
      <c r="G31" s="118"/>
      <c r="H31" s="118"/>
      <c r="I31" s="118"/>
    </row>
    <row r="32" spans="2:15">
      <c r="B32" s="119"/>
      <c r="C32" s="118"/>
      <c r="D32" s="118"/>
      <c r="E32" s="118"/>
      <c r="F32" s="118"/>
      <c r="G32" s="118"/>
      <c r="H32" s="118"/>
      <c r="I32" s="118"/>
    </row>
    <row r="33" spans="2:9">
      <c r="B33" s="119" t="s">
        <v>71</v>
      </c>
      <c r="C33" s="118"/>
      <c r="D33" s="118"/>
      <c r="E33" s="118"/>
      <c r="F33" s="118"/>
      <c r="G33" s="118"/>
      <c r="H33" s="118"/>
      <c r="I33" s="118"/>
    </row>
    <row r="34" spans="2:9">
      <c r="B34" s="136"/>
      <c r="C34" s="118"/>
      <c r="D34" s="118"/>
      <c r="E34" s="118"/>
      <c r="F34" s="118"/>
      <c r="G34" s="118"/>
      <c r="H34" s="118"/>
      <c r="I34" s="118"/>
    </row>
    <row r="35" spans="2:9">
      <c r="B35" s="136" t="s">
        <v>381</v>
      </c>
      <c r="C35" s="118"/>
      <c r="D35" s="118"/>
      <c r="E35" s="118"/>
      <c r="F35" s="118"/>
      <c r="G35" s="118"/>
      <c r="H35" s="118"/>
      <c r="I35" s="118"/>
    </row>
    <row r="36" spans="2:9">
      <c r="B36" s="136" t="s">
        <v>398</v>
      </c>
      <c r="C36" s="118"/>
      <c r="D36" s="118"/>
      <c r="E36" s="118"/>
      <c r="F36" s="118"/>
      <c r="G36" s="118"/>
      <c r="H36" s="118"/>
      <c r="I36" s="118"/>
    </row>
    <row r="37" spans="2:9">
      <c r="B37" s="136" t="s">
        <v>399</v>
      </c>
      <c r="C37" s="118"/>
      <c r="D37" s="118"/>
      <c r="E37" s="118"/>
      <c r="F37" s="118"/>
      <c r="G37" s="118"/>
      <c r="H37" s="118"/>
      <c r="I37" s="118"/>
    </row>
    <row r="38" spans="2:9">
      <c r="B38" s="136" t="s">
        <v>400</v>
      </c>
      <c r="C38" s="118"/>
      <c r="D38" s="118"/>
      <c r="E38" s="118"/>
      <c r="F38" s="118"/>
      <c r="G38" s="118"/>
      <c r="H38" s="118"/>
      <c r="I38" s="118"/>
    </row>
    <row r="39" spans="2:9">
      <c r="B39" s="136" t="s">
        <v>401</v>
      </c>
      <c r="C39" s="118"/>
      <c r="D39" s="118"/>
      <c r="E39" s="118"/>
      <c r="F39" s="118"/>
      <c r="G39" s="118"/>
      <c r="H39" s="118"/>
      <c r="I39" s="118"/>
    </row>
    <row r="40" spans="2:9">
      <c r="B40" s="136"/>
      <c r="C40" s="118"/>
      <c r="D40" s="118"/>
      <c r="E40" s="118"/>
      <c r="F40" s="118"/>
      <c r="G40" s="118"/>
      <c r="H40" s="118"/>
      <c r="I40" s="118"/>
    </row>
    <row r="41" spans="2:9">
      <c r="B41" s="136"/>
      <c r="C41" s="118"/>
      <c r="D41" s="118"/>
      <c r="E41" s="118"/>
      <c r="F41" s="118"/>
      <c r="G41" s="118"/>
      <c r="H41" s="118"/>
      <c r="I41" s="118"/>
    </row>
    <row r="42" spans="2:9">
      <c r="B42" s="136"/>
      <c r="C42" s="118"/>
      <c r="D42" s="118"/>
      <c r="E42" s="118"/>
      <c r="F42" s="118"/>
      <c r="G42" s="118"/>
      <c r="H42" s="118"/>
      <c r="I42" s="118"/>
    </row>
    <row r="43" spans="2:9">
      <c r="B43" s="47"/>
      <c r="C43" s="118"/>
      <c r="D43" s="118"/>
      <c r="E43" s="118"/>
      <c r="F43" s="118"/>
      <c r="G43" s="118"/>
      <c r="H43" s="118"/>
      <c r="I43" s="118"/>
    </row>
    <row r="44" spans="2:9">
      <c r="B44" s="47"/>
      <c r="C44" s="118"/>
      <c r="D44" s="118"/>
      <c r="E44" s="118"/>
      <c r="F44" s="118"/>
      <c r="G44" s="118"/>
      <c r="H44" s="118"/>
      <c r="I44" s="118"/>
    </row>
    <row r="45" spans="2:9">
      <c r="B45" s="47"/>
      <c r="C45" s="118"/>
      <c r="D45" s="118"/>
      <c r="E45" s="118"/>
      <c r="F45" s="118"/>
      <c r="G45" s="118"/>
      <c r="H45" s="118"/>
      <c r="I45" s="118"/>
    </row>
    <row r="46" spans="2:9">
      <c r="B46" s="47"/>
      <c r="C46" s="118"/>
      <c r="D46" s="118"/>
      <c r="E46" s="118"/>
      <c r="F46" s="118"/>
      <c r="G46" s="118"/>
      <c r="H46" s="118"/>
      <c r="I46" s="118"/>
    </row>
    <row r="47" spans="2:9">
      <c r="B47" s="47"/>
      <c r="C47" s="118"/>
      <c r="D47" s="118"/>
      <c r="E47" s="118"/>
      <c r="F47" s="118"/>
      <c r="G47" s="118"/>
      <c r="H47" s="118"/>
      <c r="I47" s="118"/>
    </row>
    <row r="48" spans="2:9">
      <c r="B48" s="47"/>
      <c r="C48" s="118"/>
      <c r="D48" s="118"/>
      <c r="E48" s="118"/>
      <c r="F48" s="118"/>
      <c r="G48" s="118"/>
      <c r="H48" s="118"/>
      <c r="I48" s="118"/>
    </row>
    <row r="49" spans="2:9">
      <c r="B49" s="47"/>
      <c r="C49" s="118"/>
      <c r="D49" s="118"/>
      <c r="E49" s="118"/>
      <c r="F49" s="118"/>
      <c r="G49" s="118"/>
      <c r="H49" s="118"/>
      <c r="I49" s="118"/>
    </row>
    <row r="50" spans="2:9">
      <c r="B50" s="47"/>
      <c r="C50" s="118"/>
      <c r="D50" s="118"/>
      <c r="E50" s="118"/>
      <c r="F50" s="118"/>
      <c r="G50" s="118"/>
      <c r="H50" s="118"/>
      <c r="I50" s="118"/>
    </row>
    <row r="51" spans="2:9">
      <c r="B51" s="47"/>
      <c r="C51" s="118"/>
      <c r="D51" s="118"/>
      <c r="E51" s="118"/>
      <c r="F51" s="118"/>
      <c r="G51" s="118"/>
      <c r="H51" s="118"/>
      <c r="I51" s="118"/>
    </row>
    <row r="52" spans="2:9">
      <c r="B52" s="47"/>
      <c r="C52" s="118"/>
      <c r="D52" s="118"/>
      <c r="E52" s="118"/>
      <c r="F52" s="118"/>
      <c r="G52" s="118"/>
      <c r="H52" s="118"/>
      <c r="I52" s="118"/>
    </row>
    <row r="53" spans="2:9">
      <c r="B53" s="47"/>
      <c r="C53" s="118"/>
      <c r="D53" s="118"/>
      <c r="E53" s="118"/>
      <c r="F53" s="118"/>
      <c r="G53" s="118"/>
      <c r="H53" s="118"/>
      <c r="I53" s="118"/>
    </row>
    <row r="54" spans="2:9">
      <c r="B54" s="47"/>
      <c r="C54" s="118"/>
      <c r="D54" s="118"/>
      <c r="E54" s="118"/>
      <c r="F54" s="118"/>
      <c r="G54" s="118"/>
      <c r="H54" s="118"/>
      <c r="I54" s="118"/>
    </row>
    <row r="55" spans="2:9">
      <c r="B55" s="47"/>
      <c r="C55" s="118"/>
      <c r="D55" s="118"/>
      <c r="E55" s="118"/>
      <c r="F55" s="118"/>
      <c r="G55" s="118"/>
      <c r="H55" s="118"/>
      <c r="I55" s="118"/>
    </row>
    <row r="56" spans="2:9">
      <c r="B56" s="47"/>
      <c r="C56" s="118"/>
      <c r="D56" s="118"/>
      <c r="E56" s="118"/>
      <c r="F56" s="118"/>
      <c r="G56" s="118"/>
      <c r="H56" s="118"/>
      <c r="I56" s="118"/>
    </row>
    <row r="57" spans="2:9">
      <c r="B57" s="47"/>
      <c r="C57" s="118"/>
      <c r="D57" s="118"/>
      <c r="E57" s="118"/>
      <c r="F57" s="118"/>
      <c r="G57" s="118"/>
      <c r="H57" s="118"/>
      <c r="I57" s="118"/>
    </row>
    <row r="58" spans="2:9">
      <c r="B58" s="47"/>
      <c r="C58" s="118"/>
      <c r="D58" s="118"/>
      <c r="E58" s="118"/>
      <c r="F58" s="118"/>
      <c r="G58" s="118"/>
      <c r="H58" s="118"/>
      <c r="I58" s="118"/>
    </row>
    <row r="59" spans="2:9">
      <c r="B59" s="47"/>
      <c r="C59" s="118"/>
      <c r="D59" s="118"/>
      <c r="E59" s="118"/>
      <c r="F59" s="118"/>
      <c r="G59" s="118"/>
      <c r="H59" s="118"/>
      <c r="I59" s="118"/>
    </row>
    <row r="60" spans="2:9">
      <c r="B60" s="47"/>
      <c r="C60" s="118"/>
      <c r="D60" s="118"/>
      <c r="E60" s="118"/>
      <c r="F60" s="118"/>
      <c r="G60" s="118"/>
      <c r="H60" s="118"/>
      <c r="I60" s="118"/>
    </row>
    <row r="61" spans="2:9">
      <c r="B61" s="47"/>
      <c r="C61" s="118"/>
      <c r="D61" s="118"/>
      <c r="E61" s="118"/>
      <c r="F61" s="118"/>
      <c r="G61" s="118"/>
      <c r="H61" s="118"/>
      <c r="I61" s="118"/>
    </row>
    <row r="62" spans="2:9">
      <c r="B62" s="47"/>
      <c r="C62" s="118"/>
      <c r="D62" s="118"/>
      <c r="E62" s="118"/>
      <c r="F62" s="118"/>
      <c r="G62" s="118"/>
      <c r="H62" s="118"/>
      <c r="I62" s="118"/>
    </row>
    <row r="63" spans="2:9">
      <c r="B63" s="47"/>
      <c r="C63" s="118"/>
      <c r="D63" s="118"/>
      <c r="E63" s="118"/>
      <c r="F63" s="118"/>
      <c r="G63" s="118"/>
      <c r="H63" s="118"/>
      <c r="I63" s="118"/>
    </row>
    <row r="64" spans="2:9">
      <c r="B64" s="47"/>
      <c r="C64" s="118"/>
      <c r="D64" s="118"/>
      <c r="E64" s="118"/>
      <c r="F64" s="118"/>
      <c r="G64" s="118"/>
      <c r="H64" s="118"/>
      <c r="I64" s="118"/>
    </row>
    <row r="65" spans="2:9">
      <c r="B65" s="47"/>
      <c r="C65" s="118"/>
      <c r="D65" s="118"/>
      <c r="E65" s="118"/>
      <c r="F65" s="118"/>
      <c r="G65" s="118"/>
      <c r="H65" s="118"/>
      <c r="I65" s="118"/>
    </row>
    <row r="66" spans="2:9">
      <c r="B66" s="47"/>
      <c r="C66" s="118"/>
      <c r="D66" s="118"/>
      <c r="E66" s="118"/>
      <c r="F66" s="118"/>
      <c r="G66" s="118"/>
      <c r="H66" s="118"/>
      <c r="I66" s="118"/>
    </row>
    <row r="67" spans="2:9">
      <c r="B67" s="47"/>
      <c r="C67" s="118"/>
      <c r="D67" s="118"/>
      <c r="E67" s="118"/>
      <c r="F67" s="118"/>
      <c r="G67" s="118"/>
      <c r="H67" s="118"/>
      <c r="I67" s="118"/>
    </row>
    <row r="68" spans="2:9">
      <c r="B68" s="47"/>
      <c r="C68" s="118"/>
      <c r="D68" s="118"/>
      <c r="E68" s="118"/>
      <c r="F68" s="118"/>
      <c r="G68" s="118"/>
      <c r="H68" s="118"/>
      <c r="I68" s="118"/>
    </row>
    <row r="69" spans="2:9">
      <c r="B69" s="47"/>
      <c r="C69" s="118"/>
      <c r="D69" s="118"/>
      <c r="E69" s="118"/>
      <c r="F69" s="118"/>
      <c r="G69" s="118"/>
      <c r="H69" s="118"/>
      <c r="I69" s="118"/>
    </row>
    <row r="70" spans="2:9">
      <c r="B70" s="47"/>
      <c r="C70" s="118"/>
      <c r="D70" s="118"/>
      <c r="E70" s="118"/>
      <c r="F70" s="118"/>
      <c r="G70" s="118"/>
      <c r="H70" s="118"/>
      <c r="I70" s="118"/>
    </row>
    <row r="71" spans="2:9">
      <c r="B71" s="47"/>
      <c r="C71" s="118"/>
      <c r="D71" s="118"/>
      <c r="E71" s="118"/>
      <c r="F71" s="118"/>
      <c r="G71" s="118"/>
      <c r="H71" s="118"/>
      <c r="I71" s="118"/>
    </row>
    <row r="72" spans="2:9">
      <c r="B72" s="47"/>
      <c r="C72" s="118"/>
      <c r="D72" s="118"/>
      <c r="E72" s="118"/>
      <c r="F72" s="118"/>
      <c r="G72" s="118"/>
      <c r="H72" s="118"/>
      <c r="I72" s="118"/>
    </row>
    <row r="73" spans="2:9">
      <c r="B73" s="47"/>
      <c r="C73" s="118"/>
      <c r="D73" s="118"/>
      <c r="E73" s="118"/>
      <c r="F73" s="118"/>
      <c r="G73" s="118"/>
      <c r="H73" s="118"/>
      <c r="I73" s="118"/>
    </row>
    <row r="74" spans="2:9">
      <c r="B74" s="47"/>
      <c r="C74" s="118"/>
      <c r="D74" s="118"/>
      <c r="E74" s="118"/>
      <c r="F74" s="118"/>
      <c r="G74" s="118"/>
      <c r="H74" s="118"/>
      <c r="I74" s="118"/>
    </row>
    <row r="75" spans="2:9">
      <c r="B75" s="47"/>
      <c r="C75" s="118"/>
      <c r="D75" s="118"/>
      <c r="E75" s="118"/>
      <c r="F75" s="118"/>
      <c r="G75" s="118"/>
      <c r="H75" s="118"/>
      <c r="I75" s="118"/>
    </row>
    <row r="76" spans="2:9">
      <c r="B76" s="47"/>
      <c r="C76" s="118"/>
      <c r="D76" s="118"/>
      <c r="E76" s="118"/>
      <c r="F76" s="118"/>
      <c r="G76" s="118"/>
      <c r="H76" s="118"/>
      <c r="I76" s="118"/>
    </row>
    <row r="77" spans="2:9">
      <c r="B77" s="47"/>
      <c r="C77" s="118"/>
      <c r="D77" s="118"/>
      <c r="E77" s="118"/>
      <c r="F77" s="118"/>
      <c r="G77" s="118"/>
      <c r="H77" s="118"/>
      <c r="I77" s="118"/>
    </row>
    <row r="78" spans="2:9">
      <c r="B78" s="47"/>
      <c r="C78" s="118"/>
      <c r="D78" s="118"/>
      <c r="E78" s="118"/>
      <c r="F78" s="118"/>
      <c r="G78" s="118"/>
      <c r="H78" s="118"/>
      <c r="I78" s="118"/>
    </row>
    <row r="79" spans="2:9">
      <c r="B79" s="47"/>
      <c r="C79" s="118"/>
      <c r="D79" s="118"/>
      <c r="E79" s="118"/>
      <c r="F79" s="118"/>
      <c r="G79" s="118"/>
      <c r="H79" s="118"/>
      <c r="I79" s="118"/>
    </row>
    <row r="80" spans="2:9">
      <c r="B80" s="47"/>
      <c r="C80" s="118"/>
      <c r="D80" s="118"/>
      <c r="E80" s="118"/>
      <c r="F80" s="118"/>
      <c r="G80" s="118"/>
      <c r="H80" s="118"/>
      <c r="I80" s="118"/>
    </row>
    <row r="81" spans="2:9">
      <c r="B81" s="47"/>
      <c r="C81" s="118"/>
      <c r="D81" s="118"/>
      <c r="E81" s="118"/>
      <c r="F81" s="118"/>
      <c r="G81" s="118"/>
      <c r="H81" s="118"/>
      <c r="I81" s="118"/>
    </row>
    <row r="82" spans="2:9">
      <c r="B82" s="47"/>
      <c r="C82" s="118"/>
      <c r="D82" s="118"/>
      <c r="E82" s="118"/>
      <c r="F82" s="118"/>
      <c r="G82" s="118"/>
      <c r="H82" s="118"/>
      <c r="I82" s="118"/>
    </row>
    <row r="83" spans="2:9">
      <c r="B83" s="47"/>
      <c r="C83" s="118"/>
      <c r="D83" s="118"/>
      <c r="E83" s="118"/>
      <c r="F83" s="118"/>
      <c r="G83" s="118"/>
      <c r="H83" s="118"/>
      <c r="I83" s="118"/>
    </row>
    <row r="84" spans="2:9">
      <c r="B84" s="47"/>
      <c r="C84" s="118"/>
      <c r="D84" s="118"/>
      <c r="E84" s="118"/>
      <c r="F84" s="118"/>
      <c r="G84" s="118"/>
      <c r="H84" s="118"/>
      <c r="I84" s="118"/>
    </row>
    <row r="85" spans="2:9">
      <c r="B85" s="47"/>
      <c r="C85" s="118"/>
      <c r="D85" s="118"/>
      <c r="E85" s="118"/>
      <c r="F85" s="118"/>
      <c r="G85" s="118"/>
      <c r="H85" s="118"/>
      <c r="I85" s="118"/>
    </row>
    <row r="86" spans="2:9">
      <c r="B86" s="47"/>
      <c r="C86" s="118"/>
      <c r="D86" s="118"/>
      <c r="E86" s="118"/>
      <c r="F86" s="118"/>
      <c r="G86" s="118"/>
      <c r="H86" s="118"/>
      <c r="I86" s="118"/>
    </row>
    <row r="87" spans="2:9">
      <c r="B87" s="47"/>
      <c r="C87" s="118"/>
      <c r="D87" s="118"/>
      <c r="E87" s="118"/>
      <c r="F87" s="118"/>
      <c r="G87" s="118"/>
      <c r="H87" s="118"/>
      <c r="I87" s="118"/>
    </row>
    <row r="88" spans="2:9">
      <c r="B88" s="47"/>
      <c r="C88" s="118"/>
      <c r="D88" s="118"/>
      <c r="E88" s="118"/>
      <c r="F88" s="118"/>
      <c r="G88" s="118"/>
      <c r="H88" s="118"/>
      <c r="I88" s="118"/>
    </row>
    <row r="89" spans="2:9">
      <c r="B89" s="47"/>
      <c r="C89" s="118"/>
      <c r="D89" s="118"/>
      <c r="E89" s="118"/>
      <c r="F89" s="118"/>
      <c r="G89" s="118"/>
      <c r="H89" s="118"/>
      <c r="I89" s="118"/>
    </row>
    <row r="90" spans="2:9">
      <c r="B90" s="47"/>
      <c r="C90" s="118"/>
      <c r="D90" s="118"/>
      <c r="E90" s="118"/>
      <c r="F90" s="118"/>
      <c r="G90" s="118"/>
      <c r="H90" s="118"/>
      <c r="I90" s="118"/>
    </row>
    <row r="91" spans="2:9">
      <c r="B91" s="47"/>
      <c r="C91" s="118"/>
      <c r="D91" s="118"/>
      <c r="E91" s="118"/>
      <c r="F91" s="118"/>
      <c r="G91" s="118"/>
      <c r="H91" s="118"/>
      <c r="I91" s="118"/>
    </row>
    <row r="92" spans="2:9">
      <c r="B92" s="47"/>
      <c r="C92" s="118"/>
      <c r="D92" s="118"/>
      <c r="E92" s="118"/>
      <c r="F92" s="118"/>
      <c r="G92" s="118"/>
      <c r="H92" s="118"/>
      <c r="I92" s="118"/>
    </row>
    <row r="93" spans="2:9">
      <c r="B93" s="47"/>
      <c r="C93" s="118"/>
      <c r="D93" s="118"/>
      <c r="E93" s="118"/>
      <c r="F93" s="118"/>
      <c r="G93" s="118"/>
      <c r="H93" s="118"/>
      <c r="I93" s="118"/>
    </row>
    <row r="94" spans="2:9">
      <c r="B94" s="47"/>
      <c r="C94" s="118"/>
      <c r="D94" s="118"/>
      <c r="E94" s="118"/>
      <c r="F94" s="118"/>
      <c r="G94" s="118"/>
      <c r="H94" s="118"/>
      <c r="I94" s="118"/>
    </row>
    <row r="95" spans="2:9">
      <c r="B95" s="47"/>
      <c r="C95" s="118"/>
      <c r="D95" s="118"/>
      <c r="E95" s="118"/>
      <c r="F95" s="118"/>
      <c r="G95" s="118"/>
      <c r="H95" s="118"/>
      <c r="I95" s="118"/>
    </row>
    <row r="96" spans="2:9">
      <c r="B96" s="47"/>
      <c r="C96" s="118"/>
      <c r="D96" s="118"/>
      <c r="E96" s="118"/>
      <c r="F96" s="118"/>
      <c r="G96" s="118"/>
      <c r="H96" s="118"/>
      <c r="I96" s="118"/>
    </row>
    <row r="97" spans="2:9">
      <c r="B97" s="47"/>
      <c r="C97" s="118"/>
      <c r="D97" s="118"/>
      <c r="E97" s="118"/>
      <c r="F97" s="118"/>
      <c r="G97" s="118"/>
      <c r="H97" s="118"/>
      <c r="I97" s="118"/>
    </row>
    <row r="98" spans="2:9">
      <c r="B98" s="47"/>
      <c r="C98" s="118"/>
      <c r="D98" s="118"/>
      <c r="E98" s="118"/>
      <c r="F98" s="118"/>
      <c r="G98" s="118"/>
      <c r="H98" s="118"/>
      <c r="I98" s="118"/>
    </row>
    <row r="99" spans="2:9">
      <c r="B99" s="47"/>
      <c r="C99" s="118"/>
      <c r="D99" s="118"/>
      <c r="E99" s="118"/>
      <c r="F99" s="118"/>
      <c r="G99" s="118"/>
      <c r="H99" s="118"/>
      <c r="I99" s="118"/>
    </row>
    <row r="100" spans="2:9">
      <c r="B100" s="47"/>
      <c r="C100" s="118"/>
      <c r="D100" s="118"/>
      <c r="E100" s="118"/>
      <c r="F100" s="118"/>
      <c r="G100" s="118"/>
      <c r="H100" s="118"/>
      <c r="I100" s="118"/>
    </row>
    <row r="101" spans="2:9">
      <c r="B101" s="47"/>
      <c r="C101" s="118"/>
      <c r="D101" s="118"/>
      <c r="E101" s="118"/>
      <c r="F101" s="118"/>
      <c r="G101" s="118"/>
      <c r="H101" s="118"/>
      <c r="I101" s="118"/>
    </row>
    <row r="102" spans="2:9">
      <c r="B102" s="47"/>
      <c r="C102" s="118"/>
      <c r="D102" s="118"/>
      <c r="E102" s="118"/>
      <c r="F102" s="118"/>
      <c r="G102" s="118"/>
      <c r="H102" s="118"/>
      <c r="I102" s="118"/>
    </row>
    <row r="103" spans="2:9">
      <c r="B103" s="47"/>
      <c r="C103" s="118"/>
      <c r="D103" s="118"/>
      <c r="E103" s="118"/>
      <c r="F103" s="118"/>
      <c r="G103" s="118"/>
      <c r="H103" s="118"/>
      <c r="I103" s="118"/>
    </row>
    <row r="104" spans="2:9">
      <c r="B104" s="47"/>
      <c r="C104" s="118"/>
      <c r="D104" s="118"/>
      <c r="E104" s="118"/>
      <c r="F104" s="118"/>
      <c r="G104" s="118"/>
      <c r="H104" s="118"/>
      <c r="I104" s="118"/>
    </row>
    <row r="105" spans="2:9">
      <c r="B105" s="47"/>
      <c r="C105" s="118"/>
      <c r="D105" s="118"/>
      <c r="E105" s="118"/>
      <c r="F105" s="118"/>
      <c r="G105" s="118"/>
      <c r="H105" s="118"/>
      <c r="I105" s="118"/>
    </row>
    <row r="106" spans="2:9">
      <c r="B106" s="47"/>
      <c r="C106" s="118"/>
      <c r="D106" s="118"/>
      <c r="E106" s="118"/>
      <c r="F106" s="118"/>
      <c r="G106" s="118"/>
      <c r="H106" s="118"/>
      <c r="I106" s="118"/>
    </row>
    <row r="107" spans="2:9">
      <c r="B107" s="47"/>
      <c r="C107" s="118"/>
      <c r="D107" s="118"/>
      <c r="E107" s="118"/>
      <c r="F107" s="118"/>
      <c r="G107" s="118"/>
      <c r="H107" s="118"/>
      <c r="I107" s="118"/>
    </row>
    <row r="108" spans="2:9">
      <c r="B108" s="47"/>
      <c r="C108" s="118"/>
      <c r="D108" s="118"/>
      <c r="E108" s="118"/>
      <c r="F108" s="118"/>
      <c r="G108" s="118"/>
      <c r="H108" s="118"/>
      <c r="I108" s="118"/>
    </row>
    <row r="109" spans="2:9">
      <c r="B109" s="47"/>
      <c r="C109" s="118"/>
      <c r="D109" s="118"/>
      <c r="E109" s="118"/>
      <c r="F109" s="118"/>
      <c r="G109" s="118"/>
      <c r="H109" s="118"/>
      <c r="I109" s="118"/>
    </row>
    <row r="110" spans="2:9">
      <c r="B110" s="47"/>
      <c r="C110" s="118"/>
      <c r="D110" s="118"/>
      <c r="E110" s="118"/>
      <c r="F110" s="118"/>
      <c r="G110" s="118"/>
      <c r="H110" s="118"/>
      <c r="I110" s="118"/>
    </row>
    <row r="111" spans="2:9">
      <c r="B111" s="47"/>
      <c r="C111" s="118"/>
      <c r="D111" s="118"/>
      <c r="E111" s="118"/>
      <c r="F111" s="118"/>
      <c r="G111" s="118"/>
      <c r="H111" s="118"/>
      <c r="I111" s="118"/>
    </row>
    <row r="112" spans="2:9">
      <c r="B112" s="47"/>
      <c r="C112" s="118"/>
      <c r="D112" s="118"/>
      <c r="E112" s="118"/>
      <c r="F112" s="118"/>
      <c r="G112" s="118"/>
      <c r="H112" s="118"/>
      <c r="I112" s="118"/>
    </row>
    <row r="113" spans="2:9">
      <c r="B113" s="47"/>
      <c r="C113" s="118"/>
      <c r="D113" s="118"/>
      <c r="E113" s="118"/>
      <c r="F113" s="118"/>
      <c r="G113" s="118"/>
      <c r="H113" s="118"/>
      <c r="I113" s="118"/>
    </row>
    <row r="114" spans="2:9">
      <c r="B114" s="47"/>
      <c r="C114" s="118"/>
      <c r="D114" s="118"/>
      <c r="E114" s="118"/>
      <c r="F114" s="118"/>
      <c r="G114" s="118"/>
      <c r="H114" s="118"/>
      <c r="I114" s="118"/>
    </row>
    <row r="115" spans="2:9">
      <c r="B115" s="47"/>
      <c r="C115" s="118"/>
      <c r="D115" s="118"/>
      <c r="E115" s="118"/>
      <c r="F115" s="118"/>
      <c r="G115" s="118"/>
      <c r="H115" s="118"/>
      <c r="I115" s="118"/>
    </row>
    <row r="116" spans="2:9">
      <c r="B116" s="47"/>
      <c r="C116" s="118"/>
      <c r="D116" s="118"/>
      <c r="E116" s="118"/>
      <c r="F116" s="118"/>
      <c r="G116" s="118"/>
      <c r="H116" s="118"/>
      <c r="I116" s="118"/>
    </row>
    <row r="117" spans="2:9">
      <c r="B117" s="47"/>
      <c r="C117" s="118"/>
      <c r="D117" s="118"/>
      <c r="E117" s="118"/>
      <c r="F117" s="118"/>
      <c r="G117" s="118"/>
      <c r="H117" s="118"/>
      <c r="I117" s="118"/>
    </row>
    <row r="118" spans="2:9">
      <c r="B118" s="47"/>
      <c r="C118" s="118"/>
      <c r="D118" s="118"/>
      <c r="E118" s="118"/>
      <c r="F118" s="118"/>
      <c r="G118" s="118"/>
      <c r="H118" s="118"/>
      <c r="I118" s="118"/>
    </row>
    <row r="119" spans="2:9">
      <c r="B119" s="47"/>
      <c r="C119" s="118"/>
      <c r="D119" s="118"/>
      <c r="E119" s="118"/>
      <c r="F119" s="118"/>
      <c r="G119" s="118"/>
      <c r="H119" s="118"/>
      <c r="I119" s="118"/>
    </row>
    <row r="120" spans="2:9">
      <c r="B120" s="47"/>
      <c r="C120" s="118"/>
      <c r="D120" s="118"/>
      <c r="E120" s="118"/>
      <c r="F120" s="118"/>
      <c r="G120" s="118"/>
      <c r="H120" s="118"/>
      <c r="I120" s="118"/>
    </row>
    <row r="121" spans="2:9">
      <c r="B121" s="47"/>
      <c r="C121" s="118"/>
      <c r="D121" s="118"/>
      <c r="E121" s="118"/>
      <c r="F121" s="118"/>
      <c r="G121" s="118"/>
      <c r="H121" s="118"/>
      <c r="I121" s="118"/>
    </row>
    <row r="122" spans="2:9">
      <c r="B122" s="47"/>
      <c r="C122" s="118"/>
      <c r="D122" s="118"/>
      <c r="E122" s="118"/>
      <c r="F122" s="118"/>
      <c r="G122" s="118"/>
      <c r="H122" s="118"/>
      <c r="I122" s="118"/>
    </row>
    <row r="123" spans="2:9">
      <c r="B123" s="47"/>
      <c r="C123" s="118"/>
      <c r="D123" s="118"/>
      <c r="E123" s="118"/>
      <c r="F123" s="118"/>
      <c r="G123" s="118"/>
      <c r="H123" s="118"/>
      <c r="I123" s="118"/>
    </row>
    <row r="124" spans="2:9">
      <c r="B124" s="47"/>
      <c r="C124" s="118"/>
      <c r="D124" s="118"/>
      <c r="E124" s="118"/>
      <c r="F124" s="118"/>
      <c r="G124" s="118"/>
      <c r="H124" s="118"/>
      <c r="I124" s="118"/>
    </row>
    <row r="125" spans="2:9">
      <c r="B125" s="47"/>
      <c r="C125" s="118"/>
      <c r="D125" s="118"/>
      <c r="E125" s="118"/>
      <c r="F125" s="118"/>
      <c r="G125" s="118"/>
      <c r="H125" s="118"/>
      <c r="I125" s="118"/>
    </row>
    <row r="126" spans="2:9">
      <c r="B126" s="47"/>
      <c r="C126" s="118"/>
      <c r="D126" s="118"/>
      <c r="E126" s="118"/>
      <c r="F126" s="118"/>
      <c r="G126" s="118"/>
      <c r="H126" s="118"/>
      <c r="I126" s="118"/>
    </row>
    <row r="127" spans="2:9">
      <c r="B127" s="47"/>
      <c r="C127" s="118"/>
      <c r="D127" s="118"/>
      <c r="E127" s="118"/>
      <c r="F127" s="118"/>
      <c r="G127" s="118"/>
      <c r="H127" s="118"/>
      <c r="I127" s="118"/>
    </row>
    <row r="128" spans="2:9">
      <c r="B128" s="47"/>
      <c r="C128" s="118"/>
      <c r="D128" s="118"/>
      <c r="E128" s="118"/>
      <c r="F128" s="118"/>
      <c r="G128" s="118"/>
      <c r="H128" s="118"/>
      <c r="I128" s="118"/>
    </row>
    <row r="129" spans="2:9">
      <c r="B129" s="47"/>
      <c r="C129" s="118"/>
      <c r="D129" s="118"/>
      <c r="E129" s="118"/>
      <c r="F129" s="118"/>
      <c r="G129" s="118"/>
      <c r="H129" s="118"/>
      <c r="I129" s="118"/>
    </row>
    <row r="130" spans="2:9">
      <c r="B130" s="47"/>
      <c r="C130" s="118"/>
      <c r="D130" s="118"/>
      <c r="E130" s="118"/>
      <c r="F130" s="118"/>
      <c r="G130" s="118"/>
      <c r="H130" s="118"/>
      <c r="I130" s="118"/>
    </row>
    <row r="131" spans="2:9">
      <c r="B131" s="47"/>
      <c r="C131" s="118"/>
      <c r="D131" s="118"/>
      <c r="E131" s="118"/>
      <c r="F131" s="118"/>
      <c r="G131" s="118"/>
      <c r="H131" s="118"/>
      <c r="I131" s="118"/>
    </row>
    <row r="132" spans="2:9">
      <c r="B132" s="47"/>
      <c r="C132" s="118"/>
      <c r="D132" s="118"/>
      <c r="E132" s="118"/>
      <c r="F132" s="118"/>
      <c r="G132" s="118"/>
      <c r="H132" s="118"/>
      <c r="I132" s="118"/>
    </row>
    <row r="133" spans="2:9">
      <c r="B133" s="47"/>
      <c r="C133" s="118"/>
      <c r="D133" s="118"/>
      <c r="E133" s="118"/>
      <c r="F133" s="118"/>
      <c r="G133" s="118"/>
      <c r="H133" s="118"/>
      <c r="I133" s="118"/>
    </row>
    <row r="134" spans="2:9">
      <c r="B134" s="47"/>
      <c r="C134" s="118"/>
      <c r="D134" s="118"/>
      <c r="E134" s="118"/>
      <c r="F134" s="118"/>
      <c r="G134" s="118"/>
      <c r="H134" s="118"/>
      <c r="I134" s="118"/>
    </row>
    <row r="135" spans="2:9">
      <c r="B135" s="47"/>
      <c r="C135" s="118"/>
      <c r="D135" s="118"/>
      <c r="E135" s="118"/>
      <c r="F135" s="118"/>
      <c r="G135" s="118"/>
      <c r="H135" s="118"/>
      <c r="I135" s="118"/>
    </row>
    <row r="136" spans="2:9">
      <c r="B136" s="47"/>
      <c r="C136" s="118"/>
      <c r="D136" s="118"/>
      <c r="E136" s="118"/>
      <c r="F136" s="118"/>
      <c r="G136" s="118"/>
      <c r="H136" s="118"/>
      <c r="I136" s="118"/>
    </row>
    <row r="137" spans="2:9">
      <c r="B137" s="47"/>
      <c r="C137" s="118"/>
      <c r="D137" s="118"/>
      <c r="E137" s="118"/>
      <c r="F137" s="118"/>
      <c r="G137" s="118"/>
      <c r="H137" s="118"/>
      <c r="I137" s="118"/>
    </row>
    <row r="138" spans="2:9">
      <c r="B138" s="47"/>
      <c r="C138" s="118"/>
      <c r="D138" s="118"/>
      <c r="E138" s="118"/>
      <c r="F138" s="118"/>
      <c r="G138" s="118"/>
      <c r="H138" s="118"/>
      <c r="I138" s="118"/>
    </row>
    <row r="139" spans="2:9">
      <c r="B139" s="47"/>
      <c r="C139" s="118"/>
      <c r="D139" s="118"/>
      <c r="E139" s="118"/>
      <c r="F139" s="118"/>
      <c r="G139" s="118"/>
      <c r="H139" s="118"/>
      <c r="I139" s="118"/>
    </row>
    <row r="140" spans="2:9">
      <c r="B140" s="47"/>
      <c r="C140" s="118"/>
      <c r="D140" s="118"/>
      <c r="E140" s="118"/>
      <c r="F140" s="118"/>
      <c r="G140" s="118"/>
      <c r="H140" s="118"/>
      <c r="I140" s="118"/>
    </row>
    <row r="141" spans="2:9">
      <c r="B141" s="47"/>
      <c r="C141" s="118"/>
      <c r="D141" s="118"/>
      <c r="E141" s="118"/>
      <c r="F141" s="118"/>
      <c r="G141" s="118"/>
      <c r="H141" s="118"/>
      <c r="I141" s="118"/>
    </row>
    <row r="142" spans="2:9">
      <c r="B142" s="47"/>
      <c r="C142" s="118"/>
      <c r="D142" s="118"/>
      <c r="E142" s="118"/>
      <c r="F142" s="118"/>
      <c r="G142" s="118"/>
      <c r="H142" s="118"/>
      <c r="I142" s="118"/>
    </row>
    <row r="143" spans="2:9">
      <c r="B143" s="47"/>
      <c r="C143" s="118"/>
      <c r="D143" s="118"/>
      <c r="E143" s="118"/>
      <c r="F143" s="118"/>
      <c r="G143" s="118"/>
      <c r="H143" s="118"/>
      <c r="I143" s="118"/>
    </row>
    <row r="144" spans="2:9">
      <c r="B144" s="47"/>
      <c r="C144" s="118"/>
      <c r="D144" s="118"/>
      <c r="E144" s="118"/>
      <c r="F144" s="118"/>
      <c r="G144" s="118"/>
      <c r="H144" s="118"/>
      <c r="I144" s="118"/>
    </row>
    <row r="145" spans="2:9">
      <c r="B145" s="47"/>
      <c r="C145" s="118"/>
      <c r="D145" s="118"/>
      <c r="E145" s="118"/>
      <c r="F145" s="118"/>
      <c r="G145" s="118"/>
      <c r="H145" s="118"/>
      <c r="I145" s="118"/>
    </row>
    <row r="146" spans="2:9">
      <c r="B146" s="47"/>
      <c r="C146" s="118"/>
      <c r="D146" s="118"/>
      <c r="E146" s="118"/>
      <c r="F146" s="118"/>
      <c r="G146" s="118"/>
      <c r="H146" s="118"/>
      <c r="I146" s="118"/>
    </row>
    <row r="147" spans="2:9">
      <c r="B147" s="47"/>
      <c r="C147" s="118"/>
      <c r="D147" s="118"/>
      <c r="E147" s="118"/>
      <c r="F147" s="118"/>
      <c r="G147" s="118"/>
      <c r="H147" s="118"/>
      <c r="I147" s="118"/>
    </row>
    <row r="148" spans="2:9">
      <c r="B148" s="47"/>
      <c r="C148" s="118"/>
      <c r="D148" s="118"/>
      <c r="E148" s="118"/>
      <c r="F148" s="118"/>
      <c r="G148" s="118"/>
      <c r="H148" s="118"/>
      <c r="I148" s="118"/>
    </row>
    <row r="149" spans="2:9">
      <c r="B149" s="47"/>
      <c r="C149" s="118"/>
      <c r="D149" s="118"/>
      <c r="E149" s="118"/>
      <c r="F149" s="118"/>
      <c r="G149" s="118"/>
      <c r="H149" s="118"/>
      <c r="I149" s="118"/>
    </row>
    <row r="150" spans="2:9">
      <c r="B150" s="47"/>
      <c r="C150" s="118"/>
      <c r="D150" s="118"/>
      <c r="E150" s="118"/>
      <c r="F150" s="118"/>
      <c r="G150" s="118"/>
      <c r="H150" s="118"/>
      <c r="I150" s="118"/>
    </row>
    <row r="151" spans="2:9">
      <c r="B151" s="47"/>
      <c r="C151" s="118"/>
      <c r="D151" s="118"/>
      <c r="E151" s="118"/>
      <c r="F151" s="118"/>
      <c r="G151" s="118"/>
      <c r="H151" s="118"/>
      <c r="I151" s="118"/>
    </row>
    <row r="152" spans="2:9">
      <c r="B152" s="47"/>
      <c r="C152" s="118"/>
      <c r="D152" s="118"/>
      <c r="E152" s="118"/>
      <c r="F152" s="118"/>
      <c r="G152" s="118"/>
      <c r="H152" s="118"/>
      <c r="I152" s="118"/>
    </row>
    <row r="153" spans="2:9">
      <c r="B153" s="47"/>
      <c r="C153" s="118"/>
      <c r="D153" s="118"/>
      <c r="E153" s="118"/>
      <c r="F153" s="118"/>
      <c r="G153" s="118"/>
      <c r="H153" s="118"/>
      <c r="I153" s="118"/>
    </row>
    <row r="154" spans="2:9">
      <c r="B154" s="47"/>
      <c r="C154" s="118"/>
      <c r="D154" s="118"/>
      <c r="E154" s="118"/>
      <c r="F154" s="118"/>
      <c r="G154" s="118"/>
      <c r="H154" s="118"/>
      <c r="I154" s="118"/>
    </row>
    <row r="155" spans="2:9">
      <c r="B155" s="47"/>
      <c r="C155" s="118"/>
      <c r="D155" s="118"/>
      <c r="E155" s="118"/>
      <c r="F155" s="118"/>
      <c r="G155" s="118"/>
      <c r="H155" s="118"/>
      <c r="I155" s="118"/>
    </row>
    <row r="156" spans="2:9">
      <c r="B156" s="47"/>
      <c r="C156" s="118"/>
      <c r="D156" s="118"/>
      <c r="E156" s="118"/>
      <c r="F156" s="118"/>
      <c r="G156" s="118"/>
      <c r="H156" s="118"/>
      <c r="I156" s="118"/>
    </row>
    <row r="157" spans="2:9">
      <c r="B157" s="47"/>
      <c r="C157" s="118"/>
      <c r="D157" s="118"/>
      <c r="E157" s="118"/>
      <c r="F157" s="118"/>
      <c r="G157" s="118"/>
      <c r="H157" s="118"/>
      <c r="I157" s="118"/>
    </row>
    <row r="158" spans="2:9">
      <c r="B158" s="47"/>
      <c r="C158" s="118"/>
      <c r="D158" s="118"/>
      <c r="E158" s="118"/>
      <c r="F158" s="118"/>
      <c r="G158" s="118"/>
      <c r="H158" s="118"/>
      <c r="I158" s="118"/>
    </row>
    <row r="159" spans="2:9">
      <c r="B159" s="47"/>
      <c r="C159" s="118"/>
      <c r="D159" s="118"/>
      <c r="E159" s="118"/>
      <c r="F159" s="118"/>
      <c r="G159" s="118"/>
      <c r="H159" s="118"/>
      <c r="I159" s="118"/>
    </row>
    <row r="160" spans="2:9">
      <c r="B160" s="47"/>
      <c r="C160" s="118"/>
      <c r="D160" s="118"/>
      <c r="E160" s="118"/>
      <c r="F160" s="118"/>
      <c r="G160" s="118"/>
      <c r="H160" s="118"/>
      <c r="I160" s="118"/>
    </row>
    <row r="161" spans="2:9">
      <c r="B161" s="47"/>
      <c r="C161" s="118"/>
      <c r="D161" s="118"/>
      <c r="E161" s="118"/>
      <c r="F161" s="118"/>
      <c r="G161" s="118"/>
      <c r="H161" s="118"/>
      <c r="I161" s="118"/>
    </row>
    <row r="162" spans="2:9">
      <c r="B162" s="47"/>
      <c r="C162" s="118"/>
      <c r="D162" s="118"/>
      <c r="E162" s="118"/>
      <c r="F162" s="118"/>
      <c r="G162" s="118"/>
      <c r="H162" s="118"/>
      <c r="I162" s="118"/>
    </row>
    <row r="163" spans="2:9">
      <c r="B163" s="47"/>
      <c r="C163" s="118"/>
      <c r="D163" s="118"/>
      <c r="E163" s="118"/>
      <c r="F163" s="118"/>
      <c r="G163" s="118"/>
      <c r="H163" s="118"/>
      <c r="I163" s="118"/>
    </row>
    <row r="164" spans="2:9">
      <c r="B164" s="47"/>
      <c r="C164" s="118"/>
      <c r="D164" s="118"/>
      <c r="E164" s="118"/>
      <c r="F164" s="118"/>
      <c r="G164" s="118"/>
      <c r="H164" s="118"/>
      <c r="I164" s="118"/>
    </row>
    <row r="165" spans="2:9">
      <c r="B165" s="47"/>
      <c r="C165" s="118"/>
      <c r="D165" s="118"/>
      <c r="E165" s="118"/>
      <c r="F165" s="118"/>
      <c r="G165" s="118"/>
      <c r="H165" s="118"/>
      <c r="I165" s="118"/>
    </row>
    <row r="166" spans="2:9">
      <c r="B166" s="47"/>
      <c r="C166" s="118"/>
      <c r="D166" s="118"/>
      <c r="E166" s="118"/>
      <c r="F166" s="118"/>
      <c r="G166" s="118"/>
      <c r="H166" s="118"/>
      <c r="I166" s="118"/>
    </row>
    <row r="167" spans="2:9">
      <c r="B167" s="47"/>
      <c r="C167" s="118"/>
      <c r="D167" s="118"/>
      <c r="E167" s="118"/>
      <c r="F167" s="118"/>
      <c r="G167" s="118"/>
      <c r="H167" s="118"/>
      <c r="I167" s="118"/>
    </row>
    <row r="168" spans="2:9">
      <c r="B168" s="47"/>
      <c r="C168" s="118"/>
      <c r="D168" s="118"/>
      <c r="E168" s="118"/>
      <c r="F168" s="118"/>
      <c r="G168" s="118"/>
      <c r="H168" s="118"/>
      <c r="I168" s="118"/>
    </row>
    <row r="169" spans="2:9">
      <c r="B169" s="47"/>
      <c r="C169" s="118"/>
      <c r="D169" s="118"/>
      <c r="E169" s="118"/>
      <c r="F169" s="118"/>
      <c r="G169" s="118"/>
      <c r="H169" s="118"/>
      <c r="I169" s="118"/>
    </row>
    <row r="170" spans="2:9">
      <c r="B170" s="47"/>
      <c r="C170" s="118"/>
      <c r="D170" s="118"/>
      <c r="E170" s="118"/>
      <c r="F170" s="118"/>
      <c r="G170" s="118"/>
      <c r="H170" s="118"/>
      <c r="I170" s="118"/>
    </row>
    <row r="171" spans="2:9">
      <c r="B171" s="47"/>
      <c r="C171" s="118"/>
      <c r="D171" s="118"/>
      <c r="E171" s="118"/>
      <c r="F171" s="118"/>
      <c r="G171" s="118"/>
      <c r="H171" s="118"/>
      <c r="I171" s="118"/>
    </row>
    <row r="172" spans="2:9">
      <c r="B172" s="47"/>
      <c r="C172" s="118"/>
      <c r="D172" s="118"/>
      <c r="E172" s="118"/>
      <c r="F172" s="118"/>
      <c r="G172" s="118"/>
      <c r="H172" s="118"/>
      <c r="I172" s="118"/>
    </row>
    <row r="173" spans="2:9">
      <c r="B173" s="47"/>
      <c r="C173" s="118"/>
      <c r="D173" s="118"/>
      <c r="E173" s="118"/>
      <c r="F173" s="118"/>
      <c r="G173" s="118"/>
      <c r="H173" s="118"/>
      <c r="I173" s="118"/>
    </row>
    <row r="174" spans="2:9">
      <c r="B174" s="47"/>
      <c r="C174" s="118"/>
      <c r="D174" s="118"/>
      <c r="E174" s="118"/>
      <c r="F174" s="118"/>
      <c r="G174" s="118"/>
      <c r="H174" s="118"/>
      <c r="I174" s="118"/>
    </row>
    <row r="175" spans="2:9">
      <c r="B175" s="47"/>
      <c r="C175" s="118"/>
      <c r="D175" s="118"/>
      <c r="E175" s="118"/>
      <c r="F175" s="118"/>
      <c r="G175" s="118"/>
      <c r="H175" s="118"/>
      <c r="I175" s="118"/>
    </row>
    <row r="176" spans="2:9">
      <c r="B176" s="47"/>
      <c r="C176" s="118"/>
      <c r="D176" s="118"/>
      <c r="E176" s="118"/>
      <c r="F176" s="118"/>
      <c r="G176" s="118"/>
      <c r="H176" s="118"/>
      <c r="I176" s="118"/>
    </row>
    <row r="177" spans="2:9">
      <c r="B177" s="47"/>
      <c r="C177" s="118"/>
      <c r="D177" s="118"/>
      <c r="E177" s="118"/>
      <c r="F177" s="118"/>
      <c r="G177" s="118"/>
      <c r="H177" s="118"/>
      <c r="I177" s="118"/>
    </row>
    <row r="178" spans="2:9">
      <c r="B178" s="47"/>
      <c r="C178" s="118"/>
      <c r="D178" s="118"/>
      <c r="E178" s="118"/>
      <c r="F178" s="118"/>
      <c r="G178" s="118"/>
      <c r="H178" s="118"/>
      <c r="I178" s="118"/>
    </row>
    <row r="179" spans="2:9">
      <c r="B179" s="47"/>
      <c r="C179" s="118"/>
      <c r="D179" s="118"/>
      <c r="E179" s="118"/>
      <c r="F179" s="118"/>
      <c r="G179" s="118"/>
      <c r="H179" s="118"/>
      <c r="I179" s="118"/>
    </row>
    <row r="180" spans="2:9">
      <c r="B180" s="47"/>
      <c r="C180" s="118"/>
      <c r="D180" s="118"/>
      <c r="E180" s="118"/>
      <c r="F180" s="118"/>
      <c r="G180" s="118"/>
      <c r="H180" s="118"/>
      <c r="I180" s="118"/>
    </row>
    <row r="181" spans="2:9">
      <c r="B181" s="47"/>
      <c r="C181" s="118"/>
      <c r="D181" s="118"/>
      <c r="E181" s="118"/>
      <c r="F181" s="118"/>
      <c r="G181" s="118"/>
      <c r="H181" s="118"/>
      <c r="I181" s="118"/>
    </row>
    <row r="182" spans="2:9">
      <c r="B182" s="47"/>
      <c r="C182" s="118"/>
      <c r="D182" s="118"/>
      <c r="E182" s="118"/>
      <c r="F182" s="118"/>
      <c r="G182" s="118"/>
      <c r="H182" s="118"/>
      <c r="I182" s="118"/>
    </row>
    <row r="183" spans="2:9">
      <c r="B183" s="47"/>
      <c r="C183" s="118"/>
      <c r="D183" s="118"/>
      <c r="E183" s="118"/>
      <c r="F183" s="118"/>
      <c r="G183" s="118"/>
      <c r="H183" s="118"/>
      <c r="I183" s="118"/>
    </row>
    <row r="184" spans="2:9">
      <c r="B184" s="47"/>
      <c r="C184" s="118"/>
      <c r="D184" s="118"/>
      <c r="E184" s="118"/>
      <c r="F184" s="118"/>
      <c r="G184" s="118"/>
      <c r="H184" s="118"/>
      <c r="I184" s="118"/>
    </row>
    <row r="185" spans="2:9">
      <c r="B185" s="47"/>
      <c r="C185" s="118"/>
      <c r="D185" s="118"/>
      <c r="E185" s="118"/>
      <c r="F185" s="118"/>
      <c r="G185" s="118"/>
      <c r="H185" s="118"/>
      <c r="I185" s="118"/>
    </row>
    <row r="186" spans="2:9">
      <c r="B186" s="47"/>
      <c r="C186" s="118"/>
      <c r="D186" s="118"/>
      <c r="E186" s="118"/>
      <c r="F186" s="118"/>
      <c r="G186" s="118"/>
      <c r="H186" s="118"/>
      <c r="I186" s="118"/>
    </row>
    <row r="187" spans="2:9">
      <c r="B187" s="47"/>
      <c r="C187" s="118"/>
      <c r="D187" s="118"/>
      <c r="E187" s="118"/>
      <c r="F187" s="118"/>
      <c r="G187" s="118"/>
      <c r="H187" s="118"/>
      <c r="I187" s="118"/>
    </row>
    <row r="188" spans="2:9">
      <c r="B188" s="47"/>
      <c r="C188" s="118"/>
      <c r="D188" s="118"/>
      <c r="E188" s="118"/>
      <c r="F188" s="118"/>
      <c r="G188" s="118"/>
      <c r="H188" s="118"/>
      <c r="I188" s="118"/>
    </row>
    <row r="189" spans="2:9">
      <c r="B189" s="47"/>
      <c r="C189" s="118"/>
      <c r="D189" s="118"/>
      <c r="E189" s="118"/>
      <c r="F189" s="118"/>
      <c r="G189" s="118"/>
      <c r="H189" s="118"/>
      <c r="I189" s="118"/>
    </row>
    <row r="190" spans="2:9">
      <c r="B190" s="47"/>
      <c r="C190" s="118"/>
      <c r="D190" s="118"/>
      <c r="E190" s="118"/>
      <c r="F190" s="118"/>
      <c r="G190" s="118"/>
      <c r="H190" s="118"/>
      <c r="I190" s="118"/>
    </row>
    <row r="191" spans="2:9">
      <c r="B191" s="47"/>
      <c r="C191" s="118"/>
      <c r="D191" s="118"/>
      <c r="E191" s="118"/>
      <c r="F191" s="118"/>
      <c r="G191" s="118"/>
      <c r="H191" s="118"/>
      <c r="I191" s="118"/>
    </row>
    <row r="192" spans="2:9">
      <c r="B192" s="47"/>
      <c r="C192" s="118"/>
      <c r="D192" s="118"/>
      <c r="E192" s="118"/>
      <c r="F192" s="118"/>
      <c r="G192" s="118"/>
      <c r="H192" s="118"/>
      <c r="I192" s="118"/>
    </row>
    <row r="193" spans="2:9">
      <c r="B193" s="47"/>
      <c r="C193" s="118"/>
      <c r="D193" s="118"/>
      <c r="E193" s="118"/>
      <c r="F193" s="118"/>
      <c r="G193" s="118"/>
      <c r="H193" s="118"/>
      <c r="I193" s="118"/>
    </row>
    <row r="194" spans="2:9">
      <c r="B194" s="47"/>
      <c r="C194" s="118"/>
      <c r="D194" s="118"/>
      <c r="E194" s="118"/>
      <c r="F194" s="118"/>
      <c r="G194" s="118"/>
      <c r="H194" s="118"/>
      <c r="I194" s="118"/>
    </row>
    <row r="195" spans="2:9">
      <c r="B195" s="47"/>
      <c r="C195" s="118"/>
      <c r="D195" s="118"/>
      <c r="E195" s="118"/>
      <c r="F195" s="118"/>
      <c r="G195" s="118"/>
      <c r="H195" s="118"/>
      <c r="I195" s="118"/>
    </row>
    <row r="196" spans="2:9">
      <c r="B196" s="47"/>
      <c r="C196" s="118"/>
      <c r="D196" s="118"/>
      <c r="E196" s="118"/>
      <c r="F196" s="118"/>
      <c r="G196" s="118"/>
      <c r="H196" s="118"/>
      <c r="I196" s="118"/>
    </row>
    <row r="197" spans="2:9">
      <c r="B197" s="47"/>
      <c r="C197" s="118"/>
      <c r="D197" s="118"/>
      <c r="E197" s="118"/>
      <c r="F197" s="118"/>
      <c r="G197" s="118"/>
      <c r="H197" s="118"/>
      <c r="I197" s="118"/>
    </row>
    <row r="198" spans="2:9">
      <c r="B198" s="47"/>
      <c r="C198" s="118"/>
      <c r="D198" s="118"/>
      <c r="E198" s="118"/>
      <c r="F198" s="118"/>
      <c r="G198" s="118"/>
      <c r="H198" s="118"/>
      <c r="I198" s="118"/>
    </row>
    <row r="199" spans="2:9">
      <c r="B199" s="47"/>
      <c r="C199" s="118"/>
      <c r="D199" s="118"/>
      <c r="E199" s="118"/>
      <c r="F199" s="118"/>
      <c r="G199" s="118"/>
      <c r="H199" s="118"/>
      <c r="I199" s="118"/>
    </row>
    <row r="200" spans="2:9">
      <c r="B200" s="47"/>
      <c r="C200" s="118"/>
      <c r="D200" s="118"/>
      <c r="E200" s="118"/>
      <c r="F200" s="118"/>
      <c r="G200" s="118"/>
      <c r="H200" s="118"/>
      <c r="I200" s="118"/>
    </row>
    <row r="201" spans="2:9">
      <c r="B201" s="47"/>
      <c r="C201" s="118"/>
      <c r="D201" s="118"/>
      <c r="E201" s="118"/>
      <c r="F201" s="118"/>
      <c r="G201" s="118"/>
      <c r="H201" s="118"/>
      <c r="I201" s="118"/>
    </row>
    <row r="202" spans="2:9">
      <c r="B202" s="47"/>
      <c r="C202" s="118"/>
      <c r="D202" s="118"/>
      <c r="E202" s="118"/>
      <c r="F202" s="118"/>
      <c r="G202" s="118"/>
      <c r="H202" s="118"/>
      <c r="I202" s="118"/>
    </row>
    <row r="203" spans="2:9">
      <c r="B203" s="47"/>
      <c r="C203" s="118"/>
      <c r="D203" s="118"/>
      <c r="E203" s="118"/>
      <c r="F203" s="118"/>
      <c r="G203" s="118"/>
      <c r="H203" s="118"/>
      <c r="I203" s="118"/>
    </row>
    <row r="204" spans="2:9">
      <c r="B204" s="47"/>
      <c r="C204" s="118"/>
      <c r="D204" s="118"/>
      <c r="E204" s="118"/>
      <c r="F204" s="118"/>
      <c r="G204" s="118"/>
      <c r="H204" s="118"/>
      <c r="I204" s="118"/>
    </row>
    <row r="205" spans="2:9">
      <c r="B205" s="47"/>
      <c r="C205" s="118"/>
      <c r="D205" s="118"/>
      <c r="E205" s="118"/>
      <c r="F205" s="118"/>
      <c r="G205" s="118"/>
      <c r="H205" s="118"/>
      <c r="I205" s="118"/>
    </row>
    <row r="206" spans="2:9">
      <c r="B206" s="47"/>
      <c r="C206" s="118"/>
      <c r="D206" s="118"/>
      <c r="E206" s="118"/>
      <c r="F206" s="118"/>
      <c r="G206" s="118"/>
      <c r="H206" s="118"/>
      <c r="I206" s="118"/>
    </row>
    <row r="207" spans="2:9">
      <c r="B207" s="47"/>
      <c r="C207" s="118"/>
      <c r="D207" s="118"/>
      <c r="E207" s="118"/>
      <c r="F207" s="118"/>
      <c r="G207" s="118"/>
      <c r="H207" s="118"/>
      <c r="I207" s="118"/>
    </row>
    <row r="208" spans="2:9">
      <c r="B208" s="47"/>
      <c r="C208" s="118"/>
      <c r="D208" s="118"/>
      <c r="E208" s="118"/>
      <c r="F208" s="118"/>
      <c r="G208" s="118"/>
      <c r="H208" s="118"/>
      <c r="I208" s="118"/>
    </row>
    <row r="209" spans="2:9">
      <c r="B209" s="47"/>
      <c r="C209" s="118"/>
      <c r="D209" s="118"/>
      <c r="E209" s="118"/>
      <c r="F209" s="118"/>
      <c r="G209" s="118"/>
      <c r="H209" s="118"/>
      <c r="I209" s="118"/>
    </row>
    <row r="210" spans="2:9">
      <c r="B210" s="47"/>
      <c r="C210" s="118"/>
      <c r="D210" s="118"/>
      <c r="E210" s="118"/>
      <c r="F210" s="118"/>
      <c r="G210" s="118"/>
      <c r="H210" s="118"/>
      <c r="I210" s="118"/>
    </row>
    <row r="211" spans="2:9">
      <c r="B211" s="47"/>
      <c r="C211" s="118"/>
      <c r="D211" s="118"/>
      <c r="E211" s="118"/>
      <c r="F211" s="118"/>
      <c r="G211" s="118"/>
      <c r="H211" s="118"/>
      <c r="I211" s="118"/>
    </row>
    <row r="212" spans="2:9">
      <c r="B212" s="47"/>
      <c r="C212" s="118"/>
      <c r="D212" s="118"/>
      <c r="E212" s="118"/>
      <c r="F212" s="118"/>
      <c r="G212" s="118"/>
      <c r="H212" s="118"/>
      <c r="I212" s="118"/>
    </row>
    <row r="213" spans="2:9">
      <c r="B213" s="47"/>
      <c r="C213" s="118"/>
      <c r="D213" s="118"/>
      <c r="E213" s="118"/>
      <c r="F213" s="118"/>
      <c r="G213" s="118"/>
      <c r="H213" s="118"/>
      <c r="I213" s="118"/>
    </row>
    <row r="214" spans="2:9">
      <c r="B214" s="47"/>
      <c r="C214" s="118"/>
      <c r="D214" s="118"/>
      <c r="E214" s="118"/>
      <c r="F214" s="118"/>
      <c r="G214" s="118"/>
      <c r="H214" s="118"/>
      <c r="I214" s="118"/>
    </row>
    <row r="215" spans="2:9">
      <c r="B215" s="47"/>
      <c r="C215" s="118"/>
      <c r="D215" s="118"/>
      <c r="E215" s="118"/>
      <c r="F215" s="118"/>
      <c r="G215" s="118"/>
      <c r="H215" s="118"/>
      <c r="I215" s="118"/>
    </row>
    <row r="216" spans="2:9">
      <c r="B216" s="47"/>
      <c r="C216" s="118"/>
      <c r="D216" s="118"/>
      <c r="E216" s="118"/>
      <c r="F216" s="118"/>
      <c r="G216" s="118"/>
      <c r="H216" s="118"/>
      <c r="I216" s="118"/>
    </row>
    <row r="217" spans="2:9">
      <c r="B217" s="47"/>
      <c r="C217" s="118"/>
      <c r="D217" s="118"/>
      <c r="E217" s="118"/>
      <c r="F217" s="118"/>
      <c r="G217" s="118"/>
      <c r="H217" s="118"/>
      <c r="I217" s="118"/>
    </row>
    <row r="218" spans="2:9">
      <c r="B218" s="47"/>
      <c r="C218" s="118"/>
      <c r="D218" s="118"/>
      <c r="E218" s="118"/>
      <c r="F218" s="118"/>
      <c r="G218" s="118"/>
      <c r="H218" s="118"/>
      <c r="I218" s="118"/>
    </row>
    <row r="219" spans="2:9">
      <c r="B219" s="47"/>
      <c r="C219" s="118"/>
      <c r="D219" s="118"/>
      <c r="E219" s="118"/>
      <c r="F219" s="118"/>
      <c r="G219" s="118"/>
      <c r="H219" s="118"/>
      <c r="I219" s="118"/>
    </row>
    <row r="220" spans="2:9">
      <c r="B220" s="47"/>
      <c r="C220" s="118"/>
      <c r="D220" s="118"/>
      <c r="E220" s="118"/>
      <c r="F220" s="118"/>
      <c r="G220" s="118"/>
      <c r="H220" s="118"/>
      <c r="I220" s="118"/>
    </row>
    <row r="221" spans="2:9">
      <c r="B221" s="47"/>
      <c r="C221" s="118"/>
      <c r="D221" s="118"/>
      <c r="E221" s="118"/>
      <c r="F221" s="118"/>
      <c r="G221" s="118"/>
      <c r="H221" s="118"/>
      <c r="I221" s="118"/>
    </row>
    <row r="222" spans="2:9">
      <c r="B222" s="47"/>
      <c r="C222" s="118"/>
      <c r="D222" s="118"/>
      <c r="E222" s="118"/>
      <c r="F222" s="118"/>
      <c r="G222" s="118"/>
      <c r="H222" s="118"/>
      <c r="I222" s="118"/>
    </row>
    <row r="223" spans="2:9">
      <c r="B223" s="47"/>
      <c r="C223" s="118"/>
      <c r="D223" s="118"/>
      <c r="E223" s="118"/>
      <c r="F223" s="118"/>
      <c r="G223" s="118"/>
      <c r="H223" s="118"/>
      <c r="I223" s="118"/>
    </row>
    <row r="224" spans="2:9">
      <c r="B224" s="47"/>
      <c r="C224" s="118"/>
      <c r="D224" s="118"/>
      <c r="E224" s="118"/>
      <c r="F224" s="118"/>
      <c r="G224" s="118"/>
      <c r="H224" s="118"/>
      <c r="I224" s="118"/>
    </row>
    <row r="225" spans="2:9">
      <c r="B225" s="47"/>
      <c r="C225" s="118"/>
      <c r="D225" s="118"/>
      <c r="E225" s="118"/>
      <c r="F225" s="118"/>
      <c r="G225" s="118"/>
      <c r="H225" s="118"/>
      <c r="I225" s="118"/>
    </row>
    <row r="226" spans="2:9">
      <c r="B226" s="47"/>
      <c r="C226" s="118"/>
      <c r="D226" s="118"/>
      <c r="E226" s="118"/>
      <c r="F226" s="118"/>
      <c r="G226" s="118"/>
      <c r="H226" s="118"/>
      <c r="I226" s="118"/>
    </row>
    <row r="227" spans="2:9">
      <c r="B227" s="47"/>
      <c r="C227" s="118"/>
      <c r="D227" s="118"/>
      <c r="E227" s="118"/>
      <c r="F227" s="118"/>
      <c r="G227" s="118"/>
      <c r="H227" s="118"/>
      <c r="I227" s="118"/>
    </row>
    <row r="228" spans="2:9">
      <c r="B228" s="47"/>
      <c r="C228" s="118"/>
      <c r="D228" s="118"/>
      <c r="E228" s="118"/>
      <c r="F228" s="118"/>
      <c r="G228" s="118"/>
      <c r="H228" s="118"/>
      <c r="I228" s="118"/>
    </row>
    <row r="229" spans="2:9">
      <c r="B229" s="47"/>
      <c r="C229" s="118"/>
      <c r="D229" s="118"/>
      <c r="E229" s="118"/>
      <c r="F229" s="118"/>
      <c r="G229" s="118"/>
      <c r="H229" s="118"/>
      <c r="I229" s="118"/>
    </row>
    <row r="230" spans="2:9">
      <c r="B230" s="47"/>
      <c r="C230" s="118"/>
      <c r="D230" s="118"/>
      <c r="E230" s="118"/>
      <c r="F230" s="118"/>
      <c r="G230" s="118"/>
      <c r="H230" s="118"/>
      <c r="I230" s="118"/>
    </row>
    <row r="231" spans="2:9">
      <c r="B231" s="47"/>
      <c r="C231" s="118"/>
      <c r="D231" s="118"/>
      <c r="E231" s="118"/>
      <c r="F231" s="118"/>
      <c r="G231" s="118"/>
      <c r="H231" s="118"/>
      <c r="I231" s="118"/>
    </row>
    <row r="232" spans="2:9">
      <c r="B232" s="47"/>
      <c r="C232" s="118"/>
      <c r="D232" s="118"/>
      <c r="E232" s="118"/>
      <c r="F232" s="118"/>
      <c r="G232" s="118"/>
      <c r="H232" s="118"/>
      <c r="I232" s="118"/>
    </row>
    <row r="233" spans="2:9">
      <c r="B233" s="47"/>
      <c r="C233" s="118"/>
      <c r="D233" s="118"/>
      <c r="E233" s="118"/>
      <c r="F233" s="118"/>
      <c r="G233" s="118"/>
      <c r="H233" s="118"/>
      <c r="I233" s="118"/>
    </row>
    <row r="234" spans="2:9">
      <c r="B234" s="47"/>
      <c r="C234" s="118"/>
      <c r="D234" s="118"/>
      <c r="E234" s="118"/>
      <c r="F234" s="118"/>
      <c r="G234" s="118"/>
      <c r="H234" s="118"/>
      <c r="I234" s="118"/>
    </row>
    <row r="235" spans="2:9">
      <c r="B235" s="47"/>
      <c r="C235" s="118"/>
      <c r="D235" s="118"/>
      <c r="E235" s="118"/>
      <c r="F235" s="118"/>
      <c r="G235" s="118"/>
      <c r="H235" s="118"/>
      <c r="I235" s="118"/>
    </row>
    <row r="236" spans="2:9">
      <c r="B236" s="47"/>
      <c r="C236" s="118"/>
      <c r="D236" s="118"/>
      <c r="E236" s="118"/>
      <c r="F236" s="118"/>
      <c r="G236" s="118"/>
      <c r="H236" s="118"/>
      <c r="I236" s="118"/>
    </row>
    <row r="237" spans="2:9">
      <c r="B237" s="47"/>
      <c r="C237" s="118"/>
      <c r="D237" s="118"/>
      <c r="E237" s="118"/>
      <c r="F237" s="118"/>
      <c r="G237" s="118"/>
      <c r="H237" s="118"/>
      <c r="I237" s="118"/>
    </row>
    <row r="238" spans="2:9">
      <c r="B238" s="47"/>
      <c r="C238" s="118"/>
      <c r="D238" s="118"/>
      <c r="E238" s="118"/>
      <c r="F238" s="118"/>
      <c r="G238" s="118"/>
      <c r="H238" s="118"/>
      <c r="I238" s="118"/>
    </row>
    <row r="239" spans="2:9">
      <c r="B239" s="47"/>
      <c r="C239" s="118"/>
      <c r="D239" s="118"/>
      <c r="E239" s="118"/>
      <c r="F239" s="118"/>
      <c r="G239" s="118"/>
      <c r="H239" s="118"/>
      <c r="I239" s="118"/>
    </row>
    <row r="240" spans="2:9">
      <c r="B240" s="47"/>
      <c r="C240" s="118"/>
      <c r="D240" s="118"/>
      <c r="E240" s="118"/>
      <c r="F240" s="118"/>
      <c r="G240" s="118"/>
      <c r="H240" s="118"/>
      <c r="I240" s="118"/>
    </row>
    <row r="241" spans="2:9">
      <c r="B241" s="47"/>
      <c r="C241" s="118"/>
      <c r="D241" s="118"/>
      <c r="E241" s="118"/>
      <c r="F241" s="118"/>
      <c r="G241" s="118"/>
      <c r="H241" s="118"/>
      <c r="I241" s="118"/>
    </row>
    <row r="242" spans="2:9">
      <c r="B242" s="47"/>
      <c r="C242" s="118"/>
      <c r="D242" s="118"/>
      <c r="E242" s="118"/>
      <c r="F242" s="118"/>
      <c r="G242" s="118"/>
      <c r="H242" s="118"/>
      <c r="I242" s="118"/>
    </row>
    <row r="243" spans="2:9">
      <c r="B243" s="47"/>
      <c r="C243" s="118"/>
      <c r="D243" s="118"/>
      <c r="E243" s="118"/>
      <c r="F243" s="118"/>
      <c r="G243" s="118"/>
      <c r="H243" s="118"/>
      <c r="I243" s="118"/>
    </row>
    <row r="244" spans="2:9">
      <c r="B244" s="47"/>
      <c r="C244" s="118"/>
      <c r="D244" s="118"/>
      <c r="E244" s="118"/>
      <c r="F244" s="118"/>
      <c r="G244" s="118"/>
      <c r="H244" s="118"/>
      <c r="I244" s="118"/>
    </row>
    <row r="245" spans="2:9">
      <c r="B245" s="47"/>
      <c r="C245" s="118"/>
      <c r="D245" s="118"/>
      <c r="E245" s="118"/>
      <c r="F245" s="118"/>
      <c r="G245" s="118"/>
      <c r="H245" s="118"/>
      <c r="I245" s="118"/>
    </row>
    <row r="246" spans="2:9">
      <c r="B246" s="47"/>
      <c r="C246" s="118"/>
      <c r="D246" s="118"/>
      <c r="E246" s="118"/>
      <c r="F246" s="118"/>
      <c r="G246" s="118"/>
      <c r="H246" s="118"/>
      <c r="I246" s="118"/>
    </row>
    <row r="247" spans="2:9">
      <c r="B247" s="47"/>
      <c r="C247" s="118"/>
      <c r="D247" s="118"/>
      <c r="E247" s="118"/>
      <c r="F247" s="118"/>
      <c r="G247" s="118"/>
      <c r="H247" s="118"/>
      <c r="I247" s="118"/>
    </row>
    <row r="248" spans="2:9">
      <c r="B248" s="47"/>
      <c r="C248" s="118"/>
      <c r="D248" s="118"/>
      <c r="E248" s="118"/>
      <c r="F248" s="118"/>
      <c r="G248" s="118"/>
      <c r="H248" s="118"/>
      <c r="I248" s="118"/>
    </row>
    <row r="249" spans="2:9">
      <c r="B249" s="47"/>
      <c r="C249" s="118"/>
      <c r="D249" s="118"/>
      <c r="E249" s="118"/>
      <c r="F249" s="118"/>
      <c r="G249" s="118"/>
      <c r="H249" s="118"/>
      <c r="I249" s="118"/>
    </row>
    <row r="250" spans="2:9">
      <c r="B250" s="47"/>
      <c r="C250" s="118"/>
      <c r="D250" s="118"/>
      <c r="E250" s="118"/>
      <c r="F250" s="118"/>
      <c r="G250" s="118"/>
      <c r="H250" s="118"/>
      <c r="I250" s="118"/>
    </row>
    <row r="251" spans="2:9">
      <c r="B251" s="47"/>
      <c r="C251" s="118"/>
      <c r="D251" s="118"/>
      <c r="E251" s="118"/>
      <c r="F251" s="118"/>
      <c r="G251" s="118"/>
      <c r="H251" s="118"/>
      <c r="I251" s="118"/>
    </row>
    <row r="252" spans="2:9">
      <c r="B252" s="47"/>
      <c r="C252" s="118"/>
      <c r="D252" s="118"/>
      <c r="E252" s="118"/>
      <c r="F252" s="118"/>
      <c r="G252" s="118"/>
      <c r="H252" s="118"/>
      <c r="I252" s="118"/>
    </row>
    <row r="253" spans="2:9">
      <c r="B253" s="47"/>
      <c r="C253" s="118"/>
      <c r="D253" s="118"/>
      <c r="E253" s="118"/>
      <c r="F253" s="118"/>
      <c r="G253" s="118"/>
      <c r="H253" s="118"/>
      <c r="I253" s="118"/>
    </row>
    <row r="254" spans="2:9">
      <c r="B254" s="47"/>
      <c r="C254" s="118"/>
      <c r="D254" s="118"/>
      <c r="E254" s="118"/>
      <c r="F254" s="118"/>
      <c r="G254" s="118"/>
      <c r="H254" s="118"/>
      <c r="I254" s="118"/>
    </row>
    <row r="255" spans="2:9">
      <c r="B255" s="47"/>
      <c r="C255" s="118"/>
      <c r="D255" s="118"/>
      <c r="E255" s="118"/>
      <c r="F255" s="118"/>
      <c r="G255" s="118"/>
      <c r="H255" s="118"/>
      <c r="I255" s="118"/>
    </row>
    <row r="256" spans="2:9">
      <c r="B256" s="47"/>
      <c r="C256" s="118"/>
      <c r="D256" s="118"/>
      <c r="E256" s="118"/>
      <c r="F256" s="118"/>
      <c r="G256" s="118"/>
      <c r="H256" s="118"/>
      <c r="I256" s="118"/>
    </row>
    <row r="257" spans="2:9">
      <c r="B257" s="47"/>
      <c r="C257" s="118"/>
      <c r="D257" s="118"/>
      <c r="E257" s="118"/>
      <c r="F257" s="118"/>
      <c r="G257" s="118"/>
      <c r="H257" s="118"/>
      <c r="I257" s="118"/>
    </row>
    <row r="258" spans="2:9">
      <c r="B258" s="47"/>
      <c r="C258" s="118"/>
      <c r="D258" s="118"/>
      <c r="E258" s="118"/>
      <c r="F258" s="118"/>
      <c r="G258" s="118"/>
      <c r="H258" s="118"/>
      <c r="I258" s="118"/>
    </row>
    <row r="259" spans="2:9">
      <c r="B259" s="47"/>
      <c r="C259" s="118"/>
      <c r="D259" s="118"/>
      <c r="E259" s="118"/>
      <c r="F259" s="118"/>
      <c r="G259" s="118"/>
      <c r="H259" s="118"/>
      <c r="I259" s="118"/>
    </row>
    <row r="260" spans="2:9">
      <c r="B260" s="47"/>
      <c r="C260" s="118"/>
      <c r="D260" s="118"/>
      <c r="E260" s="118"/>
      <c r="F260" s="118"/>
      <c r="G260" s="118"/>
      <c r="H260" s="118"/>
      <c r="I260" s="118"/>
    </row>
    <row r="261" spans="2:9">
      <c r="B261" s="47"/>
      <c r="C261" s="118"/>
      <c r="D261" s="118"/>
      <c r="E261" s="118"/>
      <c r="F261" s="118"/>
      <c r="G261" s="118"/>
      <c r="H261" s="118"/>
      <c r="I261" s="118"/>
    </row>
    <row r="262" spans="2:9">
      <c r="B262" s="47"/>
      <c r="C262" s="118"/>
      <c r="D262" s="118"/>
      <c r="E262" s="118"/>
      <c r="F262" s="118"/>
      <c r="G262" s="118"/>
      <c r="H262" s="118"/>
      <c r="I262" s="118"/>
    </row>
    <row r="263" spans="2:9">
      <c r="B263" s="47"/>
      <c r="C263" s="118"/>
      <c r="D263" s="118"/>
      <c r="E263" s="118"/>
      <c r="F263" s="118"/>
      <c r="G263" s="118"/>
      <c r="H263" s="118"/>
      <c r="I263" s="118"/>
    </row>
    <row r="264" spans="2:9">
      <c r="B264" s="47"/>
      <c r="C264" s="118"/>
      <c r="D264" s="118"/>
      <c r="E264" s="118"/>
      <c r="F264" s="118"/>
      <c r="G264" s="118"/>
      <c r="H264" s="118"/>
      <c r="I264" s="118"/>
    </row>
    <row r="265" spans="2:9">
      <c r="B265" s="47"/>
      <c r="C265" s="118"/>
      <c r="D265" s="118"/>
      <c r="E265" s="118"/>
      <c r="F265" s="118"/>
      <c r="G265" s="118"/>
      <c r="H265" s="118"/>
      <c r="I265" s="118"/>
    </row>
    <row r="266" spans="2:9">
      <c r="B266" s="47"/>
      <c r="C266" s="118"/>
      <c r="D266" s="118"/>
      <c r="E266" s="118"/>
      <c r="F266" s="118"/>
      <c r="G266" s="118"/>
      <c r="H266" s="118"/>
      <c r="I266" s="118"/>
    </row>
    <row r="267" spans="2:9">
      <c r="B267" s="47"/>
      <c r="C267" s="118"/>
      <c r="D267" s="118"/>
      <c r="E267" s="118"/>
      <c r="F267" s="118"/>
      <c r="G267" s="118"/>
      <c r="H267" s="118"/>
      <c r="I267" s="118"/>
    </row>
    <row r="268" spans="2:9">
      <c r="B268" s="47"/>
      <c r="C268" s="118"/>
      <c r="D268" s="118"/>
      <c r="E268" s="118"/>
      <c r="F268" s="118"/>
      <c r="G268" s="118"/>
      <c r="H268" s="118"/>
      <c r="I268" s="118"/>
    </row>
    <row r="269" spans="2:9">
      <c r="B269" s="47"/>
      <c r="C269" s="118"/>
      <c r="D269" s="118"/>
      <c r="E269" s="118"/>
      <c r="F269" s="118"/>
      <c r="G269" s="118"/>
      <c r="H269" s="118"/>
      <c r="I269" s="118"/>
    </row>
    <row r="270" spans="2:9">
      <c r="B270" s="47"/>
      <c r="C270" s="118"/>
      <c r="D270" s="118"/>
      <c r="E270" s="118"/>
      <c r="F270" s="118"/>
      <c r="G270" s="118"/>
      <c r="H270" s="118"/>
      <c r="I270" s="118"/>
    </row>
    <row r="271" spans="2:9">
      <c r="B271" s="47"/>
      <c r="C271" s="118"/>
      <c r="D271" s="118"/>
      <c r="E271" s="118"/>
      <c r="F271" s="118"/>
      <c r="G271" s="118"/>
      <c r="H271" s="118"/>
      <c r="I271" s="118"/>
    </row>
    <row r="272" spans="2:9">
      <c r="B272" s="47"/>
      <c r="C272" s="118"/>
      <c r="D272" s="118"/>
      <c r="E272" s="118"/>
      <c r="F272" s="118"/>
      <c r="G272" s="118"/>
      <c r="H272" s="118"/>
      <c r="I272" s="118"/>
    </row>
    <row r="273" spans="2:9">
      <c r="B273" s="47"/>
      <c r="C273" s="118"/>
      <c r="D273" s="118"/>
      <c r="E273" s="118"/>
      <c r="F273" s="118"/>
      <c r="G273" s="118"/>
      <c r="H273" s="118"/>
      <c r="I273" s="118"/>
    </row>
    <row r="274" spans="2:9">
      <c r="B274" s="47"/>
      <c r="C274" s="118"/>
      <c r="D274" s="118"/>
      <c r="E274" s="118"/>
      <c r="F274" s="118"/>
      <c r="G274" s="118"/>
      <c r="H274" s="118"/>
      <c r="I274" s="118"/>
    </row>
    <row r="275" spans="2:9">
      <c r="B275" s="47"/>
      <c r="C275" s="118"/>
      <c r="D275" s="118"/>
      <c r="E275" s="118"/>
      <c r="F275" s="118"/>
      <c r="G275" s="118"/>
      <c r="H275" s="118"/>
      <c r="I275" s="118"/>
    </row>
    <row r="276" spans="2:9">
      <c r="B276" s="47"/>
      <c r="C276" s="118"/>
      <c r="D276" s="118"/>
      <c r="E276" s="118"/>
      <c r="F276" s="118"/>
      <c r="G276" s="118"/>
      <c r="H276" s="118"/>
      <c r="I276" s="118"/>
    </row>
    <row r="277" spans="2:9">
      <c r="B277" s="47"/>
      <c r="C277" s="118"/>
      <c r="D277" s="118"/>
      <c r="E277" s="118"/>
      <c r="F277" s="118"/>
      <c r="G277" s="118"/>
      <c r="H277" s="118"/>
      <c r="I277" s="118"/>
    </row>
    <row r="278" spans="2:9">
      <c r="B278" s="47"/>
      <c r="C278" s="118"/>
      <c r="D278" s="118"/>
      <c r="E278" s="118"/>
      <c r="F278" s="118"/>
      <c r="G278" s="118"/>
      <c r="H278" s="118"/>
      <c r="I278" s="118"/>
    </row>
    <row r="279" spans="2:9">
      <c r="B279" s="47"/>
      <c r="C279" s="118"/>
      <c r="D279" s="118"/>
      <c r="E279" s="118"/>
      <c r="F279" s="118"/>
      <c r="G279" s="118"/>
      <c r="H279" s="118"/>
      <c r="I279" s="118"/>
    </row>
    <row r="280" spans="2:9">
      <c r="B280" s="47"/>
      <c r="C280" s="118"/>
      <c r="D280" s="118"/>
      <c r="E280" s="118"/>
      <c r="F280" s="118"/>
      <c r="G280" s="118"/>
      <c r="H280" s="118"/>
      <c r="I280" s="118"/>
    </row>
    <row r="281" spans="2:9">
      <c r="B281" s="47"/>
      <c r="C281" s="118"/>
      <c r="D281" s="118"/>
      <c r="E281" s="118"/>
      <c r="F281" s="118"/>
      <c r="G281" s="118"/>
      <c r="H281" s="118"/>
      <c r="I281" s="118"/>
    </row>
    <row r="282" spans="2:9">
      <c r="B282" s="47"/>
      <c r="C282" s="118"/>
      <c r="D282" s="118"/>
      <c r="E282" s="118"/>
      <c r="F282" s="118"/>
      <c r="G282" s="118"/>
      <c r="H282" s="118"/>
      <c r="I282" s="118"/>
    </row>
    <row r="283" spans="2:9">
      <c r="B283" s="47"/>
      <c r="C283" s="118"/>
      <c r="D283" s="118"/>
      <c r="E283" s="118"/>
      <c r="F283" s="118"/>
      <c r="G283" s="118"/>
      <c r="H283" s="118"/>
      <c r="I283" s="118"/>
    </row>
    <row r="284" spans="2:9">
      <c r="B284" s="47"/>
      <c r="C284" s="118"/>
      <c r="D284" s="118"/>
      <c r="E284" s="118"/>
      <c r="F284" s="118"/>
      <c r="G284" s="118"/>
      <c r="H284" s="118"/>
      <c r="I284" s="118"/>
    </row>
    <row r="285" spans="2:9">
      <c r="B285" s="47"/>
      <c r="C285" s="118"/>
      <c r="D285" s="118"/>
      <c r="E285" s="118"/>
      <c r="F285" s="118"/>
      <c r="G285" s="118"/>
      <c r="H285" s="118"/>
      <c r="I285" s="118"/>
    </row>
    <row r="286" spans="2:9">
      <c r="B286" s="47"/>
      <c r="C286" s="118"/>
      <c r="D286" s="118"/>
      <c r="E286" s="118"/>
      <c r="F286" s="118"/>
      <c r="G286" s="118"/>
      <c r="H286" s="118"/>
      <c r="I286" s="118"/>
    </row>
    <row r="287" spans="2:9">
      <c r="B287" s="47"/>
      <c r="C287" s="118"/>
      <c r="D287" s="118"/>
      <c r="E287" s="118"/>
      <c r="F287" s="118"/>
      <c r="G287" s="118"/>
      <c r="H287" s="118"/>
      <c r="I287" s="118"/>
    </row>
    <row r="288" spans="2:9">
      <c r="B288" s="47"/>
      <c r="C288" s="118"/>
      <c r="D288" s="118"/>
      <c r="E288" s="118"/>
      <c r="F288" s="118"/>
      <c r="G288" s="118"/>
      <c r="H288" s="118"/>
      <c r="I288" s="118"/>
    </row>
    <row r="289" spans="2:9">
      <c r="B289" s="47"/>
      <c r="C289" s="118"/>
      <c r="D289" s="118"/>
      <c r="E289" s="118"/>
      <c r="F289" s="118"/>
      <c r="G289" s="118"/>
      <c r="H289" s="118"/>
      <c r="I289" s="118"/>
    </row>
    <row r="290" spans="2:9">
      <c r="B290" s="47"/>
      <c r="C290" s="118"/>
      <c r="D290" s="118"/>
      <c r="E290" s="118"/>
      <c r="F290" s="118"/>
      <c r="G290" s="118"/>
      <c r="H290" s="118"/>
      <c r="I290" s="118"/>
    </row>
    <row r="291" spans="2:9">
      <c r="B291" s="47"/>
      <c r="C291" s="118"/>
      <c r="D291" s="118"/>
      <c r="E291" s="118"/>
      <c r="F291" s="118"/>
      <c r="G291" s="118"/>
      <c r="H291" s="118"/>
      <c r="I291" s="118"/>
    </row>
    <row r="292" spans="2:9">
      <c r="B292" s="47"/>
      <c r="C292" s="118"/>
      <c r="D292" s="118"/>
      <c r="E292" s="118"/>
      <c r="F292" s="118"/>
      <c r="G292" s="118"/>
      <c r="H292" s="118"/>
      <c r="I292" s="118"/>
    </row>
    <row r="293" spans="2:9">
      <c r="B293" s="47"/>
      <c r="C293" s="118"/>
      <c r="D293" s="118"/>
      <c r="E293" s="118"/>
      <c r="F293" s="118"/>
      <c r="G293" s="118"/>
      <c r="H293" s="118"/>
      <c r="I293" s="118"/>
    </row>
    <row r="294" spans="2:9">
      <c r="B294" s="47"/>
      <c r="C294" s="118"/>
      <c r="D294" s="118"/>
      <c r="E294" s="118"/>
      <c r="F294" s="118"/>
      <c r="G294" s="118"/>
      <c r="H294" s="118"/>
      <c r="I294" s="118"/>
    </row>
    <row r="295" spans="2:9">
      <c r="B295" s="47"/>
      <c r="C295" s="118"/>
      <c r="D295" s="118"/>
      <c r="E295" s="118"/>
      <c r="F295" s="118"/>
      <c r="G295" s="118"/>
      <c r="H295" s="118"/>
      <c r="I295" s="118"/>
    </row>
    <row r="296" spans="2:9">
      <c r="B296" s="47"/>
      <c r="C296" s="118"/>
      <c r="D296" s="118"/>
      <c r="E296" s="118"/>
      <c r="F296" s="118"/>
      <c r="G296" s="118"/>
      <c r="H296" s="118"/>
      <c r="I296" s="118"/>
    </row>
    <row r="297" spans="2:9">
      <c r="B297" s="47"/>
      <c r="C297" s="118"/>
      <c r="D297" s="118"/>
      <c r="E297" s="118"/>
      <c r="F297" s="118"/>
      <c r="G297" s="118"/>
      <c r="H297" s="118"/>
      <c r="I297" s="118"/>
    </row>
    <row r="298" spans="2:9">
      <c r="B298" s="47"/>
      <c r="C298" s="118"/>
      <c r="D298" s="118"/>
      <c r="E298" s="118"/>
      <c r="F298" s="118"/>
      <c r="G298" s="118"/>
      <c r="H298" s="118"/>
      <c r="I298" s="118"/>
    </row>
    <row r="299" spans="2:9">
      <c r="B299" s="47"/>
      <c r="C299" s="118"/>
      <c r="D299" s="118"/>
      <c r="E299" s="118"/>
      <c r="F299" s="118"/>
      <c r="G299" s="118"/>
      <c r="H299" s="118"/>
      <c r="I299" s="118"/>
    </row>
    <row r="300" spans="2:9">
      <c r="B300" s="47"/>
      <c r="C300" s="118"/>
      <c r="D300" s="118"/>
      <c r="E300" s="118"/>
      <c r="F300" s="118"/>
      <c r="G300" s="118"/>
      <c r="H300" s="118"/>
      <c r="I300" s="118"/>
    </row>
    <row r="301" spans="2:9">
      <c r="B301" s="47"/>
      <c r="C301" s="118"/>
      <c r="D301" s="118"/>
      <c r="E301" s="118"/>
      <c r="F301" s="118"/>
      <c r="G301" s="118"/>
      <c r="H301" s="118"/>
      <c r="I301" s="118"/>
    </row>
    <row r="302" spans="2:9">
      <c r="B302" s="47"/>
      <c r="C302" s="118"/>
      <c r="D302" s="118"/>
      <c r="E302" s="118"/>
      <c r="F302" s="118"/>
      <c r="G302" s="118"/>
      <c r="H302" s="118"/>
      <c r="I302" s="118"/>
    </row>
    <row r="303" spans="2:9">
      <c r="B303" s="47"/>
      <c r="C303" s="118"/>
      <c r="D303" s="118"/>
      <c r="E303" s="118"/>
      <c r="F303" s="118"/>
      <c r="G303" s="118"/>
      <c r="H303" s="118"/>
      <c r="I303" s="118"/>
    </row>
    <row r="304" spans="2:9">
      <c r="B304" s="47"/>
      <c r="C304" s="118"/>
      <c r="D304" s="118"/>
      <c r="E304" s="118"/>
      <c r="F304" s="118"/>
      <c r="G304" s="118"/>
      <c r="H304" s="118"/>
      <c r="I304" s="118"/>
    </row>
    <row r="305" spans="2:9">
      <c r="B305" s="47"/>
      <c r="C305" s="118"/>
      <c r="D305" s="118"/>
      <c r="E305" s="118"/>
      <c r="F305" s="118"/>
      <c r="G305" s="118"/>
      <c r="H305" s="118"/>
      <c r="I305" s="118"/>
    </row>
    <row r="306" spans="2:9">
      <c r="B306" s="47"/>
      <c r="C306" s="118"/>
      <c r="D306" s="118"/>
      <c r="E306" s="118"/>
      <c r="F306" s="118"/>
      <c r="G306" s="118"/>
      <c r="H306" s="118"/>
      <c r="I306" s="118"/>
    </row>
    <row r="307" spans="2:9">
      <c r="B307" s="47"/>
      <c r="C307" s="118"/>
      <c r="D307" s="118"/>
      <c r="E307" s="118"/>
      <c r="F307" s="118"/>
      <c r="G307" s="118"/>
      <c r="H307" s="118"/>
      <c r="I307" s="118"/>
    </row>
    <row r="308" spans="2:9">
      <c r="B308" s="47"/>
      <c r="C308" s="118"/>
      <c r="D308" s="118"/>
      <c r="E308" s="118"/>
      <c r="F308" s="118"/>
      <c r="G308" s="118"/>
      <c r="H308" s="118"/>
      <c r="I308" s="118"/>
    </row>
    <row r="309" spans="2:9">
      <c r="B309" s="47"/>
      <c r="C309" s="118"/>
      <c r="D309" s="118"/>
      <c r="E309" s="118"/>
      <c r="F309" s="118"/>
      <c r="G309" s="118"/>
      <c r="H309" s="118"/>
      <c r="I309" s="118"/>
    </row>
    <row r="310" spans="2:9">
      <c r="B310" s="47"/>
      <c r="C310" s="118"/>
      <c r="D310" s="118"/>
      <c r="E310" s="118"/>
      <c r="F310" s="118"/>
      <c r="G310" s="118"/>
      <c r="H310" s="118"/>
      <c r="I310" s="118"/>
    </row>
    <row r="311" spans="2:9">
      <c r="B311" s="47"/>
      <c r="C311" s="118"/>
      <c r="D311" s="118"/>
      <c r="E311" s="118"/>
      <c r="F311" s="118"/>
      <c r="G311" s="118"/>
      <c r="H311" s="118"/>
      <c r="I311" s="118"/>
    </row>
    <row r="312" spans="2:9">
      <c r="B312" s="47"/>
      <c r="C312" s="118"/>
      <c r="D312" s="118"/>
      <c r="E312" s="118"/>
      <c r="F312" s="118"/>
      <c r="G312" s="118"/>
      <c r="H312" s="118"/>
      <c r="I312" s="118"/>
    </row>
    <row r="313" spans="2:9">
      <c r="B313" s="47"/>
      <c r="C313" s="118"/>
      <c r="D313" s="118"/>
      <c r="E313" s="118"/>
      <c r="F313" s="118"/>
      <c r="G313" s="118"/>
      <c r="H313" s="118"/>
      <c r="I313" s="118"/>
    </row>
    <row r="314" spans="2:9">
      <c r="B314" s="47"/>
      <c r="C314" s="118"/>
      <c r="D314" s="118"/>
      <c r="E314" s="118"/>
      <c r="F314" s="118"/>
      <c r="G314" s="118"/>
      <c r="H314" s="118"/>
      <c r="I314" s="118"/>
    </row>
    <row r="315" spans="2:9">
      <c r="B315" s="47"/>
      <c r="C315" s="118"/>
      <c r="D315" s="118"/>
      <c r="E315" s="118"/>
      <c r="F315" s="118"/>
      <c r="G315" s="118"/>
      <c r="H315" s="118"/>
      <c r="I315" s="118"/>
    </row>
    <row r="316" spans="2:9">
      <c r="B316" s="47"/>
      <c r="C316" s="118"/>
      <c r="D316" s="118"/>
      <c r="E316" s="118"/>
      <c r="F316" s="118"/>
      <c r="G316" s="118"/>
      <c r="H316" s="118"/>
      <c r="I316" s="118"/>
    </row>
    <row r="317" spans="2:9">
      <c r="B317" s="47"/>
      <c r="C317" s="118"/>
      <c r="D317" s="118"/>
      <c r="E317" s="118"/>
      <c r="F317" s="118"/>
      <c r="G317" s="118"/>
      <c r="H317" s="118"/>
      <c r="I317" s="118"/>
    </row>
    <row r="318" spans="2:9">
      <c r="B318" s="47"/>
      <c r="C318" s="118"/>
      <c r="D318" s="118"/>
      <c r="E318" s="118"/>
      <c r="F318" s="118"/>
      <c r="G318" s="118"/>
      <c r="H318" s="118"/>
      <c r="I318" s="118"/>
    </row>
    <row r="319" spans="2:9">
      <c r="B319" s="47"/>
      <c r="C319" s="118"/>
      <c r="D319" s="118"/>
      <c r="E319" s="118"/>
      <c r="F319" s="118"/>
      <c r="G319" s="118"/>
      <c r="H319" s="118"/>
      <c r="I319" s="118"/>
    </row>
    <row r="320" spans="2:9">
      <c r="B320" s="47"/>
      <c r="C320" s="118"/>
      <c r="D320" s="118"/>
      <c r="E320" s="118"/>
      <c r="F320" s="118"/>
      <c r="G320" s="118"/>
      <c r="H320" s="118"/>
      <c r="I320" s="118"/>
    </row>
    <row r="321" spans="2:9">
      <c r="B321" s="47"/>
      <c r="C321" s="118"/>
      <c r="D321" s="118"/>
      <c r="E321" s="118"/>
      <c r="F321" s="118"/>
      <c r="G321" s="118"/>
      <c r="H321" s="118"/>
      <c r="I321" s="118"/>
    </row>
    <row r="322" spans="2:9">
      <c r="B322" s="47"/>
      <c r="C322" s="118"/>
      <c r="D322" s="118"/>
      <c r="E322" s="118"/>
      <c r="F322" s="118"/>
      <c r="G322" s="118"/>
      <c r="H322" s="118"/>
      <c r="I322" s="118"/>
    </row>
    <row r="323" spans="2:9">
      <c r="B323" s="47"/>
      <c r="C323" s="118"/>
      <c r="D323" s="118"/>
      <c r="E323" s="118"/>
      <c r="F323" s="118"/>
      <c r="G323" s="118"/>
      <c r="H323" s="118"/>
      <c r="I323" s="118"/>
    </row>
    <row r="324" spans="2:9">
      <c r="B324" s="47"/>
      <c r="C324" s="118"/>
      <c r="D324" s="118"/>
      <c r="E324" s="118"/>
      <c r="F324" s="118"/>
      <c r="G324" s="118"/>
      <c r="H324" s="118"/>
      <c r="I324" s="118"/>
    </row>
    <row r="325" spans="2:9">
      <c r="B325" s="47"/>
      <c r="C325" s="118"/>
      <c r="D325" s="118"/>
      <c r="E325" s="118"/>
      <c r="F325" s="118"/>
      <c r="G325" s="118"/>
      <c r="H325" s="118"/>
      <c r="I325" s="118"/>
    </row>
    <row r="326" spans="2:9">
      <c r="B326" s="47"/>
      <c r="C326" s="118"/>
      <c r="D326" s="118"/>
      <c r="E326" s="118"/>
      <c r="F326" s="118"/>
      <c r="G326" s="118"/>
      <c r="H326" s="118"/>
      <c r="I326" s="118"/>
    </row>
    <row r="327" spans="2:9">
      <c r="B327" s="47"/>
      <c r="C327" s="118"/>
      <c r="D327" s="118"/>
      <c r="E327" s="118"/>
      <c r="F327" s="118"/>
      <c r="G327" s="118"/>
      <c r="H327" s="118"/>
      <c r="I327" s="118"/>
    </row>
    <row r="328" spans="2:9">
      <c r="B328" s="47"/>
      <c r="C328" s="118"/>
      <c r="D328" s="118"/>
      <c r="E328" s="118"/>
      <c r="F328" s="118"/>
      <c r="G328" s="118"/>
      <c r="H328" s="118"/>
      <c r="I328" s="118"/>
    </row>
    <row r="329" spans="2:9">
      <c r="B329" s="47"/>
      <c r="C329" s="118"/>
      <c r="D329" s="118"/>
      <c r="E329" s="118"/>
      <c r="F329" s="118"/>
      <c r="G329" s="118"/>
      <c r="H329" s="118"/>
      <c r="I329" s="118"/>
    </row>
    <row r="330" spans="2:9">
      <c r="B330" s="47"/>
      <c r="C330" s="118"/>
      <c r="D330" s="118"/>
      <c r="E330" s="118"/>
      <c r="F330" s="118"/>
      <c r="G330" s="118"/>
      <c r="H330" s="118"/>
      <c r="I330" s="118"/>
    </row>
    <row r="331" spans="2:9">
      <c r="B331" s="47"/>
      <c r="C331" s="118"/>
      <c r="D331" s="118"/>
      <c r="E331" s="118"/>
      <c r="F331" s="118"/>
      <c r="G331" s="118"/>
      <c r="H331" s="118"/>
      <c r="I331" s="118"/>
    </row>
    <row r="332" spans="2:9">
      <c r="B332" s="47"/>
      <c r="C332" s="118"/>
      <c r="D332" s="118"/>
      <c r="E332" s="118"/>
      <c r="F332" s="118"/>
      <c r="G332" s="118"/>
      <c r="H332" s="118"/>
      <c r="I332" s="118"/>
    </row>
    <row r="333" spans="2:9">
      <c r="B333" s="47"/>
      <c r="C333" s="118"/>
      <c r="D333" s="118"/>
      <c r="E333" s="118"/>
      <c r="F333" s="118"/>
      <c r="G333" s="118"/>
      <c r="H333" s="118"/>
      <c r="I333" s="118"/>
    </row>
    <row r="334" spans="2:9">
      <c r="B334" s="47"/>
      <c r="C334" s="118"/>
      <c r="D334" s="118"/>
      <c r="E334" s="118"/>
      <c r="F334" s="118"/>
      <c r="G334" s="118"/>
      <c r="H334" s="118"/>
      <c r="I334" s="118"/>
    </row>
    <row r="335" spans="2:9">
      <c r="B335" s="47"/>
      <c r="C335" s="118"/>
      <c r="D335" s="118"/>
      <c r="E335" s="118"/>
      <c r="F335" s="118"/>
      <c r="G335" s="118"/>
      <c r="H335" s="118"/>
      <c r="I335" s="118"/>
    </row>
    <row r="336" spans="2:9">
      <c r="B336" s="47"/>
      <c r="C336" s="118"/>
      <c r="D336" s="118"/>
      <c r="E336" s="118"/>
      <c r="F336" s="118"/>
      <c r="G336" s="118"/>
      <c r="H336" s="118"/>
      <c r="I336" s="118"/>
    </row>
    <row r="337" spans="2:9">
      <c r="B337" s="47"/>
      <c r="C337" s="118"/>
      <c r="D337" s="118"/>
      <c r="E337" s="118"/>
      <c r="F337" s="118"/>
      <c r="G337" s="118"/>
      <c r="H337" s="118"/>
      <c r="I337" s="118"/>
    </row>
    <row r="338" spans="2:9">
      <c r="B338" s="47"/>
      <c r="C338" s="118"/>
      <c r="D338" s="118"/>
      <c r="E338" s="118"/>
      <c r="F338" s="118"/>
      <c r="G338" s="118"/>
      <c r="H338" s="118"/>
      <c r="I338" s="118"/>
    </row>
    <row r="339" spans="2:9">
      <c r="B339" s="47"/>
      <c r="C339" s="118"/>
      <c r="D339" s="118"/>
      <c r="E339" s="118"/>
      <c r="F339" s="118"/>
      <c r="G339" s="118"/>
      <c r="H339" s="118"/>
      <c r="I339" s="118"/>
    </row>
    <row r="340" spans="2:9">
      <c r="B340" s="47"/>
      <c r="C340" s="118"/>
      <c r="D340" s="118"/>
      <c r="E340" s="118"/>
      <c r="F340" s="118"/>
      <c r="G340" s="118"/>
      <c r="H340" s="118"/>
      <c r="I340" s="118"/>
    </row>
    <row r="341" spans="2:9">
      <c r="B341" s="47"/>
      <c r="C341" s="118"/>
      <c r="D341" s="118"/>
      <c r="E341" s="118"/>
      <c r="F341" s="118"/>
      <c r="G341" s="118"/>
      <c r="H341" s="118"/>
      <c r="I341" s="118"/>
    </row>
    <row r="342" spans="2:9">
      <c r="B342" s="47"/>
      <c r="C342" s="118"/>
      <c r="D342" s="118"/>
      <c r="E342" s="118"/>
      <c r="F342" s="118"/>
      <c r="G342" s="118"/>
      <c r="H342" s="118"/>
      <c r="I342" s="118"/>
    </row>
    <row r="343" spans="2:9">
      <c r="B343" s="47"/>
      <c r="C343" s="118"/>
      <c r="D343" s="118"/>
      <c r="E343" s="118"/>
      <c r="F343" s="118"/>
      <c r="G343" s="118"/>
      <c r="H343" s="118"/>
      <c r="I343" s="118"/>
    </row>
    <row r="344" spans="2:9">
      <c r="B344" s="47"/>
      <c r="C344" s="118"/>
      <c r="D344" s="118"/>
      <c r="E344" s="118"/>
      <c r="F344" s="118"/>
      <c r="G344" s="118"/>
      <c r="H344" s="118"/>
      <c r="I344" s="118"/>
    </row>
    <row r="345" spans="2:9">
      <c r="B345" s="47"/>
      <c r="C345" s="118"/>
      <c r="D345" s="118"/>
      <c r="E345" s="118"/>
      <c r="F345" s="118"/>
      <c r="G345" s="118"/>
      <c r="H345" s="118"/>
      <c r="I345" s="118"/>
    </row>
    <row r="346" spans="2:9">
      <c r="B346" s="47"/>
      <c r="C346" s="118"/>
      <c r="D346" s="118"/>
      <c r="E346" s="118"/>
      <c r="F346" s="118"/>
      <c r="G346" s="118"/>
      <c r="H346" s="118"/>
      <c r="I346" s="118"/>
    </row>
    <row r="347" spans="2:9">
      <c r="B347" s="47"/>
      <c r="C347" s="118"/>
      <c r="D347" s="118"/>
      <c r="E347" s="118"/>
      <c r="F347" s="118"/>
      <c r="G347" s="118"/>
      <c r="H347" s="118"/>
      <c r="I347" s="118"/>
    </row>
    <row r="348" spans="2:9">
      <c r="B348" s="47"/>
      <c r="C348" s="118"/>
      <c r="D348" s="118"/>
      <c r="E348" s="118"/>
      <c r="F348" s="118"/>
      <c r="G348" s="118"/>
      <c r="H348" s="118"/>
      <c r="I348" s="118"/>
    </row>
    <row r="349" spans="2:9">
      <c r="B349" s="47"/>
      <c r="C349" s="118"/>
      <c r="D349" s="118"/>
      <c r="E349" s="118"/>
      <c r="F349" s="118"/>
      <c r="G349" s="118"/>
      <c r="H349" s="118"/>
      <c r="I349" s="118"/>
    </row>
    <row r="350" spans="2:9">
      <c r="B350" s="47"/>
      <c r="C350" s="118"/>
      <c r="D350" s="118"/>
      <c r="E350" s="118"/>
      <c r="F350" s="118"/>
      <c r="G350" s="118"/>
      <c r="H350" s="118"/>
      <c r="I350" s="118"/>
    </row>
    <row r="351" spans="2:9">
      <c r="B351" s="47"/>
      <c r="C351" s="118"/>
      <c r="D351" s="118"/>
      <c r="E351" s="118"/>
      <c r="F351" s="118"/>
      <c r="G351" s="118"/>
      <c r="H351" s="118"/>
      <c r="I351" s="118"/>
    </row>
    <row r="352" spans="2:9">
      <c r="B352" s="47"/>
      <c r="C352" s="118"/>
      <c r="D352" s="118"/>
      <c r="E352" s="118"/>
      <c r="F352" s="118"/>
      <c r="G352" s="118"/>
      <c r="H352" s="118"/>
      <c r="I352" s="118"/>
    </row>
    <row r="353" spans="2:9">
      <c r="B353" s="47"/>
      <c r="C353" s="118"/>
      <c r="D353" s="118"/>
      <c r="E353" s="118"/>
      <c r="F353" s="118"/>
      <c r="G353" s="118"/>
      <c r="H353" s="118"/>
      <c r="I353" s="118"/>
    </row>
    <row r="354" spans="2:9">
      <c r="B354" s="47"/>
      <c r="C354" s="118"/>
      <c r="D354" s="118"/>
      <c r="E354" s="118"/>
      <c r="F354" s="118"/>
      <c r="G354" s="118"/>
      <c r="H354" s="118"/>
      <c r="I354" s="118"/>
    </row>
    <row r="355" spans="2:9">
      <c r="B355" s="47"/>
      <c r="C355" s="118"/>
      <c r="D355" s="118"/>
      <c r="E355" s="118"/>
      <c r="F355" s="118"/>
      <c r="G355" s="118"/>
      <c r="H355" s="118"/>
      <c r="I355" s="118"/>
    </row>
    <row r="356" spans="2:9">
      <c r="B356" s="47"/>
      <c r="C356" s="118"/>
      <c r="D356" s="118"/>
      <c r="E356" s="118"/>
      <c r="F356" s="118"/>
      <c r="G356" s="118"/>
      <c r="H356" s="118"/>
      <c r="I356" s="118"/>
    </row>
    <row r="357" spans="2:9">
      <c r="B357" s="47"/>
      <c r="C357" s="118"/>
      <c r="D357" s="118"/>
      <c r="E357" s="118"/>
      <c r="F357" s="118"/>
      <c r="G357" s="118"/>
      <c r="H357" s="118"/>
      <c r="I357" s="118"/>
    </row>
    <row r="358" spans="2:9">
      <c r="B358" s="47"/>
      <c r="C358" s="118"/>
      <c r="D358" s="118"/>
      <c r="E358" s="118"/>
      <c r="F358" s="118"/>
      <c r="G358" s="118"/>
      <c r="H358" s="118"/>
      <c r="I358" s="118"/>
    </row>
    <row r="359" spans="2:9">
      <c r="B359" s="47"/>
      <c r="C359" s="118"/>
      <c r="D359" s="118"/>
      <c r="E359" s="118"/>
      <c r="F359" s="118"/>
      <c r="G359" s="118"/>
      <c r="H359" s="118"/>
      <c r="I359" s="118"/>
    </row>
    <row r="360" spans="2:9">
      <c r="B360" s="47"/>
      <c r="C360" s="118"/>
      <c r="D360" s="118"/>
      <c r="E360" s="118"/>
      <c r="F360" s="118"/>
      <c r="G360" s="118"/>
      <c r="H360" s="118"/>
      <c r="I360" s="118"/>
    </row>
    <row r="361" spans="2:9">
      <c r="B361" s="47"/>
      <c r="C361" s="118"/>
      <c r="D361" s="118"/>
      <c r="E361" s="118"/>
      <c r="F361" s="118"/>
      <c r="G361" s="118"/>
      <c r="H361" s="118"/>
      <c r="I361" s="118"/>
    </row>
    <row r="362" spans="2:9">
      <c r="B362" s="47"/>
      <c r="C362" s="118"/>
      <c r="D362" s="118"/>
      <c r="E362" s="118"/>
      <c r="F362" s="118"/>
      <c r="G362" s="118"/>
      <c r="H362" s="118"/>
      <c r="I362" s="118"/>
    </row>
    <row r="363" spans="2:9">
      <c r="B363" s="47"/>
      <c r="C363" s="118"/>
      <c r="D363" s="118"/>
      <c r="E363" s="118"/>
      <c r="F363" s="118"/>
      <c r="G363" s="118"/>
      <c r="H363" s="118"/>
      <c r="I363" s="118"/>
    </row>
    <row r="364" spans="2:9">
      <c r="B364" s="47"/>
      <c r="C364" s="118"/>
      <c r="D364" s="118"/>
      <c r="E364" s="118"/>
      <c r="F364" s="118"/>
      <c r="G364" s="118"/>
      <c r="H364" s="118"/>
      <c r="I364" s="118"/>
    </row>
    <row r="365" spans="2:9">
      <c r="B365" s="47"/>
      <c r="C365" s="118"/>
      <c r="D365" s="118"/>
      <c r="E365" s="118"/>
      <c r="F365" s="118"/>
      <c r="G365" s="118"/>
      <c r="H365" s="118"/>
      <c r="I365" s="118"/>
    </row>
    <row r="366" spans="2:9">
      <c r="B366" s="47"/>
      <c r="C366" s="118"/>
      <c r="D366" s="118"/>
      <c r="E366" s="118"/>
      <c r="F366" s="118"/>
      <c r="G366" s="118"/>
      <c r="H366" s="118"/>
      <c r="I366" s="118"/>
    </row>
    <row r="367" spans="2:9">
      <c r="B367" s="47"/>
      <c r="C367" s="118"/>
      <c r="D367" s="118"/>
      <c r="E367" s="118"/>
      <c r="F367" s="118"/>
      <c r="G367" s="118"/>
      <c r="H367" s="118"/>
      <c r="I367" s="118"/>
    </row>
    <row r="368" spans="2:9">
      <c r="B368" s="47"/>
      <c r="C368" s="118"/>
      <c r="D368" s="118"/>
      <c r="E368" s="118"/>
      <c r="F368" s="118"/>
      <c r="G368" s="118"/>
      <c r="H368" s="118"/>
      <c r="I368" s="118"/>
    </row>
    <row r="369" spans="2:9">
      <c r="B369" s="47"/>
      <c r="C369" s="118"/>
      <c r="D369" s="118"/>
      <c r="E369" s="118"/>
      <c r="F369" s="118"/>
      <c r="G369" s="118"/>
      <c r="H369" s="118"/>
      <c r="I369" s="118"/>
    </row>
    <row r="370" spans="2:9">
      <c r="B370" s="47"/>
      <c r="C370" s="118"/>
      <c r="D370" s="118"/>
      <c r="E370" s="118"/>
      <c r="F370" s="118"/>
      <c r="G370" s="118"/>
      <c r="H370" s="118"/>
      <c r="I370" s="118"/>
    </row>
    <row r="371" spans="2:9">
      <c r="B371" s="47"/>
      <c r="C371" s="118"/>
      <c r="D371" s="118"/>
      <c r="E371" s="118"/>
      <c r="F371" s="118"/>
      <c r="G371" s="118"/>
      <c r="H371" s="118"/>
      <c r="I371" s="118"/>
    </row>
    <row r="372" spans="2:9">
      <c r="B372" s="47"/>
      <c r="C372" s="118"/>
      <c r="D372" s="118"/>
      <c r="E372" s="118"/>
      <c r="F372" s="118"/>
      <c r="G372" s="118"/>
      <c r="H372" s="118"/>
      <c r="I372" s="118"/>
    </row>
    <row r="373" spans="2:9">
      <c r="B373" s="47"/>
      <c r="C373" s="118"/>
      <c r="D373" s="118"/>
      <c r="E373" s="118"/>
      <c r="F373" s="118"/>
      <c r="G373" s="118"/>
      <c r="H373" s="118"/>
      <c r="I373" s="118"/>
    </row>
    <row r="374" spans="2:9">
      <c r="B374" s="47"/>
      <c r="C374" s="118"/>
      <c r="D374" s="118"/>
      <c r="E374" s="118"/>
      <c r="F374" s="118"/>
      <c r="G374" s="118"/>
      <c r="H374" s="118"/>
      <c r="I374" s="118"/>
    </row>
    <row r="375" spans="2:9">
      <c r="B375" s="47"/>
      <c r="C375" s="118"/>
      <c r="D375" s="118"/>
      <c r="E375" s="118"/>
      <c r="F375" s="118"/>
      <c r="G375" s="118"/>
      <c r="H375" s="118"/>
      <c r="I375" s="118"/>
    </row>
    <row r="376" spans="2:9">
      <c r="B376" s="47"/>
      <c r="C376" s="118"/>
      <c r="D376" s="118"/>
      <c r="E376" s="118"/>
      <c r="F376" s="118"/>
      <c r="G376" s="118"/>
      <c r="H376" s="118"/>
      <c r="I376" s="118"/>
    </row>
    <row r="377" spans="2:9">
      <c r="B377" s="47"/>
      <c r="C377" s="118"/>
      <c r="D377" s="118"/>
      <c r="E377" s="118"/>
      <c r="F377" s="118"/>
      <c r="G377" s="118"/>
      <c r="H377" s="118"/>
      <c r="I377" s="118"/>
    </row>
    <row r="378" spans="2:9">
      <c r="B378" s="47"/>
      <c r="C378" s="118"/>
      <c r="D378" s="118"/>
      <c r="E378" s="118"/>
      <c r="F378" s="118"/>
      <c r="G378" s="118"/>
      <c r="H378" s="118"/>
      <c r="I378" s="118"/>
    </row>
    <row r="379" spans="2:9">
      <c r="B379" s="47"/>
      <c r="C379" s="118"/>
      <c r="D379" s="118"/>
      <c r="E379" s="118"/>
      <c r="F379" s="118"/>
      <c r="G379" s="118"/>
      <c r="H379" s="118"/>
      <c r="I379" s="118"/>
    </row>
    <row r="380" spans="2:9">
      <c r="B380" s="47"/>
      <c r="C380" s="118"/>
      <c r="D380" s="118"/>
      <c r="E380" s="118"/>
      <c r="F380" s="118"/>
      <c r="G380" s="118"/>
      <c r="H380" s="118"/>
      <c r="I380" s="118"/>
    </row>
    <row r="381" spans="2:9">
      <c r="B381" s="47"/>
      <c r="C381" s="118"/>
      <c r="D381" s="118"/>
      <c r="E381" s="118"/>
      <c r="F381" s="118"/>
      <c r="G381" s="118"/>
      <c r="H381" s="118"/>
      <c r="I381" s="118"/>
    </row>
    <row r="382" spans="2:9">
      <c r="B382" s="47"/>
      <c r="C382" s="118"/>
      <c r="D382" s="118"/>
      <c r="E382" s="118"/>
      <c r="F382" s="118"/>
      <c r="G382" s="118"/>
      <c r="H382" s="118"/>
      <c r="I382" s="118"/>
    </row>
    <row r="383" spans="2:9">
      <c r="B383" s="47"/>
      <c r="C383" s="118"/>
      <c r="D383" s="118"/>
      <c r="E383" s="118"/>
      <c r="F383" s="118"/>
      <c r="G383" s="118"/>
      <c r="H383" s="118"/>
      <c r="I383" s="118"/>
    </row>
    <row r="384" spans="2:9">
      <c r="B384" s="47"/>
      <c r="C384" s="118"/>
      <c r="D384" s="118"/>
      <c r="E384" s="118"/>
      <c r="F384" s="118"/>
      <c r="G384" s="118"/>
      <c r="H384" s="118"/>
      <c r="I384" s="118"/>
    </row>
    <row r="385" spans="2:9">
      <c r="B385" s="47"/>
      <c r="C385" s="118"/>
      <c r="D385" s="118"/>
      <c r="E385" s="118"/>
      <c r="F385" s="118"/>
      <c r="G385" s="118"/>
      <c r="H385" s="118"/>
      <c r="I385" s="118"/>
    </row>
    <row r="386" spans="2:9">
      <c r="B386" s="47"/>
      <c r="C386" s="118"/>
      <c r="D386" s="118"/>
      <c r="E386" s="118"/>
      <c r="F386" s="118"/>
      <c r="G386" s="118"/>
      <c r="H386" s="118"/>
      <c r="I386" s="118"/>
    </row>
    <row r="387" spans="2:9">
      <c r="B387" s="47"/>
      <c r="C387" s="118"/>
      <c r="D387" s="118"/>
      <c r="E387" s="118"/>
      <c r="F387" s="118"/>
      <c r="G387" s="118"/>
      <c r="H387" s="118"/>
      <c r="I387" s="118"/>
    </row>
    <row r="388" spans="2:9">
      <c r="B388" s="47"/>
      <c r="C388" s="118"/>
      <c r="D388" s="118"/>
      <c r="E388" s="118"/>
      <c r="F388" s="118"/>
      <c r="G388" s="118"/>
      <c r="H388" s="118"/>
      <c r="I388" s="118"/>
    </row>
    <row r="389" spans="2:9">
      <c r="B389" s="47"/>
      <c r="C389" s="118"/>
      <c r="D389" s="118"/>
      <c r="E389" s="118"/>
      <c r="F389" s="118"/>
      <c r="G389" s="118"/>
      <c r="H389" s="118"/>
      <c r="I389" s="118"/>
    </row>
    <row r="390" spans="2:9">
      <c r="B390" s="47"/>
      <c r="C390" s="118"/>
      <c r="D390" s="118"/>
      <c r="E390" s="118"/>
      <c r="F390" s="118"/>
      <c r="G390" s="118"/>
      <c r="H390" s="118"/>
      <c r="I390" s="118"/>
    </row>
    <row r="391" spans="2:9">
      <c r="B391" s="47"/>
      <c r="C391" s="118"/>
      <c r="D391" s="118"/>
      <c r="E391" s="118"/>
      <c r="F391" s="118"/>
      <c r="G391" s="118"/>
      <c r="H391" s="118"/>
      <c r="I391" s="118"/>
    </row>
    <row r="392" spans="2:9">
      <c r="B392" s="47"/>
      <c r="C392" s="118"/>
      <c r="D392" s="118"/>
      <c r="E392" s="118"/>
      <c r="F392" s="118"/>
      <c r="G392" s="118"/>
      <c r="H392" s="118"/>
      <c r="I392" s="118"/>
    </row>
    <row r="393" spans="2:9">
      <c r="B393" s="47"/>
      <c r="C393" s="118"/>
      <c r="D393" s="118"/>
      <c r="E393" s="118"/>
      <c r="F393" s="118"/>
      <c r="G393" s="118"/>
      <c r="H393" s="118"/>
      <c r="I393" s="118"/>
    </row>
    <row r="394" spans="2:9">
      <c r="B394" s="47"/>
      <c r="C394" s="118"/>
      <c r="D394" s="118"/>
      <c r="E394" s="118"/>
      <c r="F394" s="118"/>
      <c r="G394" s="118"/>
      <c r="H394" s="118"/>
      <c r="I394" s="118"/>
    </row>
    <row r="395" spans="2:9">
      <c r="B395" s="47"/>
      <c r="C395" s="118"/>
      <c r="D395" s="118"/>
      <c r="E395" s="118"/>
      <c r="F395" s="118"/>
      <c r="G395" s="118"/>
      <c r="H395" s="118"/>
      <c r="I395" s="118"/>
    </row>
    <row r="396" spans="2:9">
      <c r="B396" s="47"/>
      <c r="C396" s="118"/>
      <c r="D396" s="118"/>
      <c r="E396" s="118"/>
      <c r="F396" s="118"/>
      <c r="G396" s="118"/>
      <c r="H396" s="118"/>
      <c r="I396" s="118"/>
    </row>
    <row r="397" spans="2:9">
      <c r="B397" s="47"/>
      <c r="C397" s="118"/>
      <c r="D397" s="118"/>
      <c r="E397" s="118"/>
      <c r="F397" s="118"/>
      <c r="G397" s="118"/>
      <c r="H397" s="118"/>
      <c r="I397" s="118"/>
    </row>
    <row r="398" spans="2:9">
      <c r="B398" s="47"/>
      <c r="C398" s="118"/>
      <c r="D398" s="118"/>
      <c r="E398" s="118"/>
      <c r="F398" s="118"/>
      <c r="G398" s="118"/>
      <c r="H398" s="118"/>
      <c r="I398" s="118"/>
    </row>
    <row r="399" spans="2:9">
      <c r="B399" s="47"/>
      <c r="C399" s="118"/>
      <c r="D399" s="118"/>
      <c r="E399" s="118"/>
      <c r="F399" s="118"/>
      <c r="G399" s="118"/>
      <c r="H399" s="118"/>
      <c r="I399" s="118"/>
    </row>
    <row r="400" spans="2:9">
      <c r="B400" s="47"/>
      <c r="C400" s="118"/>
      <c r="D400" s="118"/>
      <c r="E400" s="118"/>
      <c r="F400" s="118"/>
      <c r="G400" s="118"/>
      <c r="H400" s="118"/>
      <c r="I400" s="118"/>
    </row>
    <row r="401" spans="2:9">
      <c r="B401" s="47"/>
      <c r="C401" s="118"/>
      <c r="D401" s="118"/>
      <c r="E401" s="118"/>
      <c r="F401" s="118"/>
      <c r="G401" s="118"/>
      <c r="H401" s="118"/>
      <c r="I401" s="118"/>
    </row>
    <row r="402" spans="2:9">
      <c r="B402" s="47"/>
      <c r="C402" s="118"/>
      <c r="D402" s="118"/>
      <c r="E402" s="118"/>
      <c r="F402" s="118"/>
      <c r="G402" s="118"/>
      <c r="H402" s="118"/>
      <c r="I402" s="118"/>
    </row>
    <row r="403" spans="2:9">
      <c r="B403" s="47"/>
      <c r="C403" s="118"/>
      <c r="D403" s="118"/>
      <c r="E403" s="118"/>
      <c r="F403" s="118"/>
      <c r="G403" s="118"/>
      <c r="H403" s="118"/>
      <c r="I403" s="118"/>
    </row>
    <row r="404" spans="2:9">
      <c r="B404" s="47"/>
      <c r="C404" s="118"/>
      <c r="D404" s="118"/>
      <c r="E404" s="118"/>
      <c r="F404" s="118"/>
      <c r="G404" s="118"/>
      <c r="H404" s="118"/>
      <c r="I404" s="118"/>
    </row>
    <row r="405" spans="2:9">
      <c r="B405" s="47"/>
      <c r="C405" s="118"/>
      <c r="D405" s="118"/>
      <c r="E405" s="118"/>
      <c r="F405" s="118"/>
      <c r="G405" s="118"/>
      <c r="H405" s="118"/>
      <c r="I405" s="118"/>
    </row>
    <row r="406" spans="2:9">
      <c r="B406" s="47"/>
      <c r="C406" s="118"/>
      <c r="D406" s="118"/>
      <c r="E406" s="118"/>
      <c r="F406" s="118"/>
      <c r="G406" s="118"/>
      <c r="H406" s="118"/>
      <c r="I406" s="118"/>
    </row>
    <row r="407" spans="2:9">
      <c r="B407" s="47"/>
      <c r="C407" s="118"/>
      <c r="D407" s="118"/>
      <c r="E407" s="118"/>
      <c r="F407" s="118"/>
      <c r="G407" s="118"/>
      <c r="H407" s="118"/>
      <c r="I407" s="118"/>
    </row>
    <row r="408" spans="2:9">
      <c r="B408" s="47"/>
      <c r="C408" s="118"/>
      <c r="D408" s="118"/>
      <c r="E408" s="118"/>
      <c r="F408" s="118"/>
      <c r="G408" s="118"/>
      <c r="H408" s="118"/>
      <c r="I408" s="118"/>
    </row>
    <row r="409" spans="2:9">
      <c r="B409" s="47"/>
      <c r="C409" s="118"/>
      <c r="D409" s="118"/>
      <c r="E409" s="118"/>
      <c r="F409" s="118"/>
      <c r="G409" s="118"/>
      <c r="H409" s="118"/>
      <c r="I409" s="118"/>
    </row>
    <row r="410" spans="2:9">
      <c r="B410" s="47"/>
      <c r="C410" s="118"/>
      <c r="D410" s="118"/>
      <c r="E410" s="118"/>
      <c r="F410" s="118"/>
      <c r="G410" s="118"/>
      <c r="H410" s="118"/>
      <c r="I410" s="118"/>
    </row>
    <row r="411" spans="2:9">
      <c r="B411" s="47"/>
      <c r="C411" s="118"/>
      <c r="D411" s="118"/>
      <c r="E411" s="118"/>
      <c r="F411" s="118"/>
      <c r="G411" s="118"/>
      <c r="H411" s="118"/>
      <c r="I411" s="118"/>
    </row>
    <row r="412" spans="2:9">
      <c r="B412" s="47"/>
      <c r="C412" s="118"/>
      <c r="D412" s="118"/>
      <c r="E412" s="118"/>
      <c r="F412" s="118"/>
      <c r="G412" s="118"/>
      <c r="H412" s="118"/>
      <c r="I412" s="118"/>
    </row>
    <row r="413" spans="2:9">
      <c r="B413" s="47"/>
      <c r="C413" s="118"/>
      <c r="D413" s="118"/>
      <c r="E413" s="118"/>
      <c r="F413" s="118"/>
      <c r="G413" s="118"/>
      <c r="H413" s="118"/>
      <c r="I413" s="118"/>
    </row>
    <row r="414" spans="2:9">
      <c r="B414" s="47"/>
      <c r="C414" s="118"/>
      <c r="D414" s="118"/>
      <c r="E414" s="118"/>
      <c r="F414" s="118"/>
      <c r="G414" s="118"/>
      <c r="H414" s="118"/>
      <c r="I414" s="118"/>
    </row>
    <row r="415" spans="2:9">
      <c r="B415" s="47"/>
      <c r="C415" s="118"/>
      <c r="D415" s="118"/>
      <c r="E415" s="118"/>
      <c r="F415" s="118"/>
      <c r="G415" s="118"/>
      <c r="H415" s="118"/>
      <c r="I415" s="118"/>
    </row>
    <row r="416" spans="2:9">
      <c r="B416" s="47"/>
      <c r="C416" s="118"/>
      <c r="D416" s="118"/>
      <c r="E416" s="118"/>
      <c r="F416" s="118"/>
      <c r="G416" s="118"/>
      <c r="H416" s="118"/>
      <c r="I416" s="118"/>
    </row>
    <row r="417" spans="2:9">
      <c r="B417" s="47"/>
      <c r="C417" s="118"/>
      <c r="D417" s="118"/>
      <c r="E417" s="118"/>
      <c r="F417" s="118"/>
      <c r="G417" s="118"/>
      <c r="H417" s="118"/>
      <c r="I417" s="118"/>
    </row>
    <row r="418" spans="2:9">
      <c r="B418" s="47"/>
      <c r="C418" s="118"/>
      <c r="D418" s="118"/>
      <c r="E418" s="118"/>
      <c r="F418" s="118"/>
      <c r="G418" s="118"/>
      <c r="H418" s="118"/>
      <c r="I418" s="118"/>
    </row>
    <row r="419" spans="2:9">
      <c r="B419" s="47"/>
      <c r="C419" s="118"/>
      <c r="D419" s="118"/>
      <c r="E419" s="118"/>
      <c r="F419" s="118"/>
      <c r="G419" s="118"/>
      <c r="H419" s="118"/>
      <c r="I419" s="118"/>
    </row>
    <row r="420" spans="2:9">
      <c r="B420" s="47"/>
      <c r="C420" s="118"/>
      <c r="D420" s="118"/>
      <c r="E420" s="118"/>
      <c r="F420" s="118"/>
      <c r="G420" s="118"/>
      <c r="H420" s="118"/>
      <c r="I420" s="118"/>
    </row>
    <row r="421" spans="2:9">
      <c r="B421" s="47"/>
      <c r="C421" s="118"/>
      <c r="D421" s="118"/>
      <c r="E421" s="118"/>
      <c r="F421" s="118"/>
      <c r="G421" s="118"/>
      <c r="H421" s="118"/>
      <c r="I421" s="118"/>
    </row>
    <row r="422" spans="2:9">
      <c r="B422" s="47"/>
      <c r="C422" s="118"/>
      <c r="D422" s="118"/>
      <c r="E422" s="118"/>
      <c r="F422" s="118"/>
      <c r="G422" s="118"/>
      <c r="H422" s="118"/>
      <c r="I422" s="118"/>
    </row>
    <row r="423" spans="2:9">
      <c r="B423" s="47"/>
      <c r="C423" s="118"/>
      <c r="D423" s="118"/>
      <c r="E423" s="118"/>
      <c r="F423" s="118"/>
      <c r="G423" s="118"/>
      <c r="H423" s="118"/>
      <c r="I423" s="118"/>
    </row>
    <row r="424" spans="2:9">
      <c r="B424" s="47"/>
      <c r="C424" s="118"/>
      <c r="D424" s="118"/>
      <c r="E424" s="118"/>
      <c r="F424" s="118"/>
      <c r="G424" s="118"/>
      <c r="H424" s="118"/>
      <c r="I424" s="118"/>
    </row>
    <row r="425" spans="2:9">
      <c r="B425" s="47"/>
      <c r="C425" s="118"/>
      <c r="D425" s="118"/>
      <c r="E425" s="118"/>
      <c r="F425" s="118"/>
      <c r="G425" s="118"/>
      <c r="H425" s="118"/>
      <c r="I425" s="118"/>
    </row>
    <row r="426" spans="2:9">
      <c r="B426" s="47"/>
      <c r="C426" s="118"/>
      <c r="D426" s="118"/>
      <c r="E426" s="118"/>
      <c r="F426" s="118"/>
      <c r="G426" s="118"/>
      <c r="H426" s="118"/>
      <c r="I426" s="118"/>
    </row>
    <row r="427" spans="2:9">
      <c r="B427" s="47"/>
      <c r="C427" s="118"/>
      <c r="D427" s="118"/>
      <c r="E427" s="118"/>
      <c r="F427" s="118"/>
      <c r="G427" s="118"/>
      <c r="H427" s="118"/>
      <c r="I427" s="118"/>
    </row>
    <row r="428" spans="2:9">
      <c r="B428" s="47"/>
      <c r="C428" s="118"/>
      <c r="D428" s="118"/>
      <c r="E428" s="118"/>
      <c r="F428" s="118"/>
      <c r="G428" s="118"/>
      <c r="H428" s="118"/>
      <c r="I428" s="118"/>
    </row>
    <row r="429" spans="2:9">
      <c r="B429" s="47"/>
      <c r="C429" s="118"/>
      <c r="D429" s="118"/>
      <c r="E429" s="118"/>
      <c r="F429" s="118"/>
      <c r="G429" s="118"/>
      <c r="H429" s="118"/>
      <c r="I429" s="118"/>
    </row>
    <row r="430" spans="2:9">
      <c r="B430" s="47"/>
      <c r="C430" s="118"/>
      <c r="D430" s="118"/>
      <c r="E430" s="118"/>
      <c r="F430" s="118"/>
      <c r="G430" s="118"/>
      <c r="H430" s="118"/>
      <c r="I430" s="118"/>
    </row>
    <row r="431" spans="2:9">
      <c r="B431" s="47"/>
      <c r="C431" s="118"/>
      <c r="D431" s="118"/>
      <c r="E431" s="118"/>
      <c r="F431" s="118"/>
      <c r="G431" s="118"/>
      <c r="H431" s="118"/>
      <c r="I431" s="118"/>
    </row>
    <row r="432" spans="2:9">
      <c r="B432" s="47"/>
      <c r="C432" s="118"/>
      <c r="D432" s="118"/>
      <c r="E432" s="118"/>
      <c r="F432" s="118"/>
      <c r="G432" s="118"/>
      <c r="H432" s="118"/>
      <c r="I432" s="118"/>
    </row>
    <row r="433" spans="2:9">
      <c r="B433" s="47"/>
      <c r="C433" s="118"/>
      <c r="D433" s="118"/>
      <c r="E433" s="118"/>
      <c r="F433" s="118"/>
      <c r="G433" s="118"/>
      <c r="H433" s="118"/>
      <c r="I433" s="118"/>
    </row>
    <row r="434" spans="2:9">
      <c r="B434" s="47"/>
      <c r="C434" s="118"/>
      <c r="D434" s="118"/>
      <c r="E434" s="118"/>
      <c r="F434" s="118"/>
      <c r="G434" s="118"/>
      <c r="H434" s="118"/>
      <c r="I434" s="118"/>
    </row>
    <row r="435" spans="2:9">
      <c r="B435" s="47"/>
      <c r="C435" s="118"/>
      <c r="D435" s="118"/>
      <c r="E435" s="118"/>
      <c r="F435" s="118"/>
      <c r="G435" s="118"/>
      <c r="H435" s="118"/>
      <c r="I435" s="118"/>
    </row>
    <row r="436" spans="2:9">
      <c r="B436" s="47"/>
      <c r="C436" s="118"/>
      <c r="D436" s="118"/>
      <c r="E436" s="118"/>
      <c r="F436" s="118"/>
      <c r="G436" s="118"/>
      <c r="H436" s="118"/>
      <c r="I436" s="118"/>
    </row>
    <row r="437" spans="2:9">
      <c r="B437" s="47"/>
      <c r="C437" s="118"/>
      <c r="D437" s="118"/>
      <c r="E437" s="118"/>
      <c r="F437" s="118"/>
      <c r="G437" s="118"/>
      <c r="H437" s="118"/>
      <c r="I437" s="118"/>
    </row>
    <row r="438" spans="2:9">
      <c r="B438" s="47"/>
      <c r="C438" s="118"/>
      <c r="D438" s="118"/>
      <c r="E438" s="118"/>
      <c r="F438" s="118"/>
      <c r="G438" s="118"/>
      <c r="H438" s="118"/>
      <c r="I438" s="118"/>
    </row>
    <row r="439" spans="2:9">
      <c r="B439" s="47"/>
      <c r="C439" s="118"/>
      <c r="D439" s="118"/>
      <c r="E439" s="118"/>
      <c r="F439" s="118"/>
      <c r="G439" s="118"/>
      <c r="H439" s="118"/>
      <c r="I439" s="118"/>
    </row>
    <row r="440" spans="2:9">
      <c r="B440" s="47"/>
      <c r="C440" s="118"/>
      <c r="D440" s="118"/>
      <c r="E440" s="118"/>
      <c r="F440" s="118"/>
      <c r="G440" s="118"/>
      <c r="H440" s="118"/>
      <c r="I440" s="118"/>
    </row>
    <row r="441" spans="2:9">
      <c r="B441" s="47"/>
      <c r="C441" s="118"/>
      <c r="D441" s="118"/>
      <c r="E441" s="118"/>
      <c r="F441" s="118"/>
      <c r="G441" s="118"/>
      <c r="H441" s="118"/>
      <c r="I441" s="118"/>
    </row>
    <row r="442" spans="2:9">
      <c r="B442" s="47"/>
      <c r="C442" s="118"/>
      <c r="D442" s="118"/>
      <c r="E442" s="118"/>
      <c r="F442" s="118"/>
      <c r="G442" s="118"/>
      <c r="H442" s="118"/>
      <c r="I442" s="118"/>
    </row>
    <row r="443" spans="2:9">
      <c r="B443" s="47"/>
      <c r="C443" s="118"/>
      <c r="D443" s="118"/>
      <c r="E443" s="118"/>
      <c r="F443" s="118"/>
      <c r="G443" s="118"/>
      <c r="H443" s="118"/>
      <c r="I443" s="118"/>
    </row>
    <row r="444" spans="2:9">
      <c r="B444" s="47"/>
      <c r="C444" s="118"/>
      <c r="D444" s="118"/>
      <c r="E444" s="118"/>
      <c r="F444" s="118"/>
      <c r="G444" s="118"/>
      <c r="H444" s="118"/>
      <c r="I444" s="118"/>
    </row>
    <row r="445" spans="2:9">
      <c r="B445" s="47"/>
      <c r="C445" s="118"/>
      <c r="D445" s="118"/>
      <c r="E445" s="118"/>
      <c r="F445" s="118"/>
      <c r="G445" s="118"/>
      <c r="H445" s="118"/>
      <c r="I445" s="118"/>
    </row>
    <row r="446" spans="2:9">
      <c r="B446" s="47"/>
      <c r="C446" s="118"/>
      <c r="D446" s="118"/>
      <c r="E446" s="118"/>
      <c r="F446" s="118"/>
      <c r="G446" s="118"/>
      <c r="H446" s="118"/>
      <c r="I446" s="118"/>
    </row>
    <row r="447" spans="2:9">
      <c r="B447" s="47"/>
      <c r="C447" s="118"/>
      <c r="D447" s="118"/>
      <c r="E447" s="118"/>
      <c r="F447" s="118"/>
      <c r="G447" s="118"/>
      <c r="H447" s="118"/>
      <c r="I447" s="118"/>
    </row>
    <row r="448" spans="2:9">
      <c r="B448" s="47"/>
      <c r="C448" s="118"/>
      <c r="D448" s="118"/>
      <c r="E448" s="118"/>
      <c r="F448" s="118"/>
      <c r="G448" s="118"/>
      <c r="H448" s="118"/>
      <c r="I448" s="118"/>
    </row>
    <row r="449" spans="2:9">
      <c r="B449" s="47"/>
      <c r="C449" s="118"/>
      <c r="D449" s="118"/>
      <c r="E449" s="118"/>
      <c r="F449" s="118"/>
      <c r="G449" s="118"/>
      <c r="H449" s="118"/>
      <c r="I449" s="118"/>
    </row>
    <row r="450" spans="2:9">
      <c r="B450" s="47"/>
      <c r="C450" s="118"/>
      <c r="D450" s="118"/>
      <c r="E450" s="118"/>
      <c r="F450" s="118"/>
      <c r="G450" s="118"/>
      <c r="H450" s="118"/>
      <c r="I450" s="118"/>
    </row>
    <row r="451" spans="2:9">
      <c r="B451" s="47"/>
      <c r="C451" s="118"/>
      <c r="D451" s="118"/>
      <c r="E451" s="118"/>
      <c r="F451" s="118"/>
      <c r="G451" s="118"/>
      <c r="H451" s="118"/>
      <c r="I451" s="118"/>
    </row>
    <row r="452" spans="2:9">
      <c r="B452" s="47"/>
      <c r="C452" s="118"/>
      <c r="D452" s="118"/>
      <c r="E452" s="118"/>
      <c r="F452" s="118"/>
      <c r="G452" s="118"/>
      <c r="H452" s="118"/>
      <c r="I452" s="118"/>
    </row>
    <row r="453" spans="2:9">
      <c r="B453" s="47"/>
      <c r="C453" s="118"/>
      <c r="D453" s="118"/>
      <c r="E453" s="118"/>
      <c r="F453" s="118"/>
      <c r="G453" s="118"/>
      <c r="H453" s="118"/>
      <c r="I453" s="118"/>
    </row>
    <row r="454" spans="2:9">
      <c r="B454" s="47"/>
      <c r="C454" s="118"/>
      <c r="D454" s="118"/>
      <c r="E454" s="118"/>
      <c r="F454" s="118"/>
      <c r="G454" s="118"/>
      <c r="H454" s="118"/>
      <c r="I454" s="118"/>
    </row>
    <row r="455" spans="2:9">
      <c r="B455" s="47"/>
      <c r="C455" s="118"/>
      <c r="D455" s="118"/>
      <c r="E455" s="118"/>
      <c r="F455" s="118"/>
      <c r="G455" s="118"/>
      <c r="H455" s="118"/>
      <c r="I455" s="118"/>
    </row>
    <row r="456" spans="2:9">
      <c r="B456" s="47"/>
      <c r="C456" s="118"/>
      <c r="D456" s="118"/>
      <c r="E456" s="118"/>
      <c r="F456" s="118"/>
      <c r="G456" s="118"/>
      <c r="H456" s="118"/>
      <c r="I456" s="118"/>
    </row>
    <row r="457" spans="2:9">
      <c r="B457" s="47"/>
      <c r="C457" s="118"/>
      <c r="D457" s="118"/>
      <c r="E457" s="118"/>
      <c r="F457" s="118"/>
      <c r="G457" s="118"/>
      <c r="H457" s="118"/>
      <c r="I457" s="118"/>
    </row>
    <row r="458" spans="2:9">
      <c r="B458" s="47"/>
      <c r="C458" s="118"/>
      <c r="D458" s="118"/>
      <c r="E458" s="118"/>
      <c r="F458" s="118"/>
      <c r="G458" s="118"/>
      <c r="H458" s="118"/>
      <c r="I458" s="118"/>
    </row>
    <row r="459" spans="2:9">
      <c r="B459" s="47"/>
      <c r="C459" s="118"/>
      <c r="D459" s="118"/>
      <c r="E459" s="118"/>
      <c r="F459" s="118"/>
      <c r="G459" s="118"/>
      <c r="H459" s="118"/>
      <c r="I459" s="118"/>
    </row>
    <row r="460" spans="2:9">
      <c r="B460" s="47"/>
      <c r="C460" s="118"/>
      <c r="D460" s="118"/>
      <c r="E460" s="118"/>
      <c r="F460" s="118"/>
      <c r="G460" s="118"/>
      <c r="H460" s="118"/>
      <c r="I460" s="118"/>
    </row>
    <row r="461" spans="2:9">
      <c r="B461" s="47"/>
      <c r="C461" s="118"/>
      <c r="D461" s="118"/>
      <c r="E461" s="118"/>
      <c r="F461" s="118"/>
      <c r="G461" s="118"/>
      <c r="H461" s="118"/>
      <c r="I461" s="118"/>
    </row>
    <row r="462" spans="2:9">
      <c r="B462" s="47"/>
      <c r="C462" s="118"/>
      <c r="D462" s="118"/>
      <c r="E462" s="118"/>
      <c r="F462" s="118"/>
      <c r="G462" s="118"/>
      <c r="H462" s="118"/>
      <c r="I462" s="118"/>
    </row>
    <row r="463" spans="2:9">
      <c r="B463" s="47"/>
      <c r="C463" s="118"/>
      <c r="D463" s="118"/>
      <c r="E463" s="118"/>
      <c r="F463" s="118"/>
      <c r="G463" s="118"/>
      <c r="H463" s="118"/>
      <c r="I463" s="118"/>
    </row>
    <row r="464" spans="2:9">
      <c r="B464" s="47"/>
      <c r="C464" s="118"/>
      <c r="D464" s="118"/>
      <c r="E464" s="118"/>
      <c r="F464" s="118"/>
      <c r="G464" s="118"/>
      <c r="H464" s="118"/>
      <c r="I464" s="118"/>
    </row>
    <row r="465" spans="2:9">
      <c r="B465" s="47"/>
      <c r="C465" s="118"/>
      <c r="D465" s="118"/>
      <c r="E465" s="118"/>
      <c r="F465" s="118"/>
      <c r="G465" s="118"/>
      <c r="H465" s="118"/>
      <c r="I465" s="118"/>
    </row>
    <row r="466" spans="2:9">
      <c r="B466" s="47"/>
      <c r="C466" s="118"/>
      <c r="D466" s="118"/>
      <c r="E466" s="118"/>
      <c r="F466" s="118"/>
      <c r="G466" s="118"/>
      <c r="H466" s="118"/>
      <c r="I466" s="118"/>
    </row>
    <row r="467" spans="2:9">
      <c r="B467" s="47"/>
      <c r="C467" s="118"/>
      <c r="D467" s="118"/>
      <c r="E467" s="118"/>
      <c r="F467" s="118"/>
      <c r="G467" s="118"/>
      <c r="H467" s="118"/>
      <c r="I467" s="118"/>
    </row>
    <row r="468" spans="2:9">
      <c r="B468" s="47"/>
      <c r="C468" s="118"/>
      <c r="D468" s="118"/>
      <c r="E468" s="118"/>
      <c r="F468" s="118"/>
      <c r="G468" s="118"/>
      <c r="H468" s="118"/>
      <c r="I468" s="118"/>
    </row>
    <row r="469" spans="2:9">
      <c r="B469" s="47"/>
      <c r="C469" s="118"/>
      <c r="D469" s="118"/>
      <c r="E469" s="118"/>
      <c r="F469" s="118"/>
      <c r="G469" s="118"/>
      <c r="H469" s="118"/>
      <c r="I469" s="118"/>
    </row>
    <row r="470" spans="2:9">
      <c r="B470" s="47"/>
      <c r="C470" s="118"/>
      <c r="D470" s="118"/>
      <c r="E470" s="118"/>
      <c r="F470" s="118"/>
      <c r="G470" s="118"/>
      <c r="H470" s="118"/>
      <c r="I470" s="118"/>
    </row>
    <row r="471" spans="2:9">
      <c r="B471" s="47"/>
      <c r="C471" s="118"/>
      <c r="D471" s="118"/>
      <c r="E471" s="118"/>
      <c r="F471" s="118"/>
      <c r="G471" s="118"/>
      <c r="H471" s="118"/>
      <c r="I471" s="118"/>
    </row>
    <row r="472" spans="2:9">
      <c r="B472" s="47"/>
      <c r="C472" s="118"/>
      <c r="D472" s="118"/>
      <c r="E472" s="118"/>
      <c r="F472" s="118"/>
      <c r="G472" s="118"/>
      <c r="H472" s="118"/>
      <c r="I472" s="118"/>
    </row>
    <row r="473" spans="2:9">
      <c r="B473" s="47"/>
      <c r="C473" s="118"/>
      <c r="D473" s="118"/>
      <c r="E473" s="118"/>
      <c r="F473" s="118"/>
      <c r="G473" s="118"/>
      <c r="H473" s="118"/>
      <c r="I473" s="118"/>
    </row>
    <row r="474" spans="2:9">
      <c r="B474" s="47"/>
      <c r="C474" s="118"/>
      <c r="D474" s="118"/>
      <c r="E474" s="118"/>
      <c r="F474" s="118"/>
      <c r="G474" s="118"/>
      <c r="H474" s="118"/>
      <c r="I474" s="118"/>
    </row>
    <row r="475" spans="2:9">
      <c r="B475" s="47"/>
      <c r="C475" s="118"/>
      <c r="D475" s="118"/>
      <c r="E475" s="118"/>
      <c r="F475" s="118"/>
      <c r="G475" s="118"/>
      <c r="H475" s="118"/>
      <c r="I475" s="118"/>
    </row>
    <row r="476" spans="2:9">
      <c r="B476" s="47"/>
      <c r="C476" s="118"/>
      <c r="D476" s="118"/>
      <c r="E476" s="118"/>
      <c r="F476" s="118"/>
      <c r="G476" s="118"/>
      <c r="H476" s="118"/>
      <c r="I476" s="118"/>
    </row>
    <row r="477" spans="2:9">
      <c r="B477" s="47"/>
      <c r="C477" s="118"/>
      <c r="D477" s="118"/>
      <c r="E477" s="118"/>
      <c r="F477" s="118"/>
      <c r="G477" s="118"/>
      <c r="H477" s="118"/>
      <c r="I477" s="118"/>
    </row>
    <row r="478" spans="2:9">
      <c r="B478" s="47"/>
      <c r="C478" s="118"/>
      <c r="D478" s="118"/>
      <c r="E478" s="118"/>
      <c r="F478" s="118"/>
      <c r="G478" s="118"/>
      <c r="H478" s="118"/>
      <c r="I478" s="118"/>
    </row>
    <row r="479" spans="2:9">
      <c r="B479" s="47"/>
      <c r="C479" s="118"/>
      <c r="D479" s="118"/>
      <c r="E479" s="118"/>
      <c r="F479" s="118"/>
      <c r="G479" s="118"/>
      <c r="H479" s="118"/>
      <c r="I479" s="118"/>
    </row>
    <row r="480" spans="2:9">
      <c r="B480" s="47"/>
      <c r="C480" s="118"/>
      <c r="D480" s="118"/>
      <c r="E480" s="118"/>
      <c r="F480" s="118"/>
      <c r="G480" s="118"/>
      <c r="H480" s="118"/>
      <c r="I480" s="118"/>
    </row>
    <row r="481" spans="2:9">
      <c r="B481" s="47"/>
      <c r="C481" s="118"/>
      <c r="D481" s="118"/>
      <c r="E481" s="118"/>
      <c r="F481" s="118"/>
      <c r="G481" s="118"/>
      <c r="H481" s="118"/>
      <c r="I481" s="118"/>
    </row>
    <row r="482" spans="2:9">
      <c r="B482" s="47"/>
      <c r="C482" s="118"/>
      <c r="D482" s="118"/>
      <c r="E482" s="118"/>
      <c r="F482" s="118"/>
      <c r="G482" s="118"/>
      <c r="H482" s="118"/>
      <c r="I482" s="118"/>
    </row>
    <row r="483" spans="2:9">
      <c r="B483" s="47"/>
      <c r="C483" s="118"/>
      <c r="D483" s="118"/>
      <c r="E483" s="118"/>
      <c r="F483" s="118"/>
      <c r="G483" s="118"/>
      <c r="H483" s="118"/>
      <c r="I483" s="118"/>
    </row>
    <row r="484" spans="2:9">
      <c r="B484" s="47"/>
      <c r="C484" s="118"/>
      <c r="D484" s="118"/>
      <c r="E484" s="118"/>
      <c r="F484" s="118"/>
      <c r="G484" s="118"/>
      <c r="H484" s="118"/>
      <c r="I484" s="118"/>
    </row>
    <row r="485" spans="2:9">
      <c r="B485" s="47"/>
      <c r="C485" s="118"/>
      <c r="D485" s="118"/>
      <c r="E485" s="118"/>
      <c r="F485" s="118"/>
      <c r="G485" s="118"/>
      <c r="H485" s="118"/>
      <c r="I485" s="118"/>
    </row>
    <row r="486" spans="2:9">
      <c r="B486" s="47"/>
      <c r="C486" s="118"/>
      <c r="D486" s="118"/>
      <c r="E486" s="118"/>
      <c r="F486" s="118"/>
      <c r="G486" s="118"/>
      <c r="H486" s="118"/>
      <c r="I486" s="118"/>
    </row>
    <row r="487" spans="2:9">
      <c r="B487" s="47"/>
      <c r="C487" s="118"/>
      <c r="D487" s="118"/>
      <c r="E487" s="118"/>
      <c r="F487" s="118"/>
      <c r="G487" s="118"/>
      <c r="H487" s="118"/>
      <c r="I487" s="118"/>
    </row>
    <row r="488" spans="2:9">
      <c r="B488" s="47"/>
      <c r="C488" s="118"/>
      <c r="D488" s="118"/>
      <c r="E488" s="118"/>
      <c r="F488" s="118"/>
      <c r="G488" s="118"/>
      <c r="H488" s="118"/>
      <c r="I488" s="118"/>
    </row>
    <row r="489" spans="2:9">
      <c r="B489" s="47"/>
      <c r="C489" s="118"/>
      <c r="D489" s="118"/>
      <c r="E489" s="118"/>
      <c r="F489" s="118"/>
      <c r="G489" s="118"/>
      <c r="H489" s="118"/>
      <c r="I489" s="118"/>
    </row>
    <row r="490" spans="2:9">
      <c r="B490" s="47"/>
      <c r="C490" s="118"/>
      <c r="D490" s="118"/>
      <c r="E490" s="118"/>
      <c r="F490" s="118"/>
      <c r="G490" s="118"/>
      <c r="H490" s="118"/>
      <c r="I490" s="118"/>
    </row>
    <row r="491" spans="2:9">
      <c r="B491" s="47"/>
      <c r="C491" s="118"/>
      <c r="D491" s="118"/>
      <c r="E491" s="118"/>
      <c r="F491" s="118"/>
      <c r="G491" s="118"/>
      <c r="H491" s="118"/>
      <c r="I491" s="118"/>
    </row>
    <row r="492" spans="2:9">
      <c r="B492" s="47"/>
      <c r="C492" s="118"/>
      <c r="D492" s="118"/>
      <c r="E492" s="118"/>
      <c r="F492" s="118"/>
      <c r="G492" s="118"/>
      <c r="H492" s="118"/>
      <c r="I492" s="118"/>
    </row>
    <row r="493" spans="2:9">
      <c r="B493" s="47"/>
      <c r="C493" s="118"/>
      <c r="D493" s="118"/>
      <c r="E493" s="118"/>
      <c r="F493" s="118"/>
      <c r="G493" s="118"/>
      <c r="H493" s="118"/>
      <c r="I493" s="118"/>
    </row>
    <row r="494" spans="2:9">
      <c r="B494" s="47"/>
      <c r="C494" s="118"/>
      <c r="D494" s="118"/>
      <c r="E494" s="118"/>
      <c r="F494" s="118"/>
      <c r="G494" s="118"/>
      <c r="H494" s="118"/>
      <c r="I494" s="118"/>
    </row>
    <row r="495" spans="2:9">
      <c r="B495" s="47"/>
      <c r="C495" s="118"/>
      <c r="D495" s="118"/>
      <c r="E495" s="118"/>
      <c r="F495" s="118"/>
      <c r="G495" s="118"/>
      <c r="H495" s="118"/>
      <c r="I495" s="118"/>
    </row>
    <row r="496" spans="2:9">
      <c r="B496" s="47"/>
      <c r="C496" s="118"/>
      <c r="D496" s="118"/>
      <c r="E496" s="118"/>
      <c r="F496" s="118"/>
      <c r="G496" s="118"/>
      <c r="H496" s="118"/>
      <c r="I496" s="118"/>
    </row>
    <row r="497" spans="2:9">
      <c r="B497" s="47"/>
      <c r="C497" s="118"/>
      <c r="D497" s="118"/>
      <c r="E497" s="118"/>
      <c r="F497" s="118"/>
      <c r="G497" s="118"/>
      <c r="H497" s="118"/>
      <c r="I497" s="118"/>
    </row>
    <row r="498" spans="2:9">
      <c r="B498" s="47"/>
      <c r="C498" s="118"/>
      <c r="D498" s="118"/>
      <c r="E498" s="118"/>
      <c r="F498" s="118"/>
      <c r="G498" s="118"/>
      <c r="H498" s="118"/>
      <c r="I498" s="118"/>
    </row>
    <row r="499" spans="2:9">
      <c r="B499" s="47"/>
      <c r="C499" s="118"/>
      <c r="D499" s="118"/>
      <c r="E499" s="118"/>
      <c r="F499" s="118"/>
      <c r="G499" s="118"/>
      <c r="H499" s="118"/>
      <c r="I499" s="118"/>
    </row>
    <row r="500" spans="2:9">
      <c r="B500" s="47"/>
      <c r="C500" s="118"/>
      <c r="D500" s="118"/>
      <c r="E500" s="118"/>
      <c r="F500" s="118"/>
      <c r="G500" s="118"/>
      <c r="H500" s="118"/>
      <c r="I500" s="118"/>
    </row>
    <row r="501" spans="2:9">
      <c r="B501" s="47"/>
      <c r="C501" s="118"/>
      <c r="D501" s="118"/>
      <c r="E501" s="118"/>
      <c r="F501" s="118"/>
      <c r="G501" s="118"/>
      <c r="H501" s="118"/>
      <c r="I501" s="118"/>
    </row>
    <row r="502" spans="2:9">
      <c r="B502" s="47"/>
      <c r="C502" s="118"/>
      <c r="D502" s="118"/>
      <c r="E502" s="118"/>
      <c r="F502" s="118"/>
      <c r="G502" s="118"/>
      <c r="H502" s="118"/>
      <c r="I502" s="118"/>
    </row>
    <row r="503" spans="2:9">
      <c r="B503" s="47"/>
      <c r="C503" s="118"/>
      <c r="D503" s="118"/>
      <c r="E503" s="118"/>
      <c r="F503" s="118"/>
      <c r="G503" s="118"/>
      <c r="H503" s="118"/>
      <c r="I503" s="118"/>
    </row>
    <row r="504" spans="2:9">
      <c r="B504" s="47"/>
      <c r="C504" s="118"/>
      <c r="D504" s="118"/>
      <c r="E504" s="118"/>
      <c r="F504" s="118"/>
      <c r="G504" s="118"/>
      <c r="H504" s="118"/>
      <c r="I504" s="118"/>
    </row>
    <row r="505" spans="2:9">
      <c r="B505" s="47"/>
      <c r="C505" s="118"/>
      <c r="D505" s="118"/>
      <c r="E505" s="118"/>
      <c r="F505" s="118"/>
      <c r="G505" s="118"/>
      <c r="H505" s="118"/>
      <c r="I505" s="118"/>
    </row>
    <row r="506" spans="2:9">
      <c r="B506" s="47"/>
      <c r="C506" s="118"/>
      <c r="D506" s="118"/>
      <c r="E506" s="118"/>
      <c r="F506" s="118"/>
      <c r="G506" s="118"/>
      <c r="H506" s="118"/>
      <c r="I506" s="118"/>
    </row>
    <row r="507" spans="2:9">
      <c r="B507" s="47"/>
      <c r="C507" s="118"/>
      <c r="D507" s="118"/>
      <c r="E507" s="118"/>
      <c r="F507" s="118"/>
      <c r="G507" s="118"/>
      <c r="H507" s="118"/>
      <c r="I507" s="118"/>
    </row>
    <row r="508" spans="2:9">
      <c r="B508" s="47"/>
      <c r="C508" s="118"/>
      <c r="D508" s="118"/>
      <c r="E508" s="118"/>
      <c r="F508" s="118"/>
      <c r="G508" s="118"/>
      <c r="H508" s="118"/>
      <c r="I508" s="118"/>
    </row>
    <row r="509" spans="2:9">
      <c r="B509" s="47"/>
      <c r="C509" s="118"/>
      <c r="D509" s="118"/>
      <c r="E509" s="118"/>
      <c r="F509" s="118"/>
      <c r="G509" s="118"/>
      <c r="H509" s="118"/>
      <c r="I509" s="118"/>
    </row>
    <row r="510" spans="2:9">
      <c r="B510" s="47"/>
      <c r="C510" s="118"/>
      <c r="D510" s="118"/>
      <c r="E510" s="118"/>
      <c r="F510" s="118"/>
      <c r="G510" s="118"/>
      <c r="H510" s="118"/>
      <c r="I510" s="118"/>
    </row>
    <row r="511" spans="2:9">
      <c r="B511" s="47"/>
      <c r="C511" s="118"/>
      <c r="D511" s="118"/>
      <c r="E511" s="118"/>
      <c r="F511" s="118"/>
      <c r="G511" s="118"/>
      <c r="H511" s="118"/>
      <c r="I511" s="118"/>
    </row>
    <row r="512" spans="2:9">
      <c r="B512" s="47"/>
      <c r="C512" s="118"/>
      <c r="D512" s="118"/>
      <c r="E512" s="118"/>
      <c r="F512" s="118"/>
      <c r="G512" s="118"/>
      <c r="H512" s="118"/>
      <c r="I512" s="118"/>
    </row>
    <row r="513" spans="2:9">
      <c r="B513" s="47"/>
      <c r="C513" s="118"/>
      <c r="D513" s="118"/>
      <c r="E513" s="118"/>
      <c r="F513" s="118"/>
      <c r="G513" s="118"/>
      <c r="H513" s="118"/>
      <c r="I513" s="118"/>
    </row>
    <row r="514" spans="2:9">
      <c r="B514" s="47"/>
      <c r="C514" s="118"/>
      <c r="D514" s="118"/>
      <c r="E514" s="118"/>
      <c r="F514" s="118"/>
      <c r="G514" s="118"/>
      <c r="H514" s="118"/>
      <c r="I514" s="118"/>
    </row>
    <row r="515" spans="2:9">
      <c r="B515" s="47"/>
      <c r="C515" s="118"/>
      <c r="D515" s="118"/>
      <c r="E515" s="118"/>
      <c r="F515" s="118"/>
      <c r="G515" s="118"/>
      <c r="H515" s="118"/>
      <c r="I515" s="118"/>
    </row>
    <row r="516" spans="2:9">
      <c r="B516" s="47"/>
      <c r="C516" s="118"/>
      <c r="D516" s="118"/>
      <c r="E516" s="118"/>
      <c r="F516" s="118"/>
      <c r="G516" s="118"/>
      <c r="H516" s="118"/>
      <c r="I516" s="118"/>
    </row>
    <row r="517" spans="2:9">
      <c r="B517" s="47"/>
      <c r="C517" s="118"/>
      <c r="D517" s="118"/>
      <c r="E517" s="118"/>
      <c r="F517" s="118"/>
      <c r="G517" s="118"/>
      <c r="H517" s="118"/>
      <c r="I517" s="118"/>
    </row>
    <row r="518" spans="2:9">
      <c r="B518" s="47"/>
      <c r="C518" s="118"/>
      <c r="D518" s="118"/>
      <c r="E518" s="118"/>
      <c r="F518" s="118"/>
      <c r="G518" s="118"/>
      <c r="H518" s="118"/>
      <c r="I518" s="118"/>
    </row>
    <row r="519" spans="2:9">
      <c r="B519" s="47"/>
      <c r="C519" s="118"/>
      <c r="D519" s="118"/>
      <c r="E519" s="118"/>
      <c r="F519" s="118"/>
      <c r="G519" s="118"/>
      <c r="H519" s="118"/>
      <c r="I519" s="118"/>
    </row>
    <row r="520" spans="2:9">
      <c r="B520" s="47"/>
      <c r="C520" s="118"/>
      <c r="D520" s="118"/>
      <c r="E520" s="118"/>
      <c r="F520" s="118"/>
      <c r="G520" s="118"/>
      <c r="H520" s="118"/>
      <c r="I520" s="118"/>
    </row>
    <row r="521" spans="2:9">
      <c r="B521" s="47"/>
      <c r="C521" s="118"/>
      <c r="D521" s="118"/>
      <c r="E521" s="118"/>
      <c r="F521" s="118"/>
      <c r="G521" s="118"/>
      <c r="H521" s="118"/>
      <c r="I521" s="118"/>
    </row>
    <row r="522" spans="2:9">
      <c r="B522" s="47"/>
      <c r="C522" s="118"/>
      <c r="D522" s="118"/>
      <c r="E522" s="118"/>
      <c r="F522" s="118"/>
      <c r="G522" s="118"/>
      <c r="H522" s="118"/>
      <c r="I522" s="118"/>
    </row>
    <row r="523" spans="2:9">
      <c r="B523" s="47"/>
      <c r="C523" s="118"/>
      <c r="D523" s="118"/>
      <c r="E523" s="118"/>
      <c r="F523" s="118"/>
      <c r="G523" s="118"/>
      <c r="H523" s="118"/>
      <c r="I523" s="118"/>
    </row>
    <row r="524" spans="2:9">
      <c r="B524" s="47"/>
      <c r="C524" s="118"/>
      <c r="D524" s="118"/>
      <c r="E524" s="118"/>
      <c r="F524" s="118"/>
      <c r="G524" s="118"/>
      <c r="H524" s="118"/>
      <c r="I524" s="118"/>
    </row>
    <row r="525" spans="2:9">
      <c r="B525" s="47"/>
      <c r="C525" s="118"/>
      <c r="D525" s="118"/>
      <c r="E525" s="118"/>
      <c r="F525" s="118"/>
      <c r="G525" s="118"/>
      <c r="H525" s="118"/>
      <c r="I525" s="118"/>
    </row>
    <row r="526" spans="2:9">
      <c r="B526" s="47"/>
      <c r="C526" s="118"/>
      <c r="D526" s="118"/>
      <c r="E526" s="118"/>
      <c r="F526" s="118"/>
      <c r="G526" s="118"/>
      <c r="H526" s="118"/>
      <c r="I526" s="118"/>
    </row>
    <row r="527" spans="2:9">
      <c r="B527" s="47"/>
      <c r="C527" s="118"/>
      <c r="D527" s="118"/>
      <c r="E527" s="118"/>
      <c r="F527" s="118"/>
      <c r="G527" s="118"/>
      <c r="H527" s="118"/>
      <c r="I527" s="118"/>
    </row>
    <row r="528" spans="2:9">
      <c r="B528" s="47"/>
      <c r="C528" s="118"/>
      <c r="D528" s="118"/>
      <c r="E528" s="118"/>
      <c r="F528" s="118"/>
      <c r="G528" s="118"/>
      <c r="H528" s="118"/>
      <c r="I528" s="118"/>
    </row>
    <row r="529" spans="2:9">
      <c r="B529" s="47"/>
      <c r="C529" s="118"/>
      <c r="D529" s="118"/>
      <c r="E529" s="118"/>
      <c r="F529" s="118"/>
      <c r="G529" s="118"/>
      <c r="H529" s="118"/>
      <c r="I529" s="118"/>
    </row>
    <row r="530" spans="2:9">
      <c r="B530" s="47"/>
      <c r="C530" s="118"/>
      <c r="D530" s="118"/>
      <c r="E530" s="118"/>
      <c r="F530" s="118"/>
      <c r="G530" s="118"/>
      <c r="H530" s="118"/>
      <c r="I530" s="118"/>
    </row>
    <row r="531" spans="2:9">
      <c r="B531" s="47"/>
      <c r="C531" s="118"/>
      <c r="D531" s="118"/>
      <c r="E531" s="118"/>
      <c r="F531" s="118"/>
      <c r="G531" s="118"/>
      <c r="H531" s="118"/>
      <c r="I531" s="118"/>
    </row>
    <row r="532" spans="2:9">
      <c r="B532" s="47"/>
      <c r="C532" s="118"/>
      <c r="D532" s="118"/>
      <c r="E532" s="118"/>
      <c r="F532" s="118"/>
      <c r="G532" s="118"/>
      <c r="H532" s="118"/>
      <c r="I532" s="118"/>
    </row>
    <row r="533" spans="2:9">
      <c r="B533" s="47"/>
      <c r="C533" s="118"/>
      <c r="D533" s="118"/>
      <c r="E533" s="118"/>
      <c r="F533" s="118"/>
      <c r="G533" s="118"/>
      <c r="H533" s="118"/>
      <c r="I533" s="118"/>
    </row>
    <row r="534" spans="2:9">
      <c r="B534" s="47"/>
      <c r="C534" s="118"/>
      <c r="D534" s="118"/>
      <c r="E534" s="118"/>
      <c r="F534" s="118"/>
      <c r="G534" s="118"/>
      <c r="H534" s="118"/>
      <c r="I534" s="118"/>
    </row>
    <row r="535" spans="2:9">
      <c r="B535" s="47"/>
      <c r="C535" s="118"/>
      <c r="D535" s="118"/>
      <c r="E535" s="118"/>
      <c r="F535" s="118"/>
      <c r="G535" s="118"/>
      <c r="H535" s="118"/>
      <c r="I535" s="118"/>
    </row>
    <row r="536" spans="2:9">
      <c r="B536" s="47"/>
      <c r="C536" s="118"/>
      <c r="D536" s="118"/>
      <c r="E536" s="118"/>
      <c r="F536" s="118"/>
      <c r="G536" s="118"/>
      <c r="H536" s="118"/>
      <c r="I536" s="118"/>
    </row>
    <row r="537" spans="2:9">
      <c r="B537" s="47"/>
      <c r="C537" s="118"/>
      <c r="D537" s="118"/>
      <c r="E537" s="118"/>
      <c r="F537" s="118"/>
      <c r="G537" s="118"/>
      <c r="H537" s="118"/>
      <c r="I537" s="118"/>
    </row>
    <row r="538" spans="2:9">
      <c r="B538" s="47"/>
      <c r="C538" s="118"/>
      <c r="D538" s="118"/>
      <c r="E538" s="118"/>
      <c r="F538" s="118"/>
      <c r="G538" s="118"/>
      <c r="H538" s="118"/>
      <c r="I538" s="118"/>
    </row>
    <row r="539" spans="2:9">
      <c r="B539" s="47"/>
      <c r="C539" s="118"/>
      <c r="D539" s="118"/>
      <c r="E539" s="118"/>
      <c r="F539" s="118"/>
      <c r="G539" s="118"/>
      <c r="H539" s="118"/>
      <c r="I539" s="118"/>
    </row>
    <row r="540" spans="2:9">
      <c r="B540" s="47"/>
      <c r="C540" s="118"/>
      <c r="D540" s="118"/>
      <c r="E540" s="118"/>
      <c r="F540" s="118"/>
      <c r="G540" s="118"/>
      <c r="H540" s="118"/>
      <c r="I540" s="118"/>
    </row>
    <row r="541" spans="2:9">
      <c r="B541" s="47"/>
      <c r="C541" s="118"/>
      <c r="D541" s="118"/>
      <c r="E541" s="118"/>
      <c r="F541" s="118"/>
      <c r="G541" s="118"/>
      <c r="H541" s="118"/>
      <c r="I541" s="118"/>
    </row>
    <row r="542" spans="2:9">
      <c r="B542" s="47"/>
      <c r="C542" s="118"/>
      <c r="D542" s="118"/>
      <c r="E542" s="118"/>
      <c r="F542" s="118"/>
      <c r="G542" s="118"/>
      <c r="H542" s="118"/>
      <c r="I542" s="118"/>
    </row>
    <row r="543" spans="2:9">
      <c r="B543" s="47"/>
      <c r="C543" s="118"/>
      <c r="D543" s="118"/>
      <c r="E543" s="118"/>
      <c r="F543" s="118"/>
      <c r="G543" s="118"/>
      <c r="H543" s="118"/>
      <c r="I543" s="118"/>
    </row>
    <row r="544" spans="2:9">
      <c r="B544" s="47"/>
      <c r="C544" s="118"/>
      <c r="D544" s="118"/>
      <c r="E544" s="118"/>
      <c r="F544" s="118"/>
      <c r="G544" s="118"/>
      <c r="H544" s="118"/>
      <c r="I544" s="118"/>
    </row>
    <row r="545" spans="2:9">
      <c r="B545" s="47"/>
      <c r="C545" s="118"/>
      <c r="D545" s="118"/>
      <c r="E545" s="118"/>
      <c r="F545" s="118"/>
      <c r="G545" s="118"/>
      <c r="H545" s="118"/>
      <c r="I545" s="118"/>
    </row>
    <row r="546" spans="2:9">
      <c r="B546" s="47"/>
      <c r="C546" s="118"/>
      <c r="D546" s="118"/>
      <c r="E546" s="118"/>
      <c r="F546" s="118"/>
      <c r="G546" s="118"/>
      <c r="H546" s="118"/>
      <c r="I546" s="118"/>
    </row>
    <row r="547" spans="2:9">
      <c r="B547" s="47"/>
      <c r="C547" s="118"/>
      <c r="D547" s="118"/>
      <c r="E547" s="118"/>
      <c r="F547" s="118"/>
      <c r="G547" s="118"/>
      <c r="H547" s="118"/>
      <c r="I547" s="118"/>
    </row>
    <row r="548" spans="2:9">
      <c r="B548" s="47"/>
      <c r="C548" s="118"/>
      <c r="D548" s="118"/>
      <c r="E548" s="118"/>
      <c r="F548" s="118"/>
      <c r="G548" s="118"/>
      <c r="H548" s="118"/>
      <c r="I548" s="118"/>
    </row>
    <row r="549" spans="2:9">
      <c r="B549" s="47"/>
      <c r="C549" s="118"/>
      <c r="D549" s="118"/>
      <c r="E549" s="118"/>
      <c r="F549" s="118"/>
      <c r="G549" s="118"/>
      <c r="H549" s="118"/>
      <c r="I549" s="118"/>
    </row>
    <row r="550" spans="2:9">
      <c r="B550" s="47"/>
      <c r="C550" s="118"/>
      <c r="D550" s="118"/>
      <c r="E550" s="118"/>
      <c r="F550" s="118"/>
      <c r="G550" s="118"/>
      <c r="H550" s="118"/>
      <c r="I550" s="118"/>
    </row>
    <row r="551" spans="2:9">
      <c r="B551" s="47"/>
      <c r="C551" s="118"/>
      <c r="D551" s="118"/>
      <c r="E551" s="118"/>
      <c r="F551" s="118"/>
      <c r="G551" s="118"/>
      <c r="H551" s="118"/>
      <c r="I551" s="118"/>
    </row>
    <row r="552" spans="2:9">
      <c r="B552" s="47"/>
      <c r="C552" s="118"/>
      <c r="D552" s="118"/>
      <c r="E552" s="118"/>
      <c r="F552" s="118"/>
      <c r="G552" s="118"/>
      <c r="H552" s="118"/>
      <c r="I552" s="118"/>
    </row>
    <row r="553" spans="2:9">
      <c r="B553" s="47"/>
      <c r="C553" s="118"/>
      <c r="D553" s="118"/>
      <c r="E553" s="118"/>
      <c r="F553" s="118"/>
      <c r="G553" s="118"/>
      <c r="H553" s="118"/>
      <c r="I553" s="118"/>
    </row>
    <row r="554" spans="2:9">
      <c r="B554" s="47"/>
      <c r="C554" s="118"/>
      <c r="D554" s="118"/>
      <c r="E554" s="118"/>
      <c r="F554" s="118"/>
      <c r="G554" s="118"/>
      <c r="H554" s="118"/>
      <c r="I554" s="118"/>
    </row>
    <row r="555" spans="2:9">
      <c r="B555" s="47"/>
      <c r="C555" s="118"/>
      <c r="D555" s="118"/>
      <c r="E555" s="118"/>
      <c r="F555" s="118"/>
      <c r="G555" s="118"/>
      <c r="H555" s="118"/>
      <c r="I555" s="118"/>
    </row>
    <row r="556" spans="2:9">
      <c r="B556" s="47"/>
      <c r="C556" s="118"/>
      <c r="D556" s="118"/>
      <c r="E556" s="118"/>
      <c r="F556" s="118"/>
      <c r="G556" s="118"/>
      <c r="H556" s="118"/>
      <c r="I556" s="118"/>
    </row>
    <row r="557" spans="2:9">
      <c r="B557" s="47"/>
      <c r="C557" s="118"/>
      <c r="D557" s="118"/>
      <c r="E557" s="118"/>
      <c r="F557" s="118"/>
      <c r="G557" s="118"/>
      <c r="H557" s="118"/>
      <c r="I557" s="118"/>
    </row>
    <row r="558" spans="2:9">
      <c r="B558" s="47"/>
      <c r="C558" s="118"/>
      <c r="D558" s="118"/>
      <c r="E558" s="118"/>
      <c r="F558" s="118"/>
      <c r="G558" s="118"/>
      <c r="H558" s="118"/>
      <c r="I558" s="118"/>
    </row>
    <row r="559" spans="2:9">
      <c r="B559" s="47"/>
      <c r="C559" s="118"/>
      <c r="D559" s="118"/>
      <c r="E559" s="118"/>
      <c r="F559" s="118"/>
      <c r="G559" s="118"/>
      <c r="H559" s="118"/>
      <c r="I559" s="118"/>
    </row>
    <row r="560" spans="2:9">
      <c r="B560" s="47"/>
      <c r="C560" s="118"/>
      <c r="D560" s="118"/>
      <c r="E560" s="118"/>
      <c r="F560" s="118"/>
      <c r="G560" s="118"/>
      <c r="H560" s="118"/>
      <c r="I560" s="118"/>
    </row>
    <row r="561" spans="2:9">
      <c r="B561" s="47"/>
      <c r="C561" s="118"/>
      <c r="D561" s="118"/>
      <c r="E561" s="118"/>
      <c r="F561" s="118"/>
      <c r="G561" s="118"/>
      <c r="H561" s="118"/>
      <c r="I561" s="118"/>
    </row>
    <row r="562" spans="2:9">
      <c r="B562" s="47"/>
      <c r="C562" s="118"/>
      <c r="D562" s="118"/>
      <c r="E562" s="118"/>
      <c r="F562" s="118"/>
      <c r="G562" s="118"/>
      <c r="H562" s="118"/>
      <c r="I562" s="118"/>
    </row>
    <row r="563" spans="2:9">
      <c r="B563" s="47"/>
      <c r="C563" s="118"/>
      <c r="D563" s="118"/>
      <c r="E563" s="118"/>
      <c r="F563" s="118"/>
      <c r="G563" s="118"/>
      <c r="H563" s="118"/>
      <c r="I563" s="118"/>
    </row>
    <row r="564" spans="2:9">
      <c r="B564" s="47"/>
      <c r="C564" s="118"/>
      <c r="D564" s="118"/>
      <c r="E564" s="118"/>
      <c r="F564" s="118"/>
      <c r="G564" s="118"/>
      <c r="H564" s="118"/>
      <c r="I564" s="118"/>
    </row>
    <row r="565" spans="2:9">
      <c r="B565" s="47"/>
      <c r="C565" s="118"/>
      <c r="D565" s="118"/>
      <c r="E565" s="118"/>
      <c r="F565" s="118"/>
      <c r="G565" s="118"/>
      <c r="H565" s="118"/>
      <c r="I565" s="118"/>
    </row>
    <row r="566" spans="2:9">
      <c r="B566" s="47"/>
      <c r="C566" s="118"/>
      <c r="D566" s="118"/>
      <c r="E566" s="118"/>
      <c r="F566" s="118"/>
      <c r="G566" s="118"/>
      <c r="H566" s="118"/>
      <c r="I566" s="118"/>
    </row>
    <row r="567" spans="2:9">
      <c r="B567" s="47"/>
      <c r="C567" s="118"/>
      <c r="D567" s="118"/>
      <c r="E567" s="118"/>
      <c r="F567" s="118"/>
      <c r="G567" s="118"/>
      <c r="H567" s="118"/>
      <c r="I567" s="118"/>
    </row>
    <row r="568" spans="2:9">
      <c r="B568" s="47"/>
      <c r="C568" s="118"/>
      <c r="D568" s="118"/>
      <c r="E568" s="118"/>
      <c r="F568" s="118"/>
      <c r="G568" s="118"/>
      <c r="H568" s="118"/>
      <c r="I568" s="118"/>
    </row>
    <row r="569" spans="2:9">
      <c r="B569" s="47"/>
      <c r="C569" s="118"/>
      <c r="D569" s="118"/>
      <c r="E569" s="118"/>
      <c r="F569" s="118"/>
      <c r="G569" s="118"/>
      <c r="H569" s="118"/>
      <c r="I569" s="118"/>
    </row>
    <row r="570" spans="2:9">
      <c r="B570" s="47"/>
      <c r="C570" s="118"/>
      <c r="D570" s="118"/>
      <c r="E570" s="118"/>
      <c r="F570" s="118"/>
      <c r="G570" s="118"/>
      <c r="H570" s="118"/>
      <c r="I570" s="118"/>
    </row>
    <row r="571" spans="2:9">
      <c r="B571" s="47"/>
      <c r="C571" s="118"/>
      <c r="D571" s="118"/>
      <c r="E571" s="118"/>
      <c r="F571" s="118"/>
      <c r="G571" s="118"/>
      <c r="H571" s="118"/>
      <c r="I571" s="118"/>
    </row>
    <row r="572" spans="2:9">
      <c r="B572" s="47"/>
      <c r="C572" s="118"/>
      <c r="D572" s="118"/>
      <c r="E572" s="118"/>
      <c r="F572" s="118"/>
      <c r="G572" s="118"/>
      <c r="H572" s="118"/>
      <c r="I572" s="118"/>
    </row>
    <row r="573" spans="2:9">
      <c r="B573" s="47"/>
      <c r="C573" s="118"/>
      <c r="D573" s="118"/>
      <c r="E573" s="118"/>
      <c r="F573" s="118"/>
      <c r="G573" s="118"/>
      <c r="H573" s="118"/>
      <c r="I573" s="118"/>
    </row>
    <row r="574" spans="2:9">
      <c r="B574" s="47"/>
      <c r="C574" s="118"/>
      <c r="D574" s="118"/>
      <c r="E574" s="118"/>
      <c r="F574" s="118"/>
      <c r="G574" s="118"/>
      <c r="H574" s="118"/>
      <c r="I574" s="118"/>
    </row>
    <row r="575" spans="2:9">
      <c r="B575" s="47"/>
      <c r="C575" s="118"/>
      <c r="D575" s="118"/>
      <c r="E575" s="118"/>
      <c r="F575" s="118"/>
      <c r="G575" s="118"/>
      <c r="H575" s="118"/>
      <c r="I575" s="118"/>
    </row>
    <row r="576" spans="2:9">
      <c r="B576" s="47"/>
      <c r="C576" s="118"/>
      <c r="D576" s="118"/>
      <c r="E576" s="118"/>
      <c r="F576" s="118"/>
      <c r="G576" s="118"/>
      <c r="H576" s="118"/>
      <c r="I576" s="118"/>
    </row>
    <row r="577" spans="2:9">
      <c r="B577" s="47"/>
      <c r="C577" s="118"/>
      <c r="D577" s="118"/>
      <c r="E577" s="118"/>
      <c r="F577" s="118"/>
      <c r="G577" s="118"/>
      <c r="H577" s="118"/>
      <c r="I577" s="118"/>
    </row>
    <row r="578" spans="2:9">
      <c r="B578" s="47"/>
      <c r="C578" s="118"/>
      <c r="D578" s="118"/>
      <c r="E578" s="118"/>
      <c r="F578" s="118"/>
      <c r="G578" s="118"/>
      <c r="H578" s="118"/>
      <c r="I578" s="118"/>
    </row>
    <row r="579" spans="2:9">
      <c r="B579" s="47"/>
      <c r="C579" s="118"/>
      <c r="D579" s="118"/>
      <c r="E579" s="118"/>
      <c r="F579" s="118"/>
      <c r="G579" s="118"/>
      <c r="H579" s="118"/>
      <c r="I579" s="118"/>
    </row>
    <row r="580" spans="2:9">
      <c r="B580" s="47"/>
      <c r="C580" s="118"/>
      <c r="D580" s="118"/>
      <c r="E580" s="118"/>
      <c r="F580" s="118"/>
      <c r="G580" s="118"/>
      <c r="H580" s="118"/>
      <c r="I580" s="118"/>
    </row>
    <row r="581" spans="2:9">
      <c r="B581" s="47"/>
      <c r="C581" s="118"/>
      <c r="D581" s="118"/>
      <c r="E581" s="118"/>
      <c r="F581" s="118"/>
      <c r="G581" s="118"/>
      <c r="H581" s="118"/>
      <c r="I581" s="118"/>
    </row>
    <row r="582" spans="2:9">
      <c r="B582" s="47"/>
      <c r="C582" s="118"/>
      <c r="D582" s="118"/>
      <c r="E582" s="118"/>
      <c r="F582" s="118"/>
      <c r="G582" s="118"/>
      <c r="H582" s="118"/>
      <c r="I582" s="118"/>
    </row>
    <row r="583" spans="2:9">
      <c r="B583" s="47"/>
      <c r="C583" s="118"/>
      <c r="D583" s="118"/>
      <c r="E583" s="118"/>
      <c r="F583" s="118"/>
      <c r="G583" s="118"/>
      <c r="H583" s="118"/>
      <c r="I583" s="118"/>
    </row>
    <row r="584" spans="2:9">
      <c r="B584" s="47"/>
      <c r="C584" s="118"/>
      <c r="D584" s="118"/>
      <c r="E584" s="118"/>
      <c r="F584" s="118"/>
      <c r="G584" s="118"/>
      <c r="H584" s="118"/>
      <c r="I584" s="118"/>
    </row>
    <row r="585" spans="2:9">
      <c r="B585" s="47"/>
      <c r="C585" s="118"/>
      <c r="D585" s="118"/>
      <c r="E585" s="118"/>
      <c r="F585" s="118"/>
      <c r="G585" s="118"/>
      <c r="H585" s="118"/>
      <c r="I585" s="118"/>
    </row>
    <row r="586" spans="2:9">
      <c r="B586" s="47"/>
      <c r="C586" s="118"/>
      <c r="D586" s="118"/>
      <c r="E586" s="118"/>
      <c r="F586" s="118"/>
      <c r="G586" s="118"/>
      <c r="H586" s="118"/>
      <c r="I586" s="118"/>
    </row>
    <row r="587" spans="2:9">
      <c r="B587" s="47"/>
      <c r="C587" s="118"/>
      <c r="D587" s="118"/>
      <c r="E587" s="118"/>
      <c r="F587" s="118"/>
      <c r="G587" s="118"/>
      <c r="H587" s="118"/>
      <c r="I587" s="118"/>
    </row>
    <row r="588" spans="2:9">
      <c r="B588" s="47"/>
      <c r="C588" s="118"/>
      <c r="D588" s="118"/>
      <c r="E588" s="118"/>
      <c r="F588" s="118"/>
      <c r="G588" s="118"/>
      <c r="H588" s="118"/>
      <c r="I588" s="118"/>
    </row>
    <row r="589" spans="2:9">
      <c r="B589" s="47"/>
      <c r="C589" s="118"/>
      <c r="D589" s="118"/>
      <c r="E589" s="118"/>
      <c r="F589" s="118"/>
      <c r="G589" s="118"/>
      <c r="H589" s="118"/>
      <c r="I589" s="118"/>
    </row>
    <row r="590" spans="2:9">
      <c r="B590" s="47"/>
      <c r="C590" s="118"/>
      <c r="D590" s="118"/>
      <c r="E590" s="118"/>
      <c r="F590" s="118"/>
      <c r="G590" s="118"/>
      <c r="H590" s="118"/>
      <c r="I590" s="118"/>
    </row>
    <row r="591" spans="2:9">
      <c r="B591" s="47"/>
      <c r="C591" s="118"/>
      <c r="D591" s="118"/>
      <c r="E591" s="118"/>
      <c r="F591" s="118"/>
      <c r="G591" s="118"/>
      <c r="H591" s="118"/>
      <c r="I591" s="118"/>
    </row>
    <row r="592" spans="2:9">
      <c r="B592" s="47"/>
      <c r="C592" s="118"/>
      <c r="D592" s="118"/>
      <c r="E592" s="118"/>
      <c r="F592" s="118"/>
      <c r="G592" s="118"/>
      <c r="H592" s="118"/>
      <c r="I592" s="118"/>
    </row>
    <row r="593" spans="2:9">
      <c r="B593" s="47"/>
      <c r="C593" s="118"/>
      <c r="D593" s="118"/>
      <c r="E593" s="118"/>
      <c r="F593" s="118"/>
      <c r="G593" s="118"/>
      <c r="H593" s="118"/>
      <c r="I593" s="118"/>
    </row>
    <row r="594" spans="2:9">
      <c r="B594" s="47"/>
      <c r="C594" s="118"/>
      <c r="D594" s="118"/>
      <c r="E594" s="118"/>
      <c r="F594" s="118"/>
      <c r="G594" s="118"/>
      <c r="H594" s="118"/>
      <c r="I594" s="118"/>
    </row>
    <row r="595" spans="2:9">
      <c r="B595" s="47"/>
      <c r="C595" s="118"/>
      <c r="D595" s="118"/>
      <c r="E595" s="118"/>
      <c r="F595" s="118"/>
      <c r="G595" s="118"/>
      <c r="H595" s="118"/>
      <c r="I595" s="118"/>
    </row>
    <row r="596" spans="2:9">
      <c r="B596" s="47"/>
      <c r="C596" s="118"/>
      <c r="D596" s="118"/>
      <c r="E596" s="118"/>
      <c r="F596" s="118"/>
      <c r="G596" s="118"/>
      <c r="H596" s="118"/>
      <c r="I596" s="118"/>
    </row>
    <row r="597" spans="2:9">
      <c r="B597" s="47"/>
      <c r="C597" s="118"/>
      <c r="D597" s="118"/>
      <c r="E597" s="118"/>
      <c r="F597" s="118"/>
      <c r="G597" s="118"/>
      <c r="H597" s="118"/>
      <c r="I597" s="118"/>
    </row>
    <row r="598" spans="2:9">
      <c r="B598" s="47"/>
      <c r="C598" s="118"/>
      <c r="D598" s="118"/>
      <c r="E598" s="118"/>
      <c r="F598" s="118"/>
      <c r="G598" s="118"/>
      <c r="H598" s="118"/>
      <c r="I598" s="118"/>
    </row>
    <row r="599" spans="2:9">
      <c r="B599" s="47"/>
      <c r="C599" s="118"/>
      <c r="D599" s="118"/>
      <c r="E599" s="118"/>
      <c r="F599" s="118"/>
      <c r="G599" s="118"/>
      <c r="H599" s="118"/>
      <c r="I599" s="118"/>
    </row>
    <row r="600" spans="2:9">
      <c r="B600" s="47"/>
      <c r="C600" s="118"/>
      <c r="D600" s="118"/>
      <c r="E600" s="118"/>
      <c r="F600" s="118"/>
      <c r="G600" s="118"/>
      <c r="H600" s="118"/>
      <c r="I600" s="118"/>
    </row>
    <row r="601" spans="2:9">
      <c r="B601" s="47"/>
      <c r="C601" s="118"/>
      <c r="D601" s="118"/>
      <c r="E601" s="118"/>
      <c r="F601" s="118"/>
      <c r="G601" s="118"/>
      <c r="H601" s="118"/>
      <c r="I601" s="118"/>
    </row>
    <row r="602" spans="2:9">
      <c r="B602" s="47"/>
      <c r="C602" s="118"/>
      <c r="D602" s="118"/>
      <c r="E602" s="118"/>
      <c r="F602" s="118"/>
      <c r="G602" s="118"/>
      <c r="H602" s="118"/>
      <c r="I602" s="118"/>
    </row>
    <row r="603" spans="2:9">
      <c r="B603" s="47"/>
      <c r="C603" s="118"/>
      <c r="D603" s="118"/>
      <c r="E603" s="118"/>
      <c r="F603" s="118"/>
      <c r="G603" s="118"/>
      <c r="H603" s="118"/>
      <c r="I603" s="118"/>
    </row>
    <row r="604" spans="2:9">
      <c r="B604" s="47"/>
      <c r="C604" s="118"/>
      <c r="D604" s="118"/>
      <c r="E604" s="118"/>
      <c r="F604" s="118"/>
      <c r="G604" s="118"/>
      <c r="H604" s="118"/>
      <c r="I604" s="118"/>
    </row>
    <row r="605" spans="2:9">
      <c r="B605" s="47"/>
      <c r="C605" s="118"/>
      <c r="D605" s="118"/>
      <c r="E605" s="118"/>
      <c r="F605" s="118"/>
      <c r="G605" s="118"/>
      <c r="H605" s="118"/>
      <c r="I605" s="118"/>
    </row>
    <row r="606" spans="2:9">
      <c r="B606" s="47"/>
      <c r="C606" s="118"/>
      <c r="D606" s="118"/>
      <c r="E606" s="118"/>
      <c r="F606" s="118"/>
      <c r="G606" s="118"/>
      <c r="H606" s="118"/>
      <c r="I606" s="118"/>
    </row>
    <row r="607" spans="2:9">
      <c r="B607" s="47"/>
      <c r="C607" s="118"/>
      <c r="D607" s="118"/>
      <c r="E607" s="118"/>
      <c r="F607" s="118"/>
      <c r="G607" s="118"/>
      <c r="H607" s="118"/>
      <c r="I607" s="118"/>
    </row>
    <row r="608" spans="2:9">
      <c r="B608" s="47"/>
      <c r="C608" s="118"/>
      <c r="D608" s="118"/>
      <c r="E608" s="118"/>
      <c r="F608" s="118"/>
      <c r="G608" s="118"/>
      <c r="H608" s="118"/>
      <c r="I608" s="118"/>
    </row>
    <row r="609" spans="2:9">
      <c r="B609" s="47"/>
      <c r="C609" s="118"/>
      <c r="D609" s="118"/>
      <c r="E609" s="118"/>
      <c r="F609" s="118"/>
      <c r="G609" s="118"/>
      <c r="H609" s="118"/>
      <c r="I609" s="118"/>
    </row>
    <row r="610" spans="2:9">
      <c r="B610" s="47"/>
      <c r="C610" s="118"/>
      <c r="D610" s="118"/>
      <c r="E610" s="118"/>
      <c r="F610" s="118"/>
      <c r="G610" s="118"/>
      <c r="H610" s="118"/>
      <c r="I610" s="118"/>
    </row>
    <row r="611" spans="2:9">
      <c r="B611" s="47"/>
      <c r="C611" s="118"/>
      <c r="D611" s="118"/>
      <c r="E611" s="118"/>
      <c r="F611" s="118"/>
      <c r="G611" s="118"/>
      <c r="H611" s="118"/>
      <c r="I611" s="118"/>
    </row>
    <row r="612" spans="2:9">
      <c r="B612" s="47"/>
      <c r="C612" s="118"/>
      <c r="D612" s="118"/>
      <c r="E612" s="118"/>
      <c r="F612" s="118"/>
      <c r="G612" s="118"/>
      <c r="H612" s="118"/>
      <c r="I612" s="118"/>
    </row>
    <row r="613" spans="2:9">
      <c r="B613" s="47"/>
      <c r="C613" s="118"/>
      <c r="D613" s="118"/>
      <c r="E613" s="118"/>
      <c r="F613" s="118"/>
      <c r="G613" s="118"/>
      <c r="H613" s="118"/>
      <c r="I613" s="118"/>
    </row>
    <row r="614" spans="2:9">
      <c r="B614" s="47"/>
      <c r="C614" s="118"/>
      <c r="D614" s="118"/>
      <c r="E614" s="118"/>
      <c r="F614" s="118"/>
      <c r="G614" s="118"/>
      <c r="H614" s="118"/>
      <c r="I614" s="118"/>
    </row>
    <row r="615" spans="2:9">
      <c r="B615" s="47"/>
      <c r="C615" s="118"/>
      <c r="D615" s="118"/>
      <c r="E615" s="118"/>
      <c r="F615" s="118"/>
      <c r="G615" s="118"/>
      <c r="H615" s="118"/>
      <c r="I615" s="118"/>
    </row>
    <row r="616" spans="2:9">
      <c r="B616" s="47"/>
      <c r="C616" s="118"/>
      <c r="D616" s="118"/>
      <c r="E616" s="118"/>
      <c r="F616" s="118"/>
      <c r="G616" s="118"/>
      <c r="H616" s="118"/>
      <c r="I616" s="118"/>
    </row>
    <row r="617" spans="2:9">
      <c r="B617" s="47"/>
      <c r="C617" s="118"/>
      <c r="D617" s="118"/>
      <c r="E617" s="118"/>
      <c r="F617" s="118"/>
      <c r="G617" s="118"/>
      <c r="H617" s="118"/>
      <c r="I617" s="118"/>
    </row>
    <row r="618" spans="2:9">
      <c r="B618" s="47"/>
      <c r="C618" s="118"/>
      <c r="D618" s="118"/>
      <c r="E618" s="118"/>
      <c r="F618" s="118"/>
      <c r="G618" s="118"/>
      <c r="H618" s="118"/>
      <c r="I618" s="118"/>
    </row>
    <row r="619" spans="2:9">
      <c r="B619" s="47"/>
      <c r="C619" s="118"/>
      <c r="D619" s="118"/>
      <c r="E619" s="118"/>
      <c r="F619" s="118"/>
      <c r="G619" s="118"/>
      <c r="H619" s="118"/>
      <c r="I619" s="118"/>
    </row>
    <row r="620" spans="2:9">
      <c r="B620" s="47"/>
      <c r="C620" s="118"/>
      <c r="D620" s="118"/>
      <c r="E620" s="118"/>
      <c r="F620" s="118"/>
      <c r="G620" s="118"/>
      <c r="H620" s="118"/>
      <c r="I620" s="118"/>
    </row>
    <row r="621" spans="2:9">
      <c r="B621" s="47"/>
      <c r="C621" s="118"/>
      <c r="D621" s="118"/>
      <c r="E621" s="118"/>
      <c r="F621" s="118"/>
      <c r="G621" s="118"/>
      <c r="H621" s="118"/>
      <c r="I621" s="118"/>
    </row>
    <row r="622" spans="2:9">
      <c r="B622" s="47"/>
      <c r="C622" s="118"/>
      <c r="D622" s="118"/>
      <c r="E622" s="118"/>
      <c r="F622" s="118"/>
      <c r="G622" s="118"/>
      <c r="H622" s="118"/>
      <c r="I622" s="118"/>
    </row>
    <row r="623" spans="2:9">
      <c r="B623" s="47"/>
      <c r="C623" s="118"/>
      <c r="D623" s="118"/>
      <c r="E623" s="118"/>
      <c r="F623" s="118"/>
      <c r="G623" s="118"/>
      <c r="H623" s="118"/>
      <c r="I623" s="118"/>
    </row>
    <row r="624" spans="2:9">
      <c r="B624" s="47"/>
      <c r="C624" s="118"/>
      <c r="D624" s="118"/>
      <c r="E624" s="118"/>
      <c r="F624" s="118"/>
      <c r="G624" s="118"/>
      <c r="H624" s="118"/>
      <c r="I624" s="118"/>
    </row>
    <row r="625" spans="2:9">
      <c r="B625" s="47"/>
      <c r="C625" s="118"/>
      <c r="D625" s="118"/>
      <c r="E625" s="118"/>
      <c r="F625" s="118"/>
      <c r="G625" s="118"/>
      <c r="H625" s="118"/>
      <c r="I625" s="118"/>
    </row>
    <row r="626" spans="2:9">
      <c r="B626" s="47"/>
      <c r="C626" s="118"/>
      <c r="D626" s="118"/>
      <c r="E626" s="118"/>
      <c r="F626" s="118"/>
      <c r="G626" s="118"/>
      <c r="H626" s="118"/>
      <c r="I626" s="118"/>
    </row>
    <row r="627" spans="2:9">
      <c r="B627" s="47"/>
      <c r="C627" s="118"/>
      <c r="D627" s="118"/>
      <c r="E627" s="118"/>
      <c r="F627" s="118"/>
      <c r="G627" s="118"/>
      <c r="H627" s="118"/>
      <c r="I627" s="118"/>
    </row>
    <row r="628" spans="2:9">
      <c r="B628" s="47"/>
      <c r="C628" s="118"/>
      <c r="D628" s="118"/>
      <c r="E628" s="118"/>
      <c r="F628" s="118"/>
      <c r="G628" s="118"/>
      <c r="H628" s="118"/>
      <c r="I628" s="118"/>
    </row>
    <row r="629" spans="2:9">
      <c r="B629" s="47"/>
      <c r="C629" s="118"/>
      <c r="D629" s="118"/>
      <c r="E629" s="118"/>
      <c r="F629" s="118"/>
      <c r="G629" s="118"/>
      <c r="H629" s="118"/>
      <c r="I629" s="118"/>
    </row>
    <row r="630" spans="2:9">
      <c r="B630" s="47"/>
      <c r="C630" s="118"/>
      <c r="D630" s="118"/>
      <c r="E630" s="118"/>
      <c r="F630" s="118"/>
      <c r="G630" s="118"/>
      <c r="H630" s="118"/>
      <c r="I630" s="118"/>
    </row>
    <row r="631" spans="2:9">
      <c r="B631" s="47"/>
      <c r="C631" s="118"/>
      <c r="D631" s="118"/>
      <c r="E631" s="118"/>
      <c r="F631" s="118"/>
      <c r="G631" s="118"/>
      <c r="H631" s="118"/>
      <c r="I631" s="118"/>
    </row>
    <row r="632" spans="2:9">
      <c r="B632" s="47"/>
      <c r="C632" s="118"/>
      <c r="D632" s="118"/>
      <c r="E632" s="118"/>
      <c r="F632" s="118"/>
      <c r="G632" s="118"/>
      <c r="H632" s="118"/>
      <c r="I632" s="118"/>
    </row>
    <row r="633" spans="2:9">
      <c r="B633" s="47"/>
      <c r="C633" s="118"/>
      <c r="D633" s="118"/>
      <c r="E633" s="118"/>
      <c r="F633" s="118"/>
      <c r="G633" s="118"/>
      <c r="H633" s="118"/>
      <c r="I633" s="118"/>
    </row>
    <row r="634" spans="2:9">
      <c r="B634" s="47"/>
      <c r="C634" s="118"/>
      <c r="D634" s="118"/>
      <c r="E634" s="118"/>
      <c r="F634" s="118"/>
      <c r="G634" s="118"/>
      <c r="H634" s="118"/>
      <c r="I634" s="118"/>
    </row>
    <row r="635" spans="2:9">
      <c r="B635" s="47"/>
      <c r="C635" s="118"/>
      <c r="D635" s="118"/>
      <c r="E635" s="118"/>
      <c r="F635" s="118"/>
      <c r="G635" s="118"/>
      <c r="H635" s="118"/>
      <c r="I635" s="118"/>
    </row>
    <row r="636" spans="2:9">
      <c r="B636" s="47"/>
      <c r="C636" s="118"/>
      <c r="D636" s="118"/>
      <c r="E636" s="118"/>
      <c r="F636" s="118"/>
      <c r="G636" s="118"/>
      <c r="H636" s="118"/>
      <c r="I636" s="118"/>
    </row>
    <row r="637" spans="2:9">
      <c r="B637" s="47"/>
      <c r="C637" s="118"/>
      <c r="D637" s="118"/>
      <c r="E637" s="118"/>
      <c r="F637" s="118"/>
      <c r="G637" s="118"/>
      <c r="H637" s="118"/>
      <c r="I637" s="118"/>
    </row>
    <row r="638" spans="2:9">
      <c r="B638" s="47"/>
      <c r="C638" s="118"/>
      <c r="D638" s="118"/>
      <c r="E638" s="118"/>
      <c r="F638" s="118"/>
      <c r="G638" s="118"/>
      <c r="H638" s="118"/>
      <c r="I638" s="118"/>
    </row>
    <row r="639" spans="2:9">
      <c r="B639" s="47"/>
      <c r="C639" s="118"/>
      <c r="D639" s="118"/>
      <c r="E639" s="118"/>
      <c r="F639" s="118"/>
      <c r="G639" s="118"/>
      <c r="H639" s="118"/>
      <c r="I639" s="118"/>
    </row>
    <row r="640" spans="2:9">
      <c r="B640" s="47"/>
      <c r="C640" s="118"/>
      <c r="D640" s="118"/>
      <c r="E640" s="118"/>
      <c r="F640" s="118"/>
      <c r="G640" s="118"/>
      <c r="H640" s="118"/>
      <c r="I640" s="118"/>
    </row>
    <row r="641" spans="2:9">
      <c r="B641" s="47"/>
      <c r="C641" s="118"/>
      <c r="D641" s="118"/>
      <c r="E641" s="118"/>
      <c r="F641" s="118"/>
      <c r="G641" s="118"/>
      <c r="H641" s="118"/>
      <c r="I641" s="118"/>
    </row>
    <row r="642" spans="2:9">
      <c r="B642" s="47"/>
      <c r="C642" s="118"/>
      <c r="D642" s="118"/>
      <c r="E642" s="118"/>
      <c r="F642" s="118"/>
      <c r="G642" s="118"/>
      <c r="H642" s="118"/>
      <c r="I642" s="118"/>
    </row>
    <row r="643" spans="2:9">
      <c r="B643" s="47"/>
      <c r="C643" s="118"/>
      <c r="D643" s="118"/>
      <c r="E643" s="118"/>
      <c r="F643" s="118"/>
      <c r="G643" s="118"/>
      <c r="H643" s="118"/>
      <c r="I643" s="118"/>
    </row>
    <row r="644" spans="2:9">
      <c r="B644" s="47"/>
      <c r="C644" s="118"/>
      <c r="D644" s="118"/>
      <c r="E644" s="118"/>
      <c r="F644" s="118"/>
      <c r="G644" s="118"/>
      <c r="H644" s="118"/>
      <c r="I644" s="118"/>
    </row>
    <row r="645" spans="2:9">
      <c r="B645" s="47"/>
      <c r="C645" s="118"/>
      <c r="D645" s="118"/>
      <c r="E645" s="118"/>
      <c r="F645" s="118"/>
      <c r="G645" s="118"/>
      <c r="H645" s="118"/>
      <c r="I645" s="118"/>
    </row>
    <row r="646" spans="2:9">
      <c r="B646" s="47"/>
      <c r="C646" s="118"/>
      <c r="D646" s="118"/>
      <c r="E646" s="118"/>
      <c r="F646" s="118"/>
      <c r="G646" s="118"/>
      <c r="H646" s="118"/>
      <c r="I646" s="118"/>
    </row>
    <row r="647" spans="2:9">
      <c r="B647" s="47"/>
      <c r="C647" s="118"/>
      <c r="D647" s="118"/>
      <c r="E647" s="118"/>
      <c r="F647" s="118"/>
      <c r="G647" s="118"/>
      <c r="H647" s="118"/>
      <c r="I647" s="118"/>
    </row>
    <row r="648" spans="2:9">
      <c r="B648" s="47"/>
      <c r="C648" s="118"/>
      <c r="D648" s="118"/>
      <c r="E648" s="118"/>
      <c r="F648" s="118"/>
      <c r="G648" s="118"/>
      <c r="H648" s="118"/>
      <c r="I648" s="118"/>
    </row>
    <row r="649" spans="2:9">
      <c r="B649" s="47"/>
      <c r="C649" s="118"/>
      <c r="D649" s="118"/>
      <c r="E649" s="118"/>
      <c r="F649" s="118"/>
      <c r="G649" s="118"/>
      <c r="H649" s="118"/>
      <c r="I649" s="118"/>
    </row>
    <row r="650" spans="2:9">
      <c r="B650" s="47"/>
      <c r="C650" s="118"/>
      <c r="D650" s="118"/>
      <c r="E650" s="118"/>
      <c r="F650" s="118"/>
      <c r="G650" s="118"/>
      <c r="H650" s="118"/>
      <c r="I650" s="118"/>
    </row>
    <row r="651" spans="2:9">
      <c r="B651" s="47"/>
      <c r="C651" s="118"/>
      <c r="D651" s="118"/>
      <c r="E651" s="118"/>
      <c r="F651" s="118"/>
      <c r="G651" s="118"/>
      <c r="H651" s="118"/>
      <c r="I651" s="118"/>
    </row>
    <row r="652" spans="2:9">
      <c r="B652" s="47"/>
      <c r="C652" s="118"/>
      <c r="D652" s="118"/>
      <c r="E652" s="118"/>
      <c r="F652" s="118"/>
      <c r="G652" s="118"/>
      <c r="H652" s="118"/>
      <c r="I652" s="118"/>
    </row>
    <row r="653" spans="2:9">
      <c r="B653" s="47"/>
      <c r="C653" s="118"/>
      <c r="D653" s="118"/>
      <c r="E653" s="118"/>
      <c r="F653" s="118"/>
      <c r="G653" s="118"/>
      <c r="H653" s="118"/>
      <c r="I653" s="118"/>
    </row>
    <row r="654" spans="2:9">
      <c r="B654" s="47"/>
      <c r="C654" s="118"/>
      <c r="D654" s="118"/>
      <c r="E654" s="118"/>
      <c r="F654" s="118"/>
      <c r="G654" s="118"/>
      <c r="H654" s="118"/>
      <c r="I654" s="118"/>
    </row>
    <row r="655" spans="2:9">
      <c r="B655" s="47"/>
      <c r="C655" s="118"/>
      <c r="D655" s="118"/>
      <c r="E655" s="118"/>
      <c r="F655" s="118"/>
      <c r="G655" s="118"/>
      <c r="H655" s="118"/>
      <c r="I655" s="118"/>
    </row>
    <row r="656" spans="2:9">
      <c r="B656" s="47"/>
      <c r="C656" s="118"/>
      <c r="D656" s="118"/>
      <c r="E656" s="118"/>
      <c r="F656" s="118"/>
      <c r="G656" s="118"/>
      <c r="H656" s="118"/>
      <c r="I656" s="118"/>
    </row>
    <row r="657" spans="2:9">
      <c r="B657" s="47"/>
      <c r="C657" s="118"/>
      <c r="D657" s="118"/>
      <c r="E657" s="118"/>
      <c r="F657" s="118"/>
      <c r="G657" s="118"/>
      <c r="H657" s="118"/>
      <c r="I657" s="118"/>
    </row>
    <row r="658" spans="2:9">
      <c r="B658" s="47"/>
      <c r="C658" s="118"/>
      <c r="D658" s="118"/>
      <c r="E658" s="118"/>
      <c r="F658" s="118"/>
      <c r="G658" s="118"/>
      <c r="H658" s="118"/>
      <c r="I658" s="118"/>
    </row>
    <row r="659" spans="2:9">
      <c r="B659" s="47"/>
      <c r="C659" s="118"/>
      <c r="D659" s="118"/>
      <c r="E659" s="118"/>
      <c r="F659" s="118"/>
      <c r="G659" s="118"/>
      <c r="H659" s="118"/>
      <c r="I659" s="118"/>
    </row>
    <row r="660" spans="2:9">
      <c r="B660" s="47"/>
      <c r="C660" s="118"/>
      <c r="D660" s="118"/>
      <c r="E660" s="118"/>
      <c r="F660" s="118"/>
      <c r="G660" s="118"/>
      <c r="H660" s="118"/>
      <c r="I660" s="118"/>
    </row>
    <row r="661" spans="2:9">
      <c r="B661" s="47"/>
      <c r="C661" s="118"/>
      <c r="D661" s="118"/>
      <c r="E661" s="118"/>
      <c r="F661" s="118"/>
      <c r="G661" s="118"/>
      <c r="H661" s="118"/>
      <c r="I661" s="118"/>
    </row>
    <row r="662" spans="2:9">
      <c r="B662" s="47"/>
      <c r="C662" s="118"/>
      <c r="D662" s="118"/>
      <c r="E662" s="118"/>
      <c r="F662" s="118"/>
      <c r="G662" s="118"/>
      <c r="H662" s="118"/>
      <c r="I662" s="118"/>
    </row>
    <row r="663" spans="2:9">
      <c r="B663" s="47"/>
      <c r="C663" s="118"/>
      <c r="D663" s="118"/>
      <c r="E663" s="118"/>
      <c r="F663" s="118"/>
      <c r="G663" s="118"/>
      <c r="H663" s="118"/>
      <c r="I663" s="118"/>
    </row>
    <row r="664" spans="2:9">
      <c r="B664" s="47"/>
      <c r="C664" s="118"/>
      <c r="D664" s="118"/>
      <c r="E664" s="118"/>
      <c r="F664" s="118"/>
      <c r="G664" s="118"/>
      <c r="H664" s="118"/>
      <c r="I664" s="118"/>
    </row>
    <row r="665" spans="2:9">
      <c r="B665" s="47"/>
      <c r="C665" s="118"/>
      <c r="D665" s="118"/>
      <c r="E665" s="118"/>
      <c r="F665" s="118"/>
      <c r="G665" s="118"/>
      <c r="H665" s="118"/>
      <c r="I665" s="118"/>
    </row>
    <row r="666" spans="2:9">
      <c r="B666" s="47"/>
      <c r="C666" s="118"/>
      <c r="D666" s="118"/>
      <c r="E666" s="118"/>
      <c r="F666" s="118"/>
      <c r="G666" s="118"/>
      <c r="H666" s="118"/>
      <c r="I666" s="118"/>
    </row>
    <row r="667" spans="2:9">
      <c r="B667" s="47"/>
      <c r="C667" s="118"/>
      <c r="D667" s="118"/>
      <c r="E667" s="118"/>
      <c r="F667" s="118"/>
      <c r="G667" s="118"/>
      <c r="H667" s="118"/>
      <c r="I667" s="118"/>
    </row>
    <row r="668" spans="2:9">
      <c r="B668" s="47"/>
      <c r="C668" s="118"/>
      <c r="D668" s="118"/>
      <c r="E668" s="118"/>
      <c r="F668" s="118"/>
      <c r="G668" s="118"/>
      <c r="H668" s="118"/>
      <c r="I668" s="118"/>
    </row>
    <row r="669" spans="2:9">
      <c r="B669" s="47"/>
      <c r="C669" s="118"/>
      <c r="D669" s="118"/>
      <c r="E669" s="118"/>
      <c r="F669" s="118"/>
      <c r="G669" s="118"/>
      <c r="H669" s="118"/>
      <c r="I669" s="118"/>
    </row>
    <row r="670" spans="2:9">
      <c r="B670" s="47"/>
      <c r="C670" s="118"/>
      <c r="D670" s="118"/>
      <c r="E670" s="118"/>
      <c r="F670" s="118"/>
      <c r="G670" s="118"/>
      <c r="H670" s="118"/>
      <c r="I670" s="118"/>
    </row>
    <row r="671" spans="2:9">
      <c r="B671" s="47"/>
      <c r="C671" s="118"/>
      <c r="D671" s="118"/>
      <c r="E671" s="118"/>
      <c r="F671" s="118"/>
      <c r="G671" s="118"/>
      <c r="H671" s="118"/>
      <c r="I671" s="118"/>
    </row>
    <row r="672" spans="2:9">
      <c r="B672" s="47"/>
      <c r="C672" s="118"/>
      <c r="D672" s="118"/>
      <c r="E672" s="118"/>
      <c r="F672" s="118"/>
      <c r="G672" s="118"/>
      <c r="H672" s="118"/>
      <c r="I672" s="118"/>
    </row>
    <row r="673" spans="2:9">
      <c r="B673" s="47"/>
      <c r="C673" s="118"/>
      <c r="D673" s="118"/>
      <c r="E673" s="118"/>
      <c r="F673" s="118"/>
      <c r="G673" s="118"/>
      <c r="H673" s="118"/>
      <c r="I673" s="118"/>
    </row>
    <row r="674" spans="2:9">
      <c r="B674" s="47"/>
      <c r="C674" s="118"/>
      <c r="D674" s="118"/>
      <c r="E674" s="118"/>
      <c r="F674" s="118"/>
      <c r="G674" s="118"/>
      <c r="H674" s="118"/>
      <c r="I674" s="118"/>
    </row>
    <row r="675" spans="2:9">
      <c r="B675" s="47"/>
      <c r="C675" s="118"/>
      <c r="D675" s="118"/>
      <c r="E675" s="118"/>
      <c r="F675" s="118"/>
      <c r="G675" s="118"/>
      <c r="H675" s="118"/>
      <c r="I675" s="118"/>
    </row>
    <row r="676" spans="2:9">
      <c r="B676" s="47"/>
      <c r="C676" s="118"/>
      <c r="D676" s="118"/>
      <c r="E676" s="118"/>
      <c r="F676" s="118"/>
      <c r="G676" s="118"/>
      <c r="H676" s="118"/>
      <c r="I676" s="118"/>
    </row>
    <row r="677" spans="2:9">
      <c r="B677" s="47"/>
      <c r="C677" s="118"/>
      <c r="D677" s="118"/>
      <c r="E677" s="118"/>
      <c r="F677" s="118"/>
      <c r="G677" s="118"/>
      <c r="H677" s="118"/>
      <c r="I677" s="118"/>
    </row>
    <row r="678" spans="2:9">
      <c r="B678" s="47"/>
      <c r="C678" s="118"/>
      <c r="D678" s="118"/>
      <c r="E678" s="118"/>
      <c r="F678" s="118"/>
      <c r="G678" s="118"/>
      <c r="H678" s="118"/>
      <c r="I678" s="118"/>
    </row>
    <row r="679" spans="2:9">
      <c r="B679" s="47"/>
      <c r="C679" s="118"/>
      <c r="D679" s="118"/>
      <c r="E679" s="118"/>
      <c r="F679" s="118"/>
      <c r="G679" s="118"/>
      <c r="H679" s="118"/>
      <c r="I679" s="118"/>
    </row>
    <row r="680" spans="2:9">
      <c r="B680" s="47"/>
      <c r="C680" s="118"/>
      <c r="D680" s="118"/>
      <c r="E680" s="118"/>
      <c r="F680" s="118"/>
      <c r="G680" s="118"/>
      <c r="H680" s="118"/>
      <c r="I680" s="118"/>
    </row>
    <row r="681" spans="2:9">
      <c r="B681" s="47"/>
      <c r="C681" s="118"/>
      <c r="D681" s="118"/>
      <c r="E681" s="118"/>
      <c r="F681" s="118"/>
      <c r="G681" s="118"/>
      <c r="H681" s="118"/>
      <c r="I681" s="118"/>
    </row>
    <row r="682" spans="2:9">
      <c r="B682" s="47"/>
      <c r="C682" s="118"/>
      <c r="D682" s="118"/>
      <c r="E682" s="118"/>
      <c r="F682" s="118"/>
      <c r="G682" s="118"/>
      <c r="H682" s="118"/>
      <c r="I682" s="118"/>
    </row>
    <row r="683" spans="2:9">
      <c r="B683" s="47"/>
      <c r="C683" s="118"/>
      <c r="D683" s="118"/>
      <c r="E683" s="118"/>
      <c r="F683" s="118"/>
      <c r="G683" s="118"/>
      <c r="H683" s="118"/>
      <c r="I683" s="118"/>
    </row>
    <row r="684" spans="2:9">
      <c r="B684" s="47"/>
      <c r="C684" s="118"/>
      <c r="D684" s="118"/>
      <c r="E684" s="118"/>
      <c r="F684" s="118"/>
      <c r="G684" s="118"/>
      <c r="H684" s="118"/>
      <c r="I684" s="118"/>
    </row>
    <row r="685" spans="2:9">
      <c r="B685" s="47"/>
      <c r="C685" s="118"/>
      <c r="D685" s="118"/>
      <c r="E685" s="118"/>
      <c r="F685" s="118"/>
      <c r="G685" s="118"/>
      <c r="H685" s="118"/>
      <c r="I685" s="118"/>
    </row>
    <row r="686" spans="2:9">
      <c r="B686" s="47"/>
      <c r="C686" s="118"/>
      <c r="D686" s="118"/>
      <c r="E686" s="118"/>
      <c r="F686" s="118"/>
      <c r="G686" s="118"/>
      <c r="H686" s="118"/>
      <c r="I686" s="118"/>
    </row>
    <row r="687" spans="2:9">
      <c r="B687" s="47"/>
      <c r="C687" s="118"/>
      <c r="D687" s="118"/>
      <c r="E687" s="118"/>
      <c r="F687" s="118"/>
      <c r="G687" s="118"/>
      <c r="H687" s="118"/>
      <c r="I687" s="118"/>
    </row>
    <row r="688" spans="2:9">
      <c r="B688" s="47"/>
      <c r="C688" s="118"/>
      <c r="D688" s="118"/>
      <c r="E688" s="118"/>
      <c r="F688" s="118"/>
      <c r="G688" s="118"/>
      <c r="H688" s="118"/>
      <c r="I688" s="118"/>
    </row>
    <row r="689" spans="2:9">
      <c r="B689" s="47"/>
      <c r="C689" s="118"/>
      <c r="D689" s="118"/>
      <c r="E689" s="118"/>
      <c r="F689" s="118"/>
      <c r="G689" s="118"/>
      <c r="H689" s="118"/>
      <c r="I689" s="118"/>
    </row>
    <row r="690" spans="2:9">
      <c r="B690" s="47"/>
      <c r="C690" s="118"/>
      <c r="D690" s="118"/>
      <c r="E690" s="118"/>
      <c r="F690" s="118"/>
      <c r="G690" s="118"/>
      <c r="H690" s="118"/>
      <c r="I690" s="118"/>
    </row>
    <row r="691" spans="2:9">
      <c r="B691" s="47"/>
      <c r="C691" s="118"/>
      <c r="D691" s="118"/>
      <c r="E691" s="118"/>
      <c r="F691" s="118"/>
      <c r="G691" s="118"/>
      <c r="H691" s="118"/>
      <c r="I691" s="118"/>
    </row>
    <row r="692" spans="2:9">
      <c r="B692" s="47"/>
      <c r="C692" s="118"/>
      <c r="D692" s="118"/>
      <c r="E692" s="118"/>
      <c r="F692" s="118"/>
      <c r="G692" s="118"/>
      <c r="H692" s="118"/>
      <c r="I692" s="118"/>
    </row>
    <row r="693" spans="2:9">
      <c r="B693" s="47"/>
      <c r="C693" s="118"/>
      <c r="D693" s="118"/>
      <c r="E693" s="118"/>
      <c r="F693" s="118"/>
      <c r="G693" s="118"/>
      <c r="H693" s="118"/>
      <c r="I693" s="118"/>
    </row>
    <row r="694" spans="2:9">
      <c r="B694" s="47"/>
      <c r="C694" s="118"/>
      <c r="D694" s="118"/>
      <c r="E694" s="118"/>
      <c r="F694" s="118"/>
      <c r="G694" s="118"/>
      <c r="H694" s="118"/>
      <c r="I694" s="118"/>
    </row>
    <row r="695" spans="2:9">
      <c r="B695" s="47"/>
      <c r="C695" s="118"/>
      <c r="D695" s="118"/>
      <c r="E695" s="118"/>
      <c r="F695" s="118"/>
      <c r="G695" s="118"/>
      <c r="H695" s="118"/>
      <c r="I695" s="118"/>
    </row>
    <row r="696" spans="2:9">
      <c r="B696" s="47"/>
      <c r="C696" s="118"/>
      <c r="D696" s="118"/>
      <c r="E696" s="118"/>
      <c r="F696" s="118"/>
      <c r="G696" s="118"/>
      <c r="H696" s="118"/>
      <c r="I696" s="118"/>
    </row>
    <row r="697" spans="2:9">
      <c r="B697" s="47"/>
      <c r="C697" s="118"/>
      <c r="D697" s="118"/>
      <c r="E697" s="118"/>
      <c r="F697" s="118"/>
      <c r="G697" s="118"/>
      <c r="H697" s="118"/>
      <c r="I697" s="118"/>
    </row>
    <row r="698" spans="2:9">
      <c r="B698" s="47"/>
      <c r="C698" s="118"/>
      <c r="D698" s="118"/>
      <c r="E698" s="118"/>
      <c r="F698" s="118"/>
      <c r="G698" s="118"/>
      <c r="H698" s="118"/>
      <c r="I698" s="118"/>
    </row>
    <row r="699" spans="2:9">
      <c r="B699" s="47"/>
      <c r="C699" s="118"/>
      <c r="D699" s="118"/>
      <c r="E699" s="118"/>
      <c r="F699" s="118"/>
      <c r="G699" s="118"/>
      <c r="H699" s="118"/>
      <c r="I699" s="118"/>
    </row>
    <row r="700" spans="2:9">
      <c r="B700" s="47"/>
      <c r="C700" s="118"/>
      <c r="D700" s="118"/>
      <c r="E700" s="118"/>
      <c r="F700" s="118"/>
      <c r="G700" s="118"/>
      <c r="H700" s="118"/>
      <c r="I700" s="118"/>
    </row>
    <row r="701" spans="2:9">
      <c r="B701" s="47"/>
      <c r="C701" s="118"/>
      <c r="D701" s="118"/>
      <c r="E701" s="118"/>
      <c r="F701" s="118"/>
      <c r="G701" s="118"/>
      <c r="H701" s="118"/>
      <c r="I701" s="118"/>
    </row>
    <row r="702" spans="2:9">
      <c r="B702" s="47"/>
      <c r="C702" s="118"/>
      <c r="D702" s="118"/>
      <c r="E702" s="118"/>
      <c r="F702" s="118"/>
      <c r="G702" s="118"/>
      <c r="H702" s="118"/>
      <c r="I702" s="118"/>
    </row>
    <row r="703" spans="2:9">
      <c r="B703" s="47"/>
      <c r="C703" s="118"/>
      <c r="D703" s="118"/>
      <c r="E703" s="118"/>
      <c r="F703" s="118"/>
      <c r="G703" s="118"/>
      <c r="H703" s="118"/>
      <c r="I703" s="118"/>
    </row>
    <row r="704" spans="2:9">
      <c r="B704" s="47"/>
      <c r="C704" s="118"/>
      <c r="D704" s="118"/>
      <c r="E704" s="118"/>
      <c r="F704" s="118"/>
      <c r="G704" s="118"/>
      <c r="H704" s="118"/>
      <c r="I704" s="118"/>
    </row>
    <row r="705" spans="2:9">
      <c r="B705" s="47"/>
      <c r="C705" s="118"/>
      <c r="D705" s="118"/>
      <c r="E705" s="118"/>
      <c r="F705" s="118"/>
      <c r="G705" s="118"/>
      <c r="H705" s="118"/>
      <c r="I705" s="118"/>
    </row>
    <row r="706" spans="2:9">
      <c r="B706" s="47"/>
      <c r="C706" s="118"/>
      <c r="D706" s="118"/>
      <c r="E706" s="118"/>
      <c r="F706" s="118"/>
      <c r="G706" s="118"/>
      <c r="H706" s="118"/>
      <c r="I706" s="118"/>
    </row>
    <row r="707" spans="2:9">
      <c r="B707" s="47"/>
      <c r="C707" s="118"/>
      <c r="D707" s="118"/>
      <c r="E707" s="118"/>
      <c r="F707" s="118"/>
      <c r="G707" s="118"/>
      <c r="H707" s="118"/>
      <c r="I707" s="118"/>
    </row>
    <row r="708" spans="2:9">
      <c r="B708" s="47"/>
      <c r="C708" s="118"/>
      <c r="D708" s="118"/>
      <c r="E708" s="118"/>
      <c r="F708" s="118"/>
      <c r="G708" s="118"/>
      <c r="H708" s="118"/>
      <c r="I708" s="118"/>
    </row>
    <row r="709" spans="2:9">
      <c r="B709" s="47"/>
      <c r="C709" s="118"/>
      <c r="D709" s="118"/>
      <c r="E709" s="118"/>
      <c r="F709" s="118"/>
      <c r="G709" s="118"/>
      <c r="H709" s="118"/>
      <c r="I709" s="118"/>
    </row>
    <row r="710" spans="2:9">
      <c r="B710" s="47"/>
      <c r="C710" s="118"/>
      <c r="D710" s="118"/>
      <c r="E710" s="118"/>
      <c r="F710" s="118"/>
      <c r="G710" s="118"/>
      <c r="H710" s="118"/>
      <c r="I710" s="118"/>
    </row>
    <row r="711" spans="2:9">
      <c r="B711" s="47"/>
      <c r="C711" s="118"/>
      <c r="D711" s="118"/>
      <c r="E711" s="118"/>
      <c r="F711" s="118"/>
      <c r="G711" s="118"/>
      <c r="H711" s="118"/>
      <c r="I711" s="118"/>
    </row>
    <row r="712" spans="2:9">
      <c r="B712" s="47"/>
      <c r="C712" s="118"/>
      <c r="D712" s="118"/>
      <c r="E712" s="118"/>
      <c r="F712" s="118"/>
      <c r="G712" s="118"/>
      <c r="H712" s="118"/>
      <c r="I712" s="118"/>
    </row>
    <row r="713" spans="2:9">
      <c r="B713" s="47"/>
      <c r="C713" s="118"/>
      <c r="D713" s="118"/>
      <c r="E713" s="118"/>
      <c r="F713" s="118"/>
      <c r="G713" s="118"/>
      <c r="H713" s="118"/>
      <c r="I713" s="118"/>
    </row>
    <row r="714" spans="2:9">
      <c r="B714" s="47"/>
      <c r="C714" s="118"/>
      <c r="D714" s="118"/>
      <c r="E714" s="118"/>
      <c r="F714" s="118"/>
      <c r="G714" s="118"/>
      <c r="H714" s="118"/>
      <c r="I714" s="118"/>
    </row>
    <row r="715" spans="2:9">
      <c r="B715" s="47"/>
      <c r="C715" s="118"/>
      <c r="D715" s="118"/>
      <c r="E715" s="118"/>
      <c r="F715" s="118"/>
      <c r="G715" s="118"/>
      <c r="H715" s="118"/>
      <c r="I715" s="118"/>
    </row>
    <row r="716" spans="2:9">
      <c r="B716" s="47"/>
      <c r="C716" s="118"/>
      <c r="D716" s="118"/>
      <c r="E716" s="118"/>
      <c r="F716" s="118"/>
      <c r="G716" s="118"/>
      <c r="H716" s="118"/>
      <c r="I716" s="118"/>
    </row>
    <row r="717" spans="2:9">
      <c r="B717" s="47"/>
      <c r="C717" s="118"/>
      <c r="D717" s="118"/>
      <c r="E717" s="118"/>
      <c r="F717" s="118"/>
      <c r="G717" s="118"/>
      <c r="H717" s="118"/>
      <c r="I717" s="118"/>
    </row>
    <row r="718" spans="2:9">
      <c r="B718" s="47"/>
      <c r="C718" s="118"/>
      <c r="D718" s="118"/>
      <c r="E718" s="118"/>
      <c r="F718" s="118"/>
      <c r="G718" s="118"/>
      <c r="H718" s="118"/>
      <c r="I718" s="118"/>
    </row>
    <row r="719" spans="2:9">
      <c r="B719" s="47"/>
      <c r="C719" s="118"/>
      <c r="D719" s="118"/>
      <c r="E719" s="118"/>
      <c r="F719" s="118"/>
      <c r="G719" s="118"/>
      <c r="H719" s="118"/>
      <c r="I719" s="118"/>
    </row>
    <row r="720" spans="2:9">
      <c r="B720" s="47"/>
      <c r="C720" s="118"/>
      <c r="D720" s="118"/>
      <c r="E720" s="118"/>
      <c r="F720" s="118"/>
      <c r="G720" s="118"/>
      <c r="H720" s="118"/>
      <c r="I720" s="118"/>
    </row>
    <row r="721" spans="2:9">
      <c r="B721" s="47"/>
      <c r="C721" s="118"/>
      <c r="D721" s="118"/>
      <c r="E721" s="118"/>
      <c r="F721" s="118"/>
      <c r="G721" s="118"/>
      <c r="H721" s="118"/>
      <c r="I721" s="118"/>
    </row>
    <row r="722" spans="2:9">
      <c r="B722" s="47"/>
      <c r="C722" s="118"/>
      <c r="D722" s="118"/>
      <c r="E722" s="118"/>
      <c r="F722" s="118"/>
      <c r="G722" s="118"/>
      <c r="H722" s="118"/>
      <c r="I722" s="118"/>
    </row>
    <row r="723" spans="2:9">
      <c r="B723" s="47"/>
      <c r="C723" s="118"/>
      <c r="D723" s="118"/>
      <c r="E723" s="118"/>
      <c r="F723" s="118"/>
      <c r="G723" s="118"/>
      <c r="H723" s="118"/>
      <c r="I723" s="118"/>
    </row>
    <row r="724" spans="2:9">
      <c r="B724" s="47"/>
      <c r="C724" s="118"/>
      <c r="D724" s="118"/>
      <c r="E724" s="118"/>
      <c r="F724" s="118"/>
      <c r="G724" s="118"/>
      <c r="H724" s="118"/>
      <c r="I724" s="118"/>
    </row>
    <row r="725" spans="2:9">
      <c r="B725" s="47"/>
      <c r="C725" s="118"/>
      <c r="D725" s="118"/>
      <c r="E725" s="118"/>
      <c r="F725" s="118"/>
      <c r="G725" s="118"/>
      <c r="H725" s="118"/>
      <c r="I725" s="118"/>
    </row>
    <row r="726" spans="2:9">
      <c r="B726" s="47"/>
      <c r="C726" s="118"/>
      <c r="D726" s="118"/>
      <c r="E726" s="118"/>
      <c r="F726" s="118"/>
      <c r="G726" s="118"/>
      <c r="H726" s="118"/>
      <c r="I726" s="118"/>
    </row>
    <row r="727" spans="2:9">
      <c r="B727" s="47"/>
      <c r="C727" s="118"/>
      <c r="D727" s="118"/>
      <c r="E727" s="118"/>
      <c r="F727" s="118"/>
      <c r="G727" s="118"/>
      <c r="H727" s="118"/>
      <c r="I727" s="118"/>
    </row>
    <row r="728" spans="2:9">
      <c r="B728" s="47"/>
      <c r="C728" s="118"/>
      <c r="D728" s="118"/>
      <c r="E728" s="118"/>
      <c r="F728" s="118"/>
      <c r="G728" s="118"/>
      <c r="H728" s="118"/>
      <c r="I728" s="118"/>
    </row>
    <row r="729" spans="2:9">
      <c r="B729" s="47"/>
      <c r="C729" s="118"/>
      <c r="D729" s="118"/>
      <c r="E729" s="118"/>
      <c r="F729" s="118"/>
      <c r="G729" s="118"/>
      <c r="H729" s="118"/>
      <c r="I729" s="118"/>
    </row>
    <row r="730" spans="2:9">
      <c r="B730" s="47"/>
      <c r="C730" s="118"/>
      <c r="D730" s="118"/>
      <c r="E730" s="118"/>
      <c r="F730" s="118"/>
      <c r="G730" s="118"/>
      <c r="H730" s="118"/>
      <c r="I730" s="118"/>
    </row>
    <row r="731" spans="2:9">
      <c r="B731" s="47"/>
      <c r="C731" s="118"/>
      <c r="D731" s="118"/>
      <c r="E731" s="118"/>
      <c r="F731" s="118"/>
      <c r="G731" s="118"/>
      <c r="H731" s="118"/>
      <c r="I731" s="118"/>
    </row>
    <row r="732" spans="2:9">
      <c r="B732" s="47"/>
      <c r="C732" s="118"/>
      <c r="D732" s="118"/>
      <c r="E732" s="118"/>
      <c r="F732" s="118"/>
      <c r="G732" s="118"/>
      <c r="H732" s="118"/>
      <c r="I732" s="118"/>
    </row>
    <row r="733" spans="2:9">
      <c r="B733" s="47"/>
      <c r="C733" s="118"/>
      <c r="D733" s="118"/>
      <c r="E733" s="118"/>
      <c r="F733" s="118"/>
      <c r="G733" s="118"/>
      <c r="H733" s="118"/>
      <c r="I733" s="118"/>
    </row>
    <row r="734" spans="2:9">
      <c r="B734" s="47"/>
      <c r="C734" s="118"/>
      <c r="D734" s="118"/>
      <c r="E734" s="118"/>
      <c r="F734" s="118"/>
      <c r="G734" s="118"/>
      <c r="H734" s="118"/>
      <c r="I734" s="118"/>
    </row>
    <row r="735" spans="2:9">
      <c r="B735" s="47"/>
      <c r="C735" s="118"/>
      <c r="D735" s="118"/>
      <c r="E735" s="118"/>
      <c r="F735" s="118"/>
      <c r="G735" s="118"/>
      <c r="H735" s="118"/>
      <c r="I735" s="118"/>
    </row>
    <row r="736" spans="2:9">
      <c r="B736" s="47"/>
      <c r="C736" s="118"/>
      <c r="D736" s="118"/>
      <c r="E736" s="118"/>
      <c r="F736" s="118"/>
      <c r="G736" s="118"/>
      <c r="H736" s="118"/>
      <c r="I736" s="118"/>
    </row>
    <row r="737" spans="2:9">
      <c r="B737" s="47"/>
      <c r="C737" s="118"/>
      <c r="D737" s="118"/>
      <c r="E737" s="118"/>
      <c r="F737" s="118"/>
      <c r="G737" s="118"/>
      <c r="H737" s="118"/>
      <c r="I737" s="118"/>
    </row>
    <row r="738" spans="2:9">
      <c r="B738" s="47"/>
      <c r="C738" s="118"/>
      <c r="D738" s="118"/>
      <c r="E738" s="118"/>
      <c r="F738" s="118"/>
      <c r="G738" s="118"/>
      <c r="H738" s="118"/>
      <c r="I738" s="118"/>
    </row>
    <row r="739" spans="2:9">
      <c r="B739" s="47"/>
      <c r="C739" s="118"/>
      <c r="D739" s="118"/>
      <c r="E739" s="118"/>
      <c r="F739" s="118"/>
      <c r="G739" s="118"/>
      <c r="H739" s="118"/>
      <c r="I739" s="118"/>
    </row>
    <row r="740" spans="2:9">
      <c r="B740" s="47"/>
      <c r="C740" s="118"/>
      <c r="D740" s="118"/>
      <c r="E740" s="118"/>
      <c r="F740" s="118"/>
      <c r="G740" s="118"/>
      <c r="H740" s="118"/>
      <c r="I740" s="118"/>
    </row>
    <row r="741" spans="2:9">
      <c r="B741" s="47"/>
      <c r="C741" s="118"/>
      <c r="D741" s="118"/>
      <c r="E741" s="118"/>
      <c r="F741" s="118"/>
      <c r="G741" s="118"/>
      <c r="H741" s="118"/>
      <c r="I741" s="118"/>
    </row>
    <row r="742" spans="2:9">
      <c r="B742" s="47"/>
      <c r="C742" s="118"/>
      <c r="D742" s="118"/>
      <c r="E742" s="118"/>
      <c r="F742" s="118"/>
      <c r="G742" s="118"/>
      <c r="H742" s="118"/>
      <c r="I742" s="118"/>
    </row>
    <row r="743" spans="2:9">
      <c r="B743" s="47"/>
      <c r="C743" s="118"/>
      <c r="D743" s="118"/>
      <c r="E743" s="118"/>
      <c r="F743" s="118"/>
      <c r="G743" s="118"/>
      <c r="H743" s="118"/>
      <c r="I743" s="118"/>
    </row>
    <row r="744" spans="2:9">
      <c r="B744" s="47"/>
      <c r="C744" s="118"/>
      <c r="D744" s="118"/>
      <c r="E744" s="118"/>
      <c r="F744" s="118"/>
      <c r="G744" s="118"/>
      <c r="H744" s="118"/>
      <c r="I744" s="118"/>
    </row>
    <row r="745" spans="2:9">
      <c r="B745" s="47"/>
      <c r="C745" s="118"/>
      <c r="D745" s="118"/>
      <c r="E745" s="118"/>
      <c r="F745" s="118"/>
      <c r="G745" s="118"/>
      <c r="H745" s="118"/>
      <c r="I745" s="118"/>
    </row>
    <row r="746" spans="2:9">
      <c r="B746" s="47"/>
      <c r="C746" s="118"/>
      <c r="D746" s="118"/>
      <c r="E746" s="118"/>
      <c r="F746" s="118"/>
      <c r="G746" s="118"/>
      <c r="H746" s="118"/>
      <c r="I746" s="118"/>
    </row>
    <row r="747" spans="2:9">
      <c r="B747" s="47"/>
      <c r="C747" s="118"/>
      <c r="D747" s="118"/>
      <c r="E747" s="118"/>
      <c r="F747" s="118"/>
      <c r="G747" s="118"/>
      <c r="H747" s="118"/>
      <c r="I747" s="118"/>
    </row>
    <row r="748" spans="2:9">
      <c r="B748" s="47"/>
      <c r="C748" s="118"/>
      <c r="D748" s="118"/>
      <c r="E748" s="118"/>
      <c r="F748" s="118"/>
      <c r="G748" s="118"/>
      <c r="H748" s="118"/>
      <c r="I748" s="118"/>
    </row>
    <row r="749" spans="2:9">
      <c r="B749" s="47"/>
      <c r="C749" s="118"/>
      <c r="D749" s="118"/>
      <c r="E749" s="118"/>
      <c r="F749" s="118"/>
      <c r="G749" s="118"/>
      <c r="H749" s="118"/>
      <c r="I749" s="118"/>
    </row>
    <row r="750" spans="2:9">
      <c r="B750" s="47"/>
      <c r="C750" s="118"/>
      <c r="D750" s="118"/>
      <c r="E750" s="118"/>
      <c r="F750" s="118"/>
      <c r="G750" s="118"/>
      <c r="H750" s="118"/>
      <c r="I750" s="118"/>
    </row>
    <row r="751" spans="2:9">
      <c r="B751" s="47"/>
      <c r="C751" s="118"/>
      <c r="D751" s="118"/>
      <c r="E751" s="118"/>
      <c r="F751" s="118"/>
      <c r="G751" s="118"/>
      <c r="H751" s="118"/>
      <c r="I751" s="118"/>
    </row>
    <row r="752" spans="2:9">
      <c r="B752" s="47"/>
      <c r="C752" s="118"/>
      <c r="D752" s="118"/>
      <c r="E752" s="118"/>
      <c r="F752" s="118"/>
      <c r="G752" s="118"/>
      <c r="H752" s="118"/>
      <c r="I752" s="118"/>
    </row>
    <row r="753" spans="2:9">
      <c r="B753" s="47"/>
      <c r="C753" s="118"/>
      <c r="D753" s="118"/>
      <c r="E753" s="118"/>
      <c r="F753" s="118"/>
      <c r="G753" s="118"/>
      <c r="H753" s="118"/>
      <c r="I753" s="118"/>
    </row>
    <row r="754" spans="2:9">
      <c r="B754" s="47"/>
      <c r="C754" s="118"/>
      <c r="D754" s="118"/>
      <c r="E754" s="118"/>
      <c r="F754" s="118"/>
      <c r="G754" s="118"/>
      <c r="H754" s="118"/>
      <c r="I754" s="118"/>
    </row>
    <row r="755" spans="2:9">
      <c r="B755" s="47"/>
      <c r="C755" s="118"/>
      <c r="D755" s="118"/>
      <c r="E755" s="118"/>
      <c r="F755" s="118"/>
      <c r="G755" s="118"/>
      <c r="H755" s="118"/>
      <c r="I755" s="118"/>
    </row>
    <row r="756" spans="2:9">
      <c r="B756" s="47"/>
      <c r="C756" s="118"/>
      <c r="D756" s="118"/>
      <c r="E756" s="118"/>
      <c r="F756" s="118"/>
      <c r="G756" s="118"/>
      <c r="H756" s="118"/>
      <c r="I756" s="118"/>
    </row>
    <row r="757" spans="2:9">
      <c r="B757" s="47"/>
      <c r="C757" s="118"/>
      <c r="D757" s="118"/>
      <c r="E757" s="118"/>
      <c r="F757" s="118"/>
      <c r="G757" s="118"/>
      <c r="H757" s="118"/>
      <c r="I757" s="118"/>
    </row>
    <row r="758" spans="2:9">
      <c r="B758" s="47"/>
      <c r="C758" s="118"/>
      <c r="D758" s="118"/>
      <c r="E758" s="118"/>
      <c r="F758" s="118"/>
      <c r="G758" s="118"/>
      <c r="H758" s="118"/>
      <c r="I758" s="118"/>
    </row>
    <row r="759" spans="2:9">
      <c r="B759" s="47"/>
      <c r="C759" s="118"/>
      <c r="D759" s="118"/>
      <c r="E759" s="118"/>
      <c r="F759" s="118"/>
      <c r="G759" s="118"/>
      <c r="H759" s="118"/>
      <c r="I759" s="118"/>
    </row>
    <row r="760" spans="2:9">
      <c r="B760" s="47"/>
      <c r="C760" s="118"/>
      <c r="D760" s="118"/>
      <c r="E760" s="118"/>
      <c r="F760" s="118"/>
      <c r="G760" s="118"/>
      <c r="H760" s="118"/>
      <c r="I760" s="118"/>
    </row>
    <row r="761" spans="2:9">
      <c r="B761" s="47"/>
      <c r="C761" s="118"/>
      <c r="D761" s="118"/>
      <c r="E761" s="118"/>
      <c r="F761" s="118"/>
      <c r="G761" s="118"/>
      <c r="H761" s="118"/>
      <c r="I761" s="118"/>
    </row>
    <row r="762" spans="2:9">
      <c r="B762" s="47"/>
      <c r="C762" s="118"/>
      <c r="D762" s="118"/>
      <c r="E762" s="118"/>
      <c r="F762" s="118"/>
      <c r="G762" s="118"/>
      <c r="H762" s="118"/>
      <c r="I762" s="118"/>
    </row>
    <row r="763" spans="2:9">
      <c r="B763" s="47"/>
      <c r="C763" s="118"/>
      <c r="D763" s="118"/>
      <c r="E763" s="118"/>
      <c r="F763" s="118"/>
      <c r="G763" s="118"/>
      <c r="H763" s="118"/>
      <c r="I763" s="118"/>
    </row>
    <row r="764" spans="2:9">
      <c r="B764" s="47"/>
      <c r="C764" s="118"/>
      <c r="D764" s="118"/>
      <c r="E764" s="118"/>
      <c r="F764" s="118"/>
      <c r="G764" s="118"/>
      <c r="H764" s="118"/>
      <c r="I764" s="118"/>
    </row>
    <row r="765" spans="2:9">
      <c r="B765" s="47"/>
      <c r="C765" s="118"/>
      <c r="D765" s="118"/>
      <c r="E765" s="118"/>
      <c r="F765" s="118"/>
      <c r="G765" s="118"/>
      <c r="H765" s="118"/>
      <c r="I765" s="118"/>
    </row>
    <row r="766" spans="2:9">
      <c r="B766" s="47"/>
      <c r="C766" s="118"/>
      <c r="D766" s="118"/>
      <c r="E766" s="118"/>
      <c r="F766" s="118"/>
      <c r="G766" s="118"/>
      <c r="H766" s="118"/>
      <c r="I766" s="118"/>
    </row>
    <row r="767" spans="2:9">
      <c r="B767" s="47"/>
      <c r="C767" s="118"/>
      <c r="D767" s="118"/>
      <c r="E767" s="118"/>
      <c r="F767" s="118"/>
      <c r="G767" s="118"/>
      <c r="H767" s="118"/>
      <c r="I767" s="118"/>
    </row>
    <row r="768" spans="2:9">
      <c r="B768" s="47"/>
      <c r="C768" s="118"/>
      <c r="D768" s="118"/>
      <c r="E768" s="118"/>
      <c r="F768" s="118"/>
      <c r="G768" s="118"/>
      <c r="H768" s="118"/>
      <c r="I768" s="118"/>
    </row>
    <row r="769" spans="2:9">
      <c r="B769" s="47"/>
      <c r="C769" s="118"/>
      <c r="D769" s="118"/>
      <c r="E769" s="118"/>
      <c r="F769" s="118"/>
      <c r="G769" s="118"/>
      <c r="H769" s="118"/>
      <c r="I769" s="118"/>
    </row>
    <row r="770" spans="2:9">
      <c r="B770" s="47"/>
      <c r="C770" s="118"/>
      <c r="D770" s="118"/>
      <c r="E770" s="118"/>
      <c r="F770" s="118"/>
      <c r="G770" s="118"/>
      <c r="H770" s="118"/>
      <c r="I770" s="118"/>
    </row>
    <row r="771" spans="2:9">
      <c r="B771" s="47"/>
      <c r="C771" s="118"/>
      <c r="D771" s="118"/>
      <c r="E771" s="118"/>
      <c r="F771" s="118"/>
      <c r="G771" s="118"/>
      <c r="H771" s="118"/>
      <c r="I771" s="118"/>
    </row>
    <row r="772" spans="2:9">
      <c r="B772" s="47"/>
      <c r="C772" s="118"/>
      <c r="D772" s="118"/>
      <c r="E772" s="118"/>
      <c r="F772" s="118"/>
      <c r="G772" s="118"/>
      <c r="H772" s="118"/>
      <c r="I772" s="118"/>
    </row>
    <row r="773" spans="2:9">
      <c r="B773" s="47"/>
      <c r="C773" s="118"/>
      <c r="D773" s="118"/>
      <c r="E773" s="118"/>
      <c r="F773" s="118"/>
      <c r="G773" s="118"/>
      <c r="H773" s="118"/>
      <c r="I773" s="118"/>
    </row>
    <row r="774" spans="2:9">
      <c r="B774" s="47"/>
      <c r="C774" s="118"/>
      <c r="D774" s="118"/>
      <c r="E774" s="118"/>
      <c r="F774" s="118"/>
      <c r="G774" s="118"/>
      <c r="H774" s="118"/>
      <c r="I774" s="118"/>
    </row>
    <row r="775" spans="2:9">
      <c r="B775" s="47"/>
      <c r="C775" s="118"/>
      <c r="D775" s="118"/>
      <c r="E775" s="118"/>
      <c r="F775" s="118"/>
      <c r="G775" s="118"/>
      <c r="H775" s="118"/>
      <c r="I775" s="118"/>
    </row>
    <row r="776" spans="2:9">
      <c r="B776" s="47"/>
      <c r="C776" s="118"/>
      <c r="D776" s="118"/>
      <c r="E776" s="118"/>
      <c r="F776" s="118"/>
      <c r="G776" s="118"/>
      <c r="H776" s="118"/>
      <c r="I776" s="118"/>
    </row>
    <row r="777" spans="2:9">
      <c r="B777" s="47"/>
      <c r="C777" s="118"/>
      <c r="D777" s="118"/>
      <c r="E777" s="118"/>
      <c r="F777" s="118"/>
      <c r="G777" s="118"/>
      <c r="H777" s="118"/>
      <c r="I777" s="118"/>
    </row>
    <row r="778" spans="2:9">
      <c r="B778" s="47"/>
      <c r="C778" s="118"/>
      <c r="D778" s="118"/>
      <c r="E778" s="118"/>
      <c r="F778" s="118"/>
      <c r="G778" s="118"/>
      <c r="H778" s="118"/>
      <c r="I778" s="118"/>
    </row>
    <row r="779" spans="2:9">
      <c r="B779" s="47"/>
      <c r="C779" s="118"/>
      <c r="D779" s="118"/>
      <c r="E779" s="118"/>
      <c r="F779" s="118"/>
      <c r="G779" s="118"/>
      <c r="H779" s="118"/>
      <c r="I779" s="118"/>
    </row>
    <row r="780" spans="2:9">
      <c r="B780" s="47"/>
      <c r="C780" s="118"/>
      <c r="D780" s="118"/>
      <c r="E780" s="118"/>
      <c r="F780" s="118"/>
      <c r="G780" s="118"/>
      <c r="H780" s="118"/>
      <c r="I780" s="118"/>
    </row>
    <row r="781" spans="2:9">
      <c r="B781" s="47"/>
      <c r="C781" s="118"/>
      <c r="D781" s="118"/>
      <c r="E781" s="118"/>
      <c r="F781" s="118"/>
      <c r="G781" s="118"/>
      <c r="H781" s="118"/>
      <c r="I781" s="118"/>
    </row>
    <row r="782" spans="2:9">
      <c r="B782" s="47"/>
      <c r="C782" s="118"/>
      <c r="D782" s="118"/>
      <c r="E782" s="118"/>
      <c r="F782" s="118"/>
      <c r="G782" s="118"/>
      <c r="H782" s="118"/>
      <c r="I782" s="118"/>
    </row>
    <row r="783" spans="2:9">
      <c r="B783" s="47"/>
      <c r="C783" s="118"/>
      <c r="D783" s="118"/>
      <c r="E783" s="118"/>
      <c r="F783" s="118"/>
      <c r="G783" s="118"/>
      <c r="H783" s="118"/>
      <c r="I783" s="118"/>
    </row>
    <row r="784" spans="2:9">
      <c r="B784" s="47"/>
      <c r="C784" s="118"/>
      <c r="D784" s="118"/>
      <c r="E784" s="118"/>
      <c r="F784" s="118"/>
      <c r="G784" s="118"/>
      <c r="H784" s="118"/>
      <c r="I784" s="118"/>
    </row>
    <row r="785" spans="2:9">
      <c r="B785" s="47"/>
      <c r="C785" s="118"/>
      <c r="D785" s="118"/>
      <c r="E785" s="118"/>
      <c r="F785" s="118"/>
      <c r="G785" s="118"/>
      <c r="H785" s="118"/>
      <c r="I785" s="118"/>
    </row>
    <row r="786" spans="2:9">
      <c r="B786" s="47"/>
      <c r="C786" s="118"/>
      <c r="D786" s="118"/>
      <c r="E786" s="118"/>
      <c r="F786" s="118"/>
      <c r="G786" s="118"/>
      <c r="H786" s="118"/>
      <c r="I786" s="118"/>
    </row>
    <row r="787" spans="2:9">
      <c r="B787" s="47"/>
      <c r="C787" s="118"/>
      <c r="D787" s="118"/>
      <c r="E787" s="118"/>
      <c r="F787" s="118"/>
      <c r="G787" s="118"/>
      <c r="H787" s="118"/>
      <c r="I787" s="118"/>
    </row>
    <row r="788" spans="2:9">
      <c r="B788" s="47"/>
      <c r="C788" s="118"/>
      <c r="D788" s="118"/>
      <c r="E788" s="118"/>
      <c r="F788" s="118"/>
      <c r="G788" s="118"/>
      <c r="H788" s="118"/>
      <c r="I788" s="118"/>
    </row>
    <row r="789" spans="2:9">
      <c r="B789" s="47"/>
      <c r="C789" s="118"/>
      <c r="D789" s="118"/>
      <c r="E789" s="118"/>
      <c r="F789" s="118"/>
      <c r="G789" s="118"/>
      <c r="H789" s="118"/>
      <c r="I789" s="118"/>
    </row>
    <row r="790" spans="2:9">
      <c r="B790" s="47"/>
      <c r="C790" s="118"/>
      <c r="D790" s="118"/>
      <c r="E790" s="118"/>
      <c r="F790" s="118"/>
      <c r="G790" s="118"/>
      <c r="H790" s="118"/>
      <c r="I790" s="118"/>
    </row>
    <row r="791" spans="2:9">
      <c r="B791" s="47"/>
      <c r="C791" s="118"/>
      <c r="D791" s="118"/>
      <c r="E791" s="118"/>
      <c r="F791" s="118"/>
      <c r="G791" s="118"/>
      <c r="H791" s="118"/>
      <c r="I791" s="118"/>
    </row>
    <row r="792" spans="2:9">
      <c r="B792" s="47"/>
      <c r="C792" s="118"/>
      <c r="D792" s="118"/>
      <c r="E792" s="118"/>
      <c r="F792" s="118"/>
      <c r="G792" s="118"/>
      <c r="H792" s="118"/>
      <c r="I792" s="118"/>
    </row>
    <row r="793" spans="2:9">
      <c r="B793" s="47"/>
      <c r="C793" s="118"/>
      <c r="D793" s="118"/>
      <c r="E793" s="118"/>
      <c r="F793" s="118"/>
      <c r="G793" s="118"/>
      <c r="H793" s="118"/>
      <c r="I793" s="118"/>
    </row>
    <row r="794" spans="2:9">
      <c r="B794" s="47"/>
      <c r="C794" s="118"/>
      <c r="D794" s="118"/>
      <c r="E794" s="118"/>
      <c r="F794" s="118"/>
      <c r="G794" s="118"/>
      <c r="H794" s="118"/>
      <c r="I794" s="118"/>
    </row>
    <row r="795" spans="2:9">
      <c r="B795" s="47"/>
      <c r="C795" s="118"/>
      <c r="D795" s="118"/>
      <c r="E795" s="118"/>
      <c r="F795" s="118"/>
      <c r="G795" s="118"/>
      <c r="H795" s="118"/>
      <c r="I795" s="118"/>
    </row>
    <row r="796" spans="2:9">
      <c r="B796" s="47"/>
      <c r="C796" s="118"/>
      <c r="D796" s="118"/>
      <c r="E796" s="118"/>
      <c r="F796" s="118"/>
      <c r="G796" s="118"/>
      <c r="H796" s="118"/>
      <c r="I796" s="118"/>
    </row>
    <row r="797" spans="2:9">
      <c r="B797" s="47"/>
      <c r="C797" s="118"/>
      <c r="D797" s="118"/>
      <c r="E797" s="118"/>
      <c r="F797" s="118"/>
      <c r="G797" s="118"/>
      <c r="H797" s="118"/>
      <c r="I797" s="118"/>
    </row>
    <row r="798" spans="2:9">
      <c r="B798" s="47"/>
      <c r="C798" s="118"/>
      <c r="D798" s="118"/>
      <c r="E798" s="118"/>
      <c r="F798" s="118"/>
      <c r="G798" s="118"/>
      <c r="H798" s="118"/>
      <c r="I798" s="118"/>
    </row>
    <row r="799" spans="2:9">
      <c r="B799" s="47"/>
      <c r="C799" s="118"/>
      <c r="D799" s="118"/>
      <c r="E799" s="118"/>
      <c r="F799" s="118"/>
      <c r="G799" s="118"/>
      <c r="H799" s="118"/>
      <c r="I799" s="118"/>
    </row>
    <row r="800" spans="2:9">
      <c r="B800" s="47"/>
      <c r="C800" s="118"/>
      <c r="D800" s="118"/>
      <c r="E800" s="118"/>
      <c r="F800" s="118"/>
      <c r="G800" s="118"/>
      <c r="H800" s="118"/>
      <c r="I800" s="118"/>
    </row>
    <row r="801" spans="2:9">
      <c r="B801" s="47"/>
      <c r="C801" s="118"/>
      <c r="D801" s="118"/>
      <c r="E801" s="118"/>
      <c r="F801" s="118"/>
      <c r="G801" s="118"/>
      <c r="H801" s="118"/>
      <c r="I801" s="118"/>
    </row>
    <row r="802" spans="2:9">
      <c r="B802" s="47"/>
      <c r="C802" s="118"/>
      <c r="D802" s="118"/>
      <c r="E802" s="118"/>
      <c r="F802" s="118"/>
      <c r="G802" s="118"/>
      <c r="H802" s="118"/>
      <c r="I802" s="118"/>
    </row>
    <row r="803" spans="2:9">
      <c r="B803" s="47"/>
      <c r="C803" s="118"/>
      <c r="D803" s="118"/>
      <c r="E803" s="118"/>
      <c r="F803" s="118"/>
      <c r="G803" s="118"/>
      <c r="H803" s="118"/>
      <c r="I803" s="118"/>
    </row>
    <row r="804" spans="2:9">
      <c r="B804" s="47"/>
      <c r="C804" s="118"/>
      <c r="D804" s="118"/>
      <c r="E804" s="118"/>
      <c r="F804" s="118"/>
      <c r="G804" s="118"/>
      <c r="H804" s="118"/>
      <c r="I804" s="118"/>
    </row>
    <row r="805" spans="2:9">
      <c r="B805" s="47"/>
      <c r="C805" s="118"/>
      <c r="D805" s="118"/>
      <c r="E805" s="118"/>
      <c r="F805" s="118"/>
      <c r="G805" s="118"/>
      <c r="H805" s="118"/>
      <c r="I805" s="118"/>
    </row>
    <row r="806" spans="2:9">
      <c r="B806" s="47"/>
      <c r="C806" s="118"/>
      <c r="D806" s="118"/>
      <c r="E806" s="118"/>
      <c r="F806" s="118"/>
      <c r="G806" s="118"/>
      <c r="H806" s="118"/>
      <c r="I806" s="118"/>
    </row>
    <row r="807" spans="2:9">
      <c r="B807" s="47"/>
      <c r="C807" s="118"/>
      <c r="D807" s="118"/>
      <c r="E807" s="118"/>
      <c r="F807" s="118"/>
      <c r="G807" s="118"/>
      <c r="H807" s="118"/>
      <c r="I807" s="118"/>
    </row>
    <row r="808" spans="2:9">
      <c r="B808" s="47"/>
      <c r="C808" s="118"/>
      <c r="D808" s="118"/>
      <c r="E808" s="118"/>
      <c r="F808" s="118"/>
      <c r="G808" s="118"/>
      <c r="H808" s="118"/>
      <c r="I808" s="118"/>
    </row>
    <row r="809" spans="2:9">
      <c r="B809" s="47"/>
      <c r="C809" s="118"/>
      <c r="D809" s="118"/>
      <c r="E809" s="118"/>
      <c r="F809" s="118"/>
      <c r="G809" s="118"/>
      <c r="H809" s="118"/>
      <c r="I809" s="118"/>
    </row>
    <row r="810" spans="2:9">
      <c r="B810" s="47"/>
      <c r="C810" s="118"/>
      <c r="D810" s="118"/>
      <c r="E810" s="118"/>
      <c r="F810" s="118"/>
      <c r="G810" s="118"/>
      <c r="H810" s="118"/>
      <c r="I810" s="118"/>
    </row>
    <row r="811" spans="2:9">
      <c r="B811" s="47"/>
      <c r="C811" s="118"/>
      <c r="D811" s="118"/>
      <c r="E811" s="118"/>
      <c r="F811" s="118"/>
      <c r="G811" s="118"/>
      <c r="H811" s="118"/>
      <c r="I811" s="118"/>
    </row>
    <row r="812" spans="2:9">
      <c r="B812" s="47"/>
      <c r="C812" s="118"/>
      <c r="D812" s="118"/>
      <c r="E812" s="118"/>
      <c r="F812" s="118"/>
      <c r="G812" s="118"/>
      <c r="H812" s="118"/>
      <c r="I812" s="118"/>
    </row>
    <row r="813" spans="2:9">
      <c r="B813" s="47"/>
      <c r="C813" s="118"/>
      <c r="D813" s="118"/>
      <c r="E813" s="118"/>
      <c r="F813" s="118"/>
      <c r="G813" s="118"/>
      <c r="H813" s="118"/>
      <c r="I813" s="118"/>
    </row>
    <row r="814" spans="2:9">
      <c r="B814" s="47"/>
      <c r="C814" s="118"/>
      <c r="D814" s="118"/>
      <c r="E814" s="118"/>
      <c r="F814" s="118"/>
      <c r="G814" s="118"/>
      <c r="H814" s="118"/>
      <c r="I814" s="118"/>
    </row>
    <row r="815" spans="2:9">
      <c r="B815" s="47"/>
      <c r="C815" s="118"/>
      <c r="D815" s="118"/>
      <c r="E815" s="118"/>
      <c r="F815" s="118"/>
      <c r="G815" s="118"/>
      <c r="H815" s="118"/>
      <c r="I815" s="118"/>
    </row>
    <row r="816" spans="2:9">
      <c r="B816" s="47"/>
      <c r="C816" s="118"/>
      <c r="D816" s="118"/>
      <c r="E816" s="118"/>
      <c r="F816" s="118"/>
      <c r="G816" s="118"/>
      <c r="H816" s="118"/>
      <c r="I816" s="118"/>
    </row>
    <row r="817" spans="2:9">
      <c r="B817" s="47"/>
      <c r="C817" s="118"/>
      <c r="D817" s="118"/>
      <c r="E817" s="118"/>
      <c r="F817" s="118"/>
      <c r="G817" s="118"/>
      <c r="H817" s="118"/>
      <c r="I817" s="118"/>
    </row>
    <row r="818" spans="2:9">
      <c r="B818" s="47"/>
      <c r="C818" s="118"/>
      <c r="D818" s="118"/>
      <c r="E818" s="118"/>
      <c r="F818" s="118"/>
      <c r="G818" s="118"/>
      <c r="H818" s="118"/>
      <c r="I818" s="118"/>
    </row>
    <row r="819" spans="2:9">
      <c r="B819" s="47"/>
      <c r="C819" s="118"/>
      <c r="D819" s="118"/>
      <c r="E819" s="118"/>
      <c r="F819" s="118"/>
      <c r="G819" s="118"/>
      <c r="H819" s="118"/>
      <c r="I819" s="118"/>
    </row>
    <row r="820" spans="2:9">
      <c r="B820" s="47"/>
      <c r="C820" s="118"/>
      <c r="D820" s="118"/>
      <c r="E820" s="118"/>
      <c r="F820" s="118"/>
      <c r="G820" s="118"/>
      <c r="H820" s="118"/>
      <c r="I820" s="118"/>
    </row>
    <row r="821" spans="2:9">
      <c r="B821" s="47"/>
      <c r="C821" s="118"/>
      <c r="D821" s="118"/>
      <c r="E821" s="118"/>
      <c r="F821" s="118"/>
      <c r="G821" s="118"/>
      <c r="H821" s="118"/>
      <c r="I821" s="118"/>
    </row>
    <row r="822" spans="2:9">
      <c r="B822" s="47"/>
      <c r="C822" s="118"/>
      <c r="D822" s="118"/>
      <c r="E822" s="118"/>
      <c r="F822" s="118"/>
      <c r="G822" s="118"/>
      <c r="H822" s="118"/>
      <c r="I822" s="118"/>
    </row>
    <row r="823" spans="2:9">
      <c r="B823" s="47"/>
      <c r="C823" s="118"/>
      <c r="D823" s="118"/>
      <c r="E823" s="118"/>
      <c r="F823" s="118"/>
      <c r="G823" s="118"/>
      <c r="H823" s="118"/>
      <c r="I823" s="118"/>
    </row>
    <row r="824" spans="2:9">
      <c r="B824" s="47"/>
      <c r="C824" s="118"/>
      <c r="D824" s="118"/>
      <c r="E824" s="118"/>
      <c r="F824" s="118"/>
      <c r="G824" s="118"/>
      <c r="H824" s="118"/>
      <c r="I824" s="118"/>
    </row>
    <row r="825" spans="2:9">
      <c r="B825" s="47"/>
      <c r="C825" s="118"/>
      <c r="D825" s="118"/>
      <c r="E825" s="118"/>
      <c r="F825" s="118"/>
      <c r="G825" s="118"/>
      <c r="H825" s="118"/>
      <c r="I825" s="118"/>
    </row>
    <row r="826" spans="2:9">
      <c r="B826" s="47"/>
      <c r="C826" s="118"/>
      <c r="D826" s="118"/>
      <c r="E826" s="118"/>
      <c r="F826" s="118"/>
      <c r="G826" s="118"/>
      <c r="H826" s="118"/>
      <c r="I826" s="118"/>
    </row>
    <row r="827" spans="2:9">
      <c r="B827" s="47"/>
      <c r="C827" s="118"/>
      <c r="D827" s="118"/>
      <c r="E827" s="118"/>
      <c r="F827" s="118"/>
      <c r="G827" s="118"/>
      <c r="H827" s="118"/>
      <c r="I827" s="118"/>
    </row>
    <row r="828" spans="2:9">
      <c r="B828" s="47"/>
      <c r="C828" s="118"/>
      <c r="D828" s="118"/>
      <c r="E828" s="118"/>
      <c r="F828" s="118"/>
      <c r="G828" s="118"/>
      <c r="H828" s="118"/>
      <c r="I828" s="118"/>
    </row>
    <row r="829" spans="2:9">
      <c r="B829" s="47"/>
      <c r="C829" s="118"/>
      <c r="D829" s="118"/>
      <c r="E829" s="118"/>
      <c r="F829" s="118"/>
      <c r="G829" s="118"/>
      <c r="H829" s="118"/>
      <c r="I829" s="118"/>
    </row>
    <row r="830" spans="2:9">
      <c r="B830" s="47"/>
      <c r="C830" s="118"/>
      <c r="D830" s="118"/>
      <c r="E830" s="118"/>
      <c r="F830" s="118"/>
      <c r="G830" s="118"/>
      <c r="H830" s="118"/>
      <c r="I830" s="118"/>
    </row>
    <row r="831" spans="2:9">
      <c r="B831" s="47"/>
      <c r="C831" s="118"/>
      <c r="D831" s="118"/>
      <c r="E831" s="118"/>
      <c r="F831" s="118"/>
      <c r="G831" s="118"/>
      <c r="H831" s="118"/>
      <c r="I831" s="118"/>
    </row>
    <row r="832" spans="2:9">
      <c r="B832" s="47"/>
      <c r="C832" s="118"/>
      <c r="D832" s="118"/>
      <c r="E832" s="118"/>
      <c r="F832" s="118"/>
      <c r="G832" s="118"/>
      <c r="H832" s="118"/>
      <c r="I832" s="118"/>
    </row>
    <row r="833" spans="2:9">
      <c r="B833" s="47"/>
      <c r="C833" s="118"/>
      <c r="D833" s="118"/>
      <c r="E833" s="118"/>
      <c r="F833" s="118"/>
      <c r="G833" s="118"/>
      <c r="H833" s="118"/>
      <c r="I833" s="118"/>
    </row>
    <row r="834" spans="2:9">
      <c r="B834" s="47"/>
      <c r="C834" s="118"/>
      <c r="D834" s="118"/>
      <c r="E834" s="118"/>
      <c r="F834" s="118"/>
      <c r="G834" s="118"/>
      <c r="H834" s="118"/>
      <c r="I834" s="118"/>
    </row>
    <row r="835" spans="2:9">
      <c r="B835" s="47"/>
      <c r="C835" s="118"/>
      <c r="D835" s="118"/>
      <c r="E835" s="118"/>
      <c r="F835" s="118"/>
      <c r="G835" s="118"/>
      <c r="H835" s="118"/>
      <c r="I835" s="118"/>
    </row>
    <row r="836" spans="2:9">
      <c r="B836" s="47"/>
      <c r="C836" s="118"/>
      <c r="D836" s="118"/>
      <c r="E836" s="118"/>
      <c r="F836" s="118"/>
      <c r="G836" s="118"/>
      <c r="H836" s="118"/>
      <c r="I836" s="118"/>
    </row>
    <row r="837" spans="2:9">
      <c r="B837" s="47"/>
      <c r="C837" s="118"/>
      <c r="D837" s="118"/>
      <c r="E837" s="118"/>
      <c r="F837" s="118"/>
      <c r="G837" s="118"/>
      <c r="H837" s="118"/>
      <c r="I837" s="118"/>
    </row>
    <row r="838" spans="2:9">
      <c r="B838" s="47"/>
      <c r="C838" s="118"/>
      <c r="D838" s="118"/>
      <c r="E838" s="118"/>
      <c r="F838" s="118"/>
      <c r="G838" s="118"/>
      <c r="H838" s="118"/>
      <c r="I838" s="118"/>
    </row>
    <row r="839" spans="2:9">
      <c r="B839" s="47"/>
      <c r="C839" s="118"/>
      <c r="D839" s="118"/>
      <c r="E839" s="118"/>
      <c r="F839" s="118"/>
      <c r="G839" s="118"/>
      <c r="H839" s="118"/>
      <c r="I839" s="118"/>
    </row>
    <row r="840" spans="2:9">
      <c r="B840" s="47"/>
      <c r="C840" s="118"/>
      <c r="D840" s="118"/>
      <c r="E840" s="118"/>
      <c r="F840" s="118"/>
      <c r="G840" s="118"/>
      <c r="H840" s="118"/>
      <c r="I840" s="118"/>
    </row>
    <row r="841" spans="2:9">
      <c r="B841" s="47"/>
      <c r="C841" s="118"/>
      <c r="D841" s="118"/>
      <c r="E841" s="118"/>
      <c r="F841" s="118"/>
      <c r="G841" s="118"/>
      <c r="H841" s="118"/>
      <c r="I841" s="118"/>
    </row>
    <row r="842" spans="2:9">
      <c r="B842" s="47"/>
      <c r="C842" s="118"/>
      <c r="D842" s="118"/>
      <c r="E842" s="118"/>
      <c r="F842" s="118"/>
      <c r="G842" s="118"/>
      <c r="H842" s="118"/>
      <c r="I842" s="118"/>
    </row>
    <row r="843" spans="2:9">
      <c r="B843" s="47"/>
      <c r="C843" s="118"/>
      <c r="D843" s="118"/>
      <c r="E843" s="118"/>
      <c r="F843" s="118"/>
      <c r="G843" s="118"/>
      <c r="H843" s="118"/>
      <c r="I843" s="118"/>
    </row>
    <row r="844" spans="2:9">
      <c r="B844" s="47"/>
      <c r="C844" s="118"/>
      <c r="D844" s="118"/>
      <c r="E844" s="118"/>
      <c r="F844" s="118"/>
      <c r="G844" s="118"/>
      <c r="H844" s="118"/>
      <c r="I844" s="118"/>
    </row>
    <row r="845" spans="2:9">
      <c r="B845" s="47"/>
      <c r="C845" s="118"/>
      <c r="D845" s="118"/>
      <c r="E845" s="118"/>
      <c r="F845" s="118"/>
      <c r="G845" s="118"/>
      <c r="H845" s="118"/>
      <c r="I845" s="118"/>
    </row>
    <row r="846" spans="2:9">
      <c r="B846" s="47"/>
      <c r="C846" s="118"/>
      <c r="D846" s="118"/>
      <c r="E846" s="118"/>
      <c r="F846" s="118"/>
      <c r="G846" s="118"/>
      <c r="H846" s="118"/>
      <c r="I846" s="118"/>
    </row>
    <row r="847" spans="2:9">
      <c r="B847" s="47"/>
      <c r="C847" s="118"/>
      <c r="D847" s="118"/>
      <c r="E847" s="118"/>
      <c r="F847" s="118"/>
      <c r="G847" s="118"/>
      <c r="H847" s="118"/>
      <c r="I847" s="118"/>
    </row>
    <row r="848" spans="2:9">
      <c r="B848" s="47"/>
      <c r="C848" s="118"/>
      <c r="D848" s="118"/>
      <c r="E848" s="118"/>
      <c r="F848" s="118"/>
      <c r="G848" s="118"/>
      <c r="H848" s="118"/>
      <c r="I848" s="118"/>
    </row>
    <row r="849" spans="2:9">
      <c r="B849" s="47"/>
      <c r="C849" s="118"/>
      <c r="D849" s="118"/>
      <c r="E849" s="118"/>
      <c r="F849" s="118"/>
      <c r="G849" s="118"/>
      <c r="H849" s="118"/>
      <c r="I849" s="118"/>
    </row>
    <row r="850" spans="2:9">
      <c r="B850" s="47"/>
      <c r="C850" s="118"/>
      <c r="D850" s="118"/>
      <c r="E850" s="118"/>
      <c r="F850" s="118"/>
      <c r="G850" s="118"/>
      <c r="H850" s="118"/>
      <c r="I850" s="118"/>
    </row>
    <row r="851" spans="2:9">
      <c r="B851" s="47"/>
      <c r="C851" s="118"/>
      <c r="D851" s="118"/>
      <c r="E851" s="118"/>
      <c r="F851" s="118"/>
      <c r="G851" s="118"/>
      <c r="H851" s="118"/>
      <c r="I851" s="118"/>
    </row>
    <row r="852" spans="2:9">
      <c r="B852" s="47"/>
      <c r="C852" s="118"/>
      <c r="D852" s="118"/>
      <c r="E852" s="118"/>
      <c r="F852" s="118"/>
      <c r="G852" s="118"/>
      <c r="H852" s="118"/>
      <c r="I852" s="118"/>
    </row>
    <row r="853" spans="2:9">
      <c r="B853" s="47"/>
      <c r="C853" s="118"/>
      <c r="D853" s="118"/>
      <c r="E853" s="118"/>
      <c r="F853" s="118"/>
      <c r="G853" s="118"/>
      <c r="H853" s="118"/>
      <c r="I853" s="118"/>
    </row>
    <row r="854" spans="2:9">
      <c r="B854" s="47"/>
      <c r="C854" s="118"/>
      <c r="D854" s="118"/>
      <c r="E854" s="118"/>
      <c r="F854" s="118"/>
      <c r="G854" s="118"/>
      <c r="H854" s="118"/>
      <c r="I854" s="118"/>
    </row>
    <row r="855" spans="2:9">
      <c r="B855" s="47"/>
      <c r="C855" s="118"/>
      <c r="D855" s="118"/>
      <c r="E855" s="118"/>
      <c r="F855" s="118"/>
      <c r="G855" s="118"/>
      <c r="H855" s="118"/>
      <c r="I855" s="118"/>
    </row>
    <row r="856" spans="2:9">
      <c r="B856" s="47"/>
      <c r="C856" s="118"/>
      <c r="D856" s="118"/>
      <c r="E856" s="118"/>
      <c r="F856" s="118"/>
      <c r="G856" s="118"/>
      <c r="H856" s="118"/>
      <c r="I856" s="118"/>
    </row>
    <row r="857" spans="2:9">
      <c r="B857" s="47"/>
      <c r="C857" s="118"/>
      <c r="D857" s="118"/>
      <c r="E857" s="118"/>
      <c r="F857" s="118"/>
      <c r="G857" s="118"/>
      <c r="H857" s="118"/>
      <c r="I857" s="118"/>
    </row>
    <row r="858" spans="2:9">
      <c r="B858" s="47"/>
      <c r="C858" s="118"/>
      <c r="D858" s="118"/>
      <c r="E858" s="118"/>
      <c r="F858" s="118"/>
      <c r="G858" s="118"/>
      <c r="H858" s="118"/>
      <c r="I858" s="118"/>
    </row>
    <row r="859" spans="2:9">
      <c r="B859" s="47"/>
      <c r="C859" s="118"/>
      <c r="D859" s="118"/>
      <c r="E859" s="118"/>
      <c r="F859" s="118"/>
      <c r="G859" s="118"/>
      <c r="H859" s="118"/>
      <c r="I859" s="118"/>
    </row>
    <row r="860" spans="2:9">
      <c r="B860" s="47"/>
      <c r="C860" s="118"/>
      <c r="D860" s="118"/>
      <c r="E860" s="118"/>
      <c r="F860" s="118"/>
      <c r="G860" s="118"/>
      <c r="H860" s="118"/>
      <c r="I860" s="118"/>
    </row>
    <row r="861" spans="2:9">
      <c r="B861" s="47"/>
      <c r="C861" s="118"/>
      <c r="D861" s="118"/>
      <c r="E861" s="118"/>
      <c r="F861" s="118"/>
      <c r="G861" s="118"/>
      <c r="H861" s="118"/>
      <c r="I861" s="118"/>
    </row>
    <row r="862" spans="2:9">
      <c r="B862" s="47"/>
      <c r="C862" s="118"/>
      <c r="D862" s="118"/>
      <c r="E862" s="118"/>
      <c r="F862" s="118"/>
      <c r="G862" s="118"/>
      <c r="H862" s="118"/>
      <c r="I862" s="118"/>
    </row>
    <row r="863" spans="2:9">
      <c r="B863" s="47"/>
      <c r="C863" s="118"/>
      <c r="D863" s="118"/>
      <c r="E863" s="118"/>
      <c r="F863" s="118"/>
      <c r="G863" s="118"/>
      <c r="H863" s="118"/>
      <c r="I863" s="118"/>
    </row>
    <row r="864" spans="2:9">
      <c r="B864" s="47"/>
      <c r="C864" s="118"/>
      <c r="D864" s="118"/>
      <c r="E864" s="118"/>
      <c r="F864" s="118"/>
      <c r="G864" s="118"/>
      <c r="H864" s="118"/>
      <c r="I864" s="118"/>
    </row>
    <row r="865" spans="2:9">
      <c r="B865" s="47"/>
      <c r="C865" s="118"/>
      <c r="D865" s="118"/>
      <c r="E865" s="118"/>
      <c r="F865" s="118"/>
      <c r="G865" s="118"/>
      <c r="H865" s="118"/>
      <c r="I865" s="118"/>
    </row>
    <row r="866" spans="2:9">
      <c r="B866" s="47"/>
      <c r="C866" s="118"/>
      <c r="D866" s="118"/>
      <c r="E866" s="118"/>
      <c r="F866" s="118"/>
      <c r="G866" s="118"/>
      <c r="H866" s="118"/>
      <c r="I866" s="118"/>
    </row>
    <row r="867" spans="2:9">
      <c r="B867" s="47"/>
      <c r="C867" s="118"/>
      <c r="D867" s="118"/>
      <c r="E867" s="118"/>
      <c r="F867" s="118"/>
      <c r="G867" s="118"/>
      <c r="H867" s="118"/>
      <c r="I867" s="118"/>
    </row>
    <row r="868" spans="2:9">
      <c r="B868" s="47"/>
      <c r="C868" s="118"/>
      <c r="D868" s="118"/>
      <c r="E868" s="118"/>
      <c r="F868" s="118"/>
      <c r="G868" s="118"/>
      <c r="H868" s="118"/>
      <c r="I868" s="118"/>
    </row>
    <row r="869" spans="2:9">
      <c r="B869" s="47"/>
      <c r="C869" s="118"/>
      <c r="D869" s="118"/>
      <c r="E869" s="118"/>
      <c r="F869" s="118"/>
      <c r="G869" s="118"/>
      <c r="H869" s="118"/>
      <c r="I869" s="118"/>
    </row>
    <row r="870" spans="2:9">
      <c r="B870" s="47"/>
      <c r="C870" s="118"/>
      <c r="D870" s="118"/>
      <c r="E870" s="118"/>
      <c r="F870" s="118"/>
      <c r="G870" s="118"/>
      <c r="H870" s="118"/>
      <c r="I870" s="118"/>
    </row>
    <row r="871" spans="2:9">
      <c r="B871" s="47"/>
      <c r="C871" s="118"/>
      <c r="D871" s="118"/>
      <c r="E871" s="118"/>
      <c r="F871" s="118"/>
      <c r="G871" s="118"/>
      <c r="H871" s="118"/>
      <c r="I871" s="118"/>
    </row>
    <row r="872" spans="2:9">
      <c r="B872" s="47"/>
      <c r="C872" s="118"/>
      <c r="D872" s="118"/>
      <c r="E872" s="118"/>
      <c r="F872" s="118"/>
      <c r="G872" s="118"/>
      <c r="H872" s="118"/>
      <c r="I872" s="118"/>
    </row>
    <row r="873" spans="2:9">
      <c r="B873" s="47"/>
      <c r="C873" s="118"/>
      <c r="D873" s="118"/>
      <c r="E873" s="118"/>
      <c r="F873" s="118"/>
      <c r="G873" s="118"/>
      <c r="H873" s="118"/>
      <c r="I873" s="118"/>
    </row>
    <row r="874" spans="2:9">
      <c r="B874" s="47"/>
      <c r="C874" s="118"/>
      <c r="D874" s="118"/>
      <c r="E874" s="118"/>
      <c r="F874" s="118"/>
      <c r="G874" s="118"/>
      <c r="H874" s="118"/>
      <c r="I874" s="118"/>
    </row>
    <row r="875" spans="2:9">
      <c r="B875" s="47"/>
      <c r="C875" s="118"/>
      <c r="D875" s="118"/>
      <c r="E875" s="118"/>
      <c r="F875" s="118"/>
      <c r="G875" s="118"/>
      <c r="H875" s="118"/>
      <c r="I875" s="118"/>
    </row>
    <row r="876" spans="2:9">
      <c r="B876" s="47"/>
      <c r="C876" s="118"/>
      <c r="D876" s="118"/>
      <c r="E876" s="118"/>
      <c r="F876" s="118"/>
      <c r="G876" s="118"/>
      <c r="H876" s="118"/>
      <c r="I876" s="118"/>
    </row>
    <row r="877" spans="2:9">
      <c r="B877" s="47"/>
      <c r="C877" s="118"/>
      <c r="D877" s="118"/>
      <c r="E877" s="118"/>
      <c r="F877" s="118"/>
      <c r="G877" s="118"/>
      <c r="H877" s="118"/>
      <c r="I877" s="118"/>
    </row>
    <row r="878" spans="2:9">
      <c r="B878" s="47"/>
      <c r="C878" s="118"/>
      <c r="D878" s="118"/>
      <c r="E878" s="118"/>
      <c r="F878" s="118"/>
      <c r="G878" s="118"/>
      <c r="H878" s="118"/>
      <c r="I878" s="118"/>
    </row>
    <row r="879" spans="2:9">
      <c r="B879" s="47"/>
      <c r="C879" s="118"/>
      <c r="D879" s="118"/>
      <c r="E879" s="118"/>
      <c r="F879" s="118"/>
      <c r="G879" s="118"/>
      <c r="H879" s="118"/>
      <c r="I879" s="118"/>
    </row>
    <row r="880" spans="2:9">
      <c r="B880" s="47"/>
      <c r="C880" s="118"/>
      <c r="D880" s="118"/>
      <c r="E880" s="118"/>
      <c r="F880" s="118"/>
      <c r="G880" s="118"/>
      <c r="H880" s="118"/>
      <c r="I880" s="118"/>
    </row>
    <row r="881" spans="2:9">
      <c r="B881" s="47"/>
      <c r="C881" s="118"/>
      <c r="D881" s="118"/>
      <c r="E881" s="118"/>
      <c r="F881" s="118"/>
      <c r="G881" s="118"/>
      <c r="H881" s="118"/>
      <c r="I881" s="118"/>
    </row>
    <row r="882" spans="2:9">
      <c r="B882" s="47"/>
      <c r="C882" s="118"/>
      <c r="D882" s="118"/>
      <c r="E882" s="118"/>
      <c r="F882" s="118"/>
      <c r="G882" s="118"/>
      <c r="H882" s="118"/>
      <c r="I882" s="118"/>
    </row>
    <row r="883" spans="2:9">
      <c r="B883" s="47"/>
      <c r="C883" s="118"/>
      <c r="D883" s="118"/>
      <c r="E883" s="118"/>
      <c r="F883" s="118"/>
      <c r="G883" s="118"/>
      <c r="H883" s="118"/>
      <c r="I883" s="118"/>
    </row>
    <row r="884" spans="2:9">
      <c r="B884" s="47"/>
      <c r="C884" s="118"/>
      <c r="D884" s="118"/>
      <c r="E884" s="118"/>
      <c r="F884" s="118"/>
      <c r="G884" s="118"/>
      <c r="H884" s="118"/>
      <c r="I884" s="118"/>
    </row>
    <row r="885" spans="2:9">
      <c r="B885" s="47"/>
      <c r="C885" s="118"/>
      <c r="D885" s="118"/>
      <c r="E885" s="118"/>
      <c r="F885" s="118"/>
      <c r="G885" s="118"/>
      <c r="H885" s="118"/>
      <c r="I885" s="118"/>
    </row>
    <row r="886" spans="2:9">
      <c r="B886" s="47"/>
      <c r="C886" s="118"/>
      <c r="D886" s="118"/>
      <c r="E886" s="118"/>
      <c r="F886" s="118"/>
      <c r="G886" s="118"/>
      <c r="H886" s="118"/>
      <c r="I886" s="118"/>
    </row>
    <row r="887" spans="2:9">
      <c r="B887" s="47"/>
      <c r="C887" s="118"/>
      <c r="D887" s="118"/>
      <c r="E887" s="118"/>
      <c r="F887" s="118"/>
      <c r="G887" s="118"/>
      <c r="H887" s="118"/>
      <c r="I887" s="118"/>
    </row>
    <row r="888" spans="2:9">
      <c r="B888" s="47"/>
      <c r="C888" s="118"/>
      <c r="D888" s="118"/>
      <c r="E888" s="118"/>
      <c r="F888" s="118"/>
      <c r="G888" s="118"/>
      <c r="H888" s="118"/>
      <c r="I888" s="118"/>
    </row>
    <row r="889" spans="2:9">
      <c r="B889" s="47"/>
      <c r="C889" s="118"/>
      <c r="D889" s="118"/>
      <c r="E889" s="118"/>
      <c r="F889" s="118"/>
      <c r="G889" s="118"/>
      <c r="H889" s="118"/>
      <c r="I889" s="118"/>
    </row>
    <row r="890" spans="2:9">
      <c r="B890" s="47"/>
      <c r="C890" s="118"/>
      <c r="D890" s="118"/>
      <c r="E890" s="118"/>
      <c r="F890" s="118"/>
      <c r="G890" s="118"/>
      <c r="H890" s="118"/>
      <c r="I890" s="118"/>
    </row>
    <row r="891" spans="2:9">
      <c r="B891" s="47"/>
      <c r="C891" s="118"/>
      <c r="D891" s="118"/>
      <c r="E891" s="118"/>
      <c r="F891" s="118"/>
      <c r="G891" s="118"/>
      <c r="H891" s="118"/>
      <c r="I891" s="118"/>
    </row>
    <row r="892" spans="2:9">
      <c r="B892" s="47"/>
      <c r="C892" s="118"/>
      <c r="D892" s="118"/>
      <c r="E892" s="118"/>
      <c r="F892" s="118"/>
      <c r="G892" s="118"/>
      <c r="H892" s="118"/>
      <c r="I892" s="118"/>
    </row>
    <row r="893" spans="2:9">
      <c r="B893" s="47"/>
      <c r="C893" s="118"/>
      <c r="D893" s="118"/>
      <c r="E893" s="118"/>
      <c r="F893" s="118"/>
      <c r="G893" s="118"/>
      <c r="H893" s="118"/>
      <c r="I893" s="118"/>
    </row>
    <row r="894" spans="2:9">
      <c r="B894" s="47"/>
      <c r="C894" s="118"/>
      <c r="D894" s="118"/>
      <c r="E894" s="118"/>
      <c r="F894" s="118"/>
      <c r="G894" s="118"/>
      <c r="H894" s="118"/>
      <c r="I894" s="118"/>
    </row>
    <row r="895" spans="2:9">
      <c r="B895" s="47"/>
      <c r="C895" s="118"/>
      <c r="D895" s="118"/>
      <c r="E895" s="118"/>
      <c r="F895" s="118"/>
      <c r="G895" s="118"/>
      <c r="H895" s="118"/>
      <c r="I895" s="118"/>
    </row>
    <row r="896" spans="2:9">
      <c r="B896" s="47"/>
      <c r="C896" s="118"/>
      <c r="D896" s="118"/>
      <c r="E896" s="118"/>
      <c r="F896" s="118"/>
      <c r="G896" s="118"/>
      <c r="H896" s="118"/>
      <c r="I896" s="118"/>
    </row>
    <row r="897" spans="2:9">
      <c r="B897" s="47"/>
      <c r="C897" s="118"/>
      <c r="D897" s="118"/>
      <c r="E897" s="118"/>
      <c r="F897" s="118"/>
      <c r="G897" s="118"/>
      <c r="H897" s="118"/>
      <c r="I897" s="118"/>
    </row>
    <row r="898" spans="2:9">
      <c r="B898" s="47"/>
      <c r="C898" s="118"/>
      <c r="D898" s="118"/>
      <c r="E898" s="118"/>
      <c r="F898" s="118"/>
      <c r="G898" s="118"/>
      <c r="H898" s="118"/>
      <c r="I898" s="118"/>
    </row>
    <row r="899" spans="2:9">
      <c r="B899" s="47"/>
      <c r="C899" s="118"/>
      <c r="D899" s="118"/>
      <c r="E899" s="118"/>
      <c r="F899" s="118"/>
      <c r="G899" s="118"/>
      <c r="H899" s="118"/>
      <c r="I899" s="118"/>
    </row>
    <row r="900" spans="2:9">
      <c r="B900" s="47"/>
      <c r="C900" s="118"/>
      <c r="D900" s="118"/>
      <c r="E900" s="118"/>
      <c r="F900" s="118"/>
      <c r="G900" s="118"/>
      <c r="H900" s="118"/>
      <c r="I900" s="118"/>
    </row>
    <row r="901" spans="2:9">
      <c r="B901" s="47"/>
      <c r="C901" s="118"/>
      <c r="D901" s="118"/>
      <c r="E901" s="118"/>
      <c r="F901" s="118"/>
      <c r="G901" s="118"/>
      <c r="H901" s="118"/>
      <c r="I901" s="118"/>
    </row>
    <row r="902" spans="2:9">
      <c r="B902" s="47"/>
      <c r="C902" s="118"/>
      <c r="D902" s="118"/>
      <c r="E902" s="118"/>
      <c r="F902" s="118"/>
      <c r="G902" s="118"/>
      <c r="H902" s="118"/>
      <c r="I902" s="118"/>
    </row>
    <row r="903" spans="2:9">
      <c r="B903" s="47"/>
      <c r="C903" s="118"/>
      <c r="D903" s="118"/>
      <c r="E903" s="118"/>
      <c r="F903" s="118"/>
      <c r="G903" s="118"/>
      <c r="H903" s="118"/>
      <c r="I903" s="118"/>
    </row>
    <row r="904" spans="2:9">
      <c r="B904" s="47"/>
      <c r="C904" s="118"/>
      <c r="D904" s="118"/>
      <c r="E904" s="118"/>
      <c r="F904" s="118"/>
      <c r="G904" s="118"/>
      <c r="H904" s="118"/>
      <c r="I904" s="118"/>
    </row>
    <row r="905" spans="2:9">
      <c r="B905" s="47"/>
      <c r="C905" s="118"/>
      <c r="D905" s="118"/>
      <c r="E905" s="118"/>
      <c r="F905" s="118"/>
      <c r="G905" s="118"/>
      <c r="H905" s="118"/>
      <c r="I905" s="118"/>
    </row>
    <row r="906" spans="2:9">
      <c r="B906" s="47"/>
      <c r="C906" s="118"/>
      <c r="D906" s="118"/>
      <c r="E906" s="118"/>
      <c r="F906" s="118"/>
      <c r="G906" s="118"/>
      <c r="H906" s="118"/>
      <c r="I906" s="118"/>
    </row>
    <row r="907" spans="2:9">
      <c r="B907" s="47"/>
      <c r="C907" s="118"/>
      <c r="D907" s="118"/>
      <c r="E907" s="118"/>
      <c r="F907" s="118"/>
      <c r="G907" s="118"/>
      <c r="H907" s="118"/>
      <c r="I907" s="118"/>
    </row>
    <row r="908" spans="2:9">
      <c r="B908" s="47"/>
      <c r="C908" s="118"/>
      <c r="D908" s="118"/>
      <c r="E908" s="118"/>
      <c r="F908" s="118"/>
      <c r="G908" s="118"/>
      <c r="H908" s="118"/>
      <c r="I908" s="118"/>
    </row>
    <row r="909" spans="2:9">
      <c r="B909" s="47"/>
      <c r="C909" s="118"/>
      <c r="D909" s="118"/>
      <c r="E909" s="118"/>
      <c r="F909" s="118"/>
      <c r="G909" s="118"/>
      <c r="H909" s="118"/>
      <c r="I909" s="118"/>
    </row>
    <row r="910" spans="2:9">
      <c r="B910" s="47"/>
      <c r="C910" s="118"/>
      <c r="D910" s="118"/>
      <c r="E910" s="118"/>
      <c r="F910" s="118"/>
      <c r="G910" s="118"/>
      <c r="H910" s="118"/>
      <c r="I910" s="118"/>
    </row>
    <row r="911" spans="2:9">
      <c r="B911" s="47"/>
      <c r="C911" s="118"/>
      <c r="D911" s="118"/>
      <c r="E911" s="118"/>
      <c r="F911" s="118"/>
      <c r="G911" s="118"/>
      <c r="H911" s="118"/>
      <c r="I911" s="118"/>
    </row>
    <row r="912" spans="2:9">
      <c r="B912" s="47"/>
      <c r="C912" s="118"/>
      <c r="D912" s="118"/>
      <c r="E912" s="118"/>
      <c r="F912" s="118"/>
      <c r="G912" s="118"/>
      <c r="H912" s="118"/>
      <c r="I912" s="118"/>
    </row>
    <row r="913" spans="2:9">
      <c r="B913" s="47"/>
      <c r="C913" s="118"/>
      <c r="D913" s="118"/>
      <c r="E913" s="118"/>
      <c r="F913" s="118"/>
      <c r="G913" s="118"/>
      <c r="H913" s="118"/>
      <c r="I913" s="118"/>
    </row>
    <row r="914" spans="2:9">
      <c r="B914" s="47"/>
      <c r="C914" s="118"/>
      <c r="D914" s="118"/>
      <c r="E914" s="118"/>
      <c r="F914" s="118"/>
      <c r="G914" s="118"/>
      <c r="H914" s="118"/>
      <c r="I914" s="118"/>
    </row>
    <row r="915" spans="2:9">
      <c r="B915" s="47"/>
      <c r="C915" s="118"/>
      <c r="D915" s="118"/>
      <c r="E915" s="118"/>
      <c r="F915" s="118"/>
      <c r="G915" s="118"/>
      <c r="H915" s="118"/>
      <c r="I915" s="118"/>
    </row>
    <row r="916" spans="2:9">
      <c r="B916" s="47"/>
      <c r="C916" s="118"/>
      <c r="D916" s="118"/>
      <c r="E916" s="118"/>
      <c r="F916" s="118"/>
      <c r="G916" s="118"/>
      <c r="H916" s="118"/>
      <c r="I916" s="118"/>
    </row>
    <row r="917" spans="2:9">
      <c r="B917" s="47"/>
      <c r="C917" s="118"/>
      <c r="D917" s="118"/>
      <c r="E917" s="118"/>
      <c r="F917" s="118"/>
      <c r="G917" s="118"/>
      <c r="H917" s="118"/>
      <c r="I917" s="118"/>
    </row>
    <row r="918" spans="2:9">
      <c r="B918" s="47"/>
      <c r="C918" s="118"/>
      <c r="D918" s="118"/>
      <c r="E918" s="118"/>
      <c r="F918" s="118"/>
      <c r="G918" s="118"/>
      <c r="H918" s="118"/>
      <c r="I918" s="118"/>
    </row>
    <row r="919" spans="2:9">
      <c r="B919" s="47"/>
      <c r="C919" s="118"/>
      <c r="D919" s="118"/>
      <c r="E919" s="118"/>
      <c r="F919" s="118"/>
      <c r="G919" s="118"/>
      <c r="H919" s="118"/>
      <c r="I919" s="118"/>
    </row>
    <row r="920" spans="2:9">
      <c r="B920" s="47"/>
      <c r="C920" s="118"/>
      <c r="D920" s="118"/>
      <c r="E920" s="118"/>
      <c r="F920" s="118"/>
      <c r="G920" s="118"/>
      <c r="H920" s="118"/>
      <c r="I920" s="118"/>
    </row>
    <row r="921" spans="2:9">
      <c r="B921" s="47"/>
      <c r="C921" s="118"/>
      <c r="D921" s="118"/>
      <c r="E921" s="118"/>
      <c r="F921" s="118"/>
      <c r="G921" s="118"/>
      <c r="H921" s="118"/>
      <c r="I921" s="118"/>
    </row>
    <row r="922" spans="2:9">
      <c r="B922" s="47"/>
      <c r="C922" s="118"/>
      <c r="D922" s="118"/>
      <c r="E922" s="118"/>
      <c r="F922" s="118"/>
      <c r="G922" s="118"/>
      <c r="H922" s="118"/>
      <c r="I922" s="118"/>
    </row>
    <row r="923" spans="2:9">
      <c r="B923" s="47"/>
      <c r="C923" s="118"/>
      <c r="D923" s="118"/>
      <c r="E923" s="118"/>
      <c r="F923" s="118"/>
      <c r="G923" s="118"/>
      <c r="H923" s="118"/>
      <c r="I923" s="118"/>
    </row>
    <row r="924" spans="2:9">
      <c r="B924" s="47"/>
      <c r="C924" s="118"/>
      <c r="D924" s="118"/>
      <c r="E924" s="118"/>
      <c r="F924" s="118"/>
      <c r="G924" s="118"/>
      <c r="H924" s="118"/>
      <c r="I924" s="118"/>
    </row>
    <row r="925" spans="2:9">
      <c r="B925" s="47"/>
      <c r="C925" s="118"/>
      <c r="D925" s="118"/>
      <c r="E925" s="118"/>
      <c r="F925" s="118"/>
      <c r="G925" s="118"/>
      <c r="H925" s="118"/>
      <c r="I925" s="118"/>
    </row>
    <row r="926" spans="2:9">
      <c r="B926" s="47"/>
      <c r="C926" s="118"/>
      <c r="D926" s="118"/>
      <c r="E926" s="118"/>
      <c r="F926" s="118"/>
      <c r="G926" s="118"/>
      <c r="H926" s="118"/>
      <c r="I926" s="118"/>
    </row>
    <row r="927" spans="2:9">
      <c r="B927" s="47"/>
      <c r="C927" s="118"/>
      <c r="D927" s="118"/>
      <c r="E927" s="118"/>
      <c r="F927" s="118"/>
      <c r="G927" s="118"/>
      <c r="H927" s="118"/>
      <c r="I927" s="118"/>
    </row>
    <row r="928" spans="2:9">
      <c r="B928" s="47"/>
      <c r="C928" s="118"/>
      <c r="D928" s="118"/>
      <c r="E928" s="118"/>
      <c r="F928" s="118"/>
      <c r="G928" s="118"/>
      <c r="H928" s="118"/>
      <c r="I928" s="118"/>
    </row>
    <row r="929" spans="2:9">
      <c r="B929" s="47"/>
      <c r="C929" s="118"/>
      <c r="D929" s="118"/>
      <c r="E929" s="118"/>
      <c r="F929" s="118"/>
      <c r="G929" s="118"/>
      <c r="H929" s="118"/>
      <c r="I929" s="118"/>
    </row>
    <row r="930" spans="2:9">
      <c r="B930" s="47"/>
      <c r="C930" s="118"/>
      <c r="D930" s="118"/>
      <c r="E930" s="118"/>
      <c r="F930" s="118"/>
      <c r="G930" s="118"/>
      <c r="H930" s="118"/>
      <c r="I930" s="118"/>
    </row>
    <row r="931" spans="2:9">
      <c r="B931" s="47"/>
      <c r="C931" s="118"/>
      <c r="D931" s="118"/>
      <c r="E931" s="118"/>
      <c r="F931" s="118"/>
      <c r="G931" s="118"/>
      <c r="H931" s="118"/>
      <c r="I931" s="118"/>
    </row>
    <row r="932" spans="2:9">
      <c r="B932" s="47"/>
      <c r="C932" s="118"/>
      <c r="D932" s="118"/>
      <c r="E932" s="118"/>
      <c r="F932" s="118"/>
      <c r="G932" s="118"/>
      <c r="H932" s="118"/>
      <c r="I932" s="118"/>
    </row>
    <row r="933" spans="2:9">
      <c r="B933" s="47"/>
      <c r="C933" s="118"/>
      <c r="D933" s="118"/>
      <c r="E933" s="118"/>
      <c r="F933" s="118"/>
      <c r="G933" s="118"/>
      <c r="H933" s="118"/>
      <c r="I933" s="118"/>
    </row>
    <row r="934" spans="2:9">
      <c r="B934" s="47"/>
      <c r="C934" s="118"/>
      <c r="D934" s="118"/>
      <c r="E934" s="118"/>
      <c r="F934" s="118"/>
      <c r="G934" s="118"/>
      <c r="H934" s="118"/>
      <c r="I934" s="118"/>
    </row>
    <row r="935" spans="2:9">
      <c r="B935" s="47"/>
      <c r="C935" s="118"/>
      <c r="D935" s="118"/>
      <c r="E935" s="118"/>
      <c r="F935" s="118"/>
      <c r="G935" s="118"/>
      <c r="H935" s="118"/>
      <c r="I935" s="118"/>
    </row>
    <row r="936" spans="2:9">
      <c r="B936" s="47"/>
      <c r="C936" s="118"/>
      <c r="D936" s="118"/>
      <c r="E936" s="118"/>
      <c r="F936" s="118"/>
      <c r="G936" s="118"/>
      <c r="H936" s="118"/>
      <c r="I936" s="118"/>
    </row>
    <row r="937" spans="2:9">
      <c r="B937" s="47"/>
      <c r="C937" s="118"/>
      <c r="D937" s="118"/>
      <c r="E937" s="118"/>
      <c r="F937" s="118"/>
      <c r="G937" s="118"/>
      <c r="H937" s="118"/>
      <c r="I937" s="118"/>
    </row>
    <row r="938" spans="2:9">
      <c r="B938" s="47"/>
      <c r="C938" s="118"/>
      <c r="D938" s="118"/>
      <c r="E938" s="118"/>
      <c r="F938" s="118"/>
      <c r="G938" s="118"/>
      <c r="H938" s="118"/>
      <c r="I938" s="118"/>
    </row>
    <row r="939" spans="2:9">
      <c r="B939" s="47"/>
      <c r="C939" s="118"/>
      <c r="D939" s="118"/>
      <c r="E939" s="118"/>
      <c r="F939" s="118"/>
      <c r="G939" s="118"/>
      <c r="H939" s="118"/>
      <c r="I939" s="118"/>
    </row>
    <row r="940" spans="2:9">
      <c r="B940" s="47"/>
      <c r="C940" s="118"/>
      <c r="D940" s="118"/>
      <c r="E940" s="118"/>
      <c r="F940" s="118"/>
      <c r="G940" s="118"/>
      <c r="H940" s="118"/>
      <c r="I940" s="118"/>
    </row>
    <row r="941" spans="2:9">
      <c r="B941" s="47"/>
      <c r="C941" s="118"/>
      <c r="D941" s="118"/>
      <c r="E941" s="118"/>
      <c r="F941" s="118"/>
      <c r="G941" s="118"/>
      <c r="H941" s="118"/>
      <c r="I941" s="118"/>
    </row>
    <row r="942" spans="2:9">
      <c r="B942" s="47"/>
      <c r="C942" s="118"/>
      <c r="D942" s="118"/>
      <c r="E942" s="118"/>
      <c r="F942" s="118"/>
      <c r="G942" s="118"/>
      <c r="H942" s="118"/>
      <c r="I942" s="118"/>
    </row>
    <row r="943" spans="2:9">
      <c r="B943" s="47"/>
      <c r="C943" s="118"/>
      <c r="D943" s="118"/>
      <c r="E943" s="118"/>
      <c r="F943" s="118"/>
      <c r="G943" s="118"/>
      <c r="H943" s="118"/>
      <c r="I943" s="118"/>
    </row>
    <row r="944" spans="2:9">
      <c r="B944" s="47"/>
      <c r="C944" s="118"/>
      <c r="D944" s="118"/>
      <c r="E944" s="118"/>
      <c r="F944" s="118"/>
      <c r="G944" s="118"/>
      <c r="H944" s="118"/>
      <c r="I944" s="118"/>
    </row>
    <row r="945" spans="2:9">
      <c r="B945" s="47"/>
      <c r="C945" s="118"/>
      <c r="D945" s="118"/>
      <c r="E945" s="118"/>
      <c r="F945" s="118"/>
      <c r="G945" s="118"/>
      <c r="H945" s="118"/>
      <c r="I945" s="118"/>
    </row>
    <row r="946" spans="2:9">
      <c r="B946" s="47"/>
      <c r="C946" s="118"/>
      <c r="D946" s="118"/>
      <c r="E946" s="118"/>
      <c r="F946" s="118"/>
      <c r="G946" s="118"/>
      <c r="H946" s="118"/>
      <c r="I946" s="118"/>
    </row>
    <row r="947" spans="2:9">
      <c r="B947" s="47"/>
      <c r="C947" s="118"/>
      <c r="D947" s="118"/>
      <c r="E947" s="118"/>
      <c r="F947" s="118"/>
      <c r="G947" s="118"/>
      <c r="H947" s="118"/>
      <c r="I947" s="118"/>
    </row>
    <row r="948" spans="2:9">
      <c r="B948" s="47"/>
      <c r="C948" s="118"/>
      <c r="D948" s="118"/>
      <c r="E948" s="118"/>
      <c r="F948" s="118"/>
      <c r="G948" s="118"/>
      <c r="H948" s="118"/>
      <c r="I948" s="118"/>
    </row>
    <row r="949" spans="2:9">
      <c r="B949" s="47"/>
      <c r="C949" s="118"/>
      <c r="D949" s="118"/>
      <c r="E949" s="118"/>
      <c r="F949" s="118"/>
      <c r="G949" s="118"/>
      <c r="H949" s="118"/>
      <c r="I949" s="118"/>
    </row>
    <row r="950" spans="2:9">
      <c r="B950" s="47"/>
      <c r="C950" s="118"/>
      <c r="D950" s="118"/>
      <c r="E950" s="118"/>
      <c r="F950" s="118"/>
      <c r="G950" s="118"/>
      <c r="H950" s="118"/>
      <c r="I950" s="118"/>
    </row>
    <row r="951" spans="2:9">
      <c r="B951" s="47"/>
      <c r="C951" s="118"/>
      <c r="D951" s="118"/>
      <c r="E951" s="118"/>
      <c r="F951" s="118"/>
      <c r="G951" s="118"/>
      <c r="H951" s="118"/>
      <c r="I951" s="118"/>
    </row>
    <row r="952" spans="2:9">
      <c r="B952" s="47"/>
      <c r="C952" s="118"/>
      <c r="D952" s="118"/>
      <c r="E952" s="118"/>
      <c r="F952" s="118"/>
      <c r="G952" s="118"/>
      <c r="H952" s="118"/>
      <c r="I952" s="118"/>
    </row>
    <row r="953" spans="2:9">
      <c r="B953" s="47"/>
      <c r="C953" s="118"/>
      <c r="D953" s="118"/>
      <c r="E953" s="118"/>
      <c r="F953" s="118"/>
      <c r="G953" s="118"/>
      <c r="H953" s="118"/>
      <c r="I953" s="118"/>
    </row>
    <row r="954" spans="2:9">
      <c r="B954" s="47"/>
      <c r="C954" s="118"/>
      <c r="D954" s="118"/>
      <c r="E954" s="118"/>
      <c r="F954" s="118"/>
      <c r="G954" s="118"/>
      <c r="H954" s="118"/>
      <c r="I954" s="118"/>
    </row>
    <row r="955" spans="2:9">
      <c r="B955" s="47"/>
      <c r="C955" s="118"/>
      <c r="D955" s="118"/>
      <c r="E955" s="118"/>
      <c r="F955" s="118"/>
      <c r="G955" s="118"/>
      <c r="H955" s="118"/>
      <c r="I955" s="118"/>
    </row>
    <row r="956" spans="2:9">
      <c r="B956" s="47"/>
      <c r="C956" s="118"/>
      <c r="D956" s="118"/>
      <c r="E956" s="118"/>
      <c r="F956" s="118"/>
      <c r="G956" s="118"/>
      <c r="H956" s="118"/>
      <c r="I956" s="118"/>
    </row>
    <row r="957" spans="2:9">
      <c r="B957" s="47"/>
      <c r="C957" s="118"/>
      <c r="D957" s="118"/>
      <c r="E957" s="118"/>
      <c r="F957" s="118"/>
      <c r="G957" s="118"/>
      <c r="H957" s="118"/>
      <c r="I957" s="118"/>
    </row>
    <row r="958" spans="2:9">
      <c r="B958" s="47"/>
      <c r="C958" s="118"/>
      <c r="D958" s="118"/>
      <c r="E958" s="118"/>
      <c r="F958" s="118"/>
      <c r="G958" s="118"/>
      <c r="H958" s="118"/>
      <c r="I958" s="118"/>
    </row>
    <row r="959" spans="2:9">
      <c r="B959" s="47"/>
      <c r="C959" s="118"/>
      <c r="D959" s="118"/>
      <c r="E959" s="118"/>
      <c r="F959" s="118"/>
      <c r="G959" s="118"/>
      <c r="H959" s="118"/>
      <c r="I959" s="118"/>
    </row>
    <row r="960" spans="2:9">
      <c r="B960" s="47"/>
      <c r="C960" s="118"/>
      <c r="D960" s="118"/>
      <c r="E960" s="118"/>
      <c r="F960" s="118"/>
      <c r="G960" s="118"/>
      <c r="H960" s="118"/>
      <c r="I960" s="118"/>
    </row>
    <row r="961" spans="2:9">
      <c r="B961" s="47"/>
      <c r="C961" s="118"/>
      <c r="D961" s="118"/>
      <c r="E961" s="118"/>
      <c r="F961" s="118"/>
      <c r="G961" s="118"/>
      <c r="H961" s="118"/>
      <c r="I961" s="118"/>
    </row>
    <row r="962" spans="2:9">
      <c r="B962" s="47"/>
      <c r="C962" s="118"/>
      <c r="D962" s="118"/>
      <c r="E962" s="118"/>
      <c r="F962" s="118"/>
      <c r="G962" s="118"/>
      <c r="H962" s="118"/>
      <c r="I962" s="118"/>
    </row>
    <row r="963" spans="2:9">
      <c r="B963" s="47"/>
      <c r="C963" s="118"/>
      <c r="D963" s="118"/>
      <c r="E963" s="118"/>
      <c r="F963" s="118"/>
      <c r="G963" s="118"/>
      <c r="H963" s="118"/>
      <c r="I963" s="118"/>
    </row>
    <row r="964" spans="2:9">
      <c r="B964" s="47"/>
      <c r="C964" s="118"/>
      <c r="D964" s="118"/>
      <c r="E964" s="118"/>
      <c r="F964" s="118"/>
      <c r="G964" s="118"/>
      <c r="H964" s="118"/>
      <c r="I964" s="118"/>
    </row>
    <row r="965" spans="2:9">
      <c r="B965" s="47"/>
      <c r="C965" s="118"/>
      <c r="D965" s="118"/>
      <c r="E965" s="118"/>
      <c r="F965" s="118"/>
      <c r="G965" s="118"/>
      <c r="H965" s="118"/>
      <c r="I965" s="118"/>
    </row>
    <row r="966" spans="2:9">
      <c r="B966" s="47"/>
      <c r="C966" s="118"/>
      <c r="D966" s="118"/>
      <c r="E966" s="118"/>
      <c r="F966" s="118"/>
      <c r="G966" s="118"/>
      <c r="H966" s="118"/>
      <c r="I966" s="118"/>
    </row>
    <row r="967" spans="2:9">
      <c r="B967" s="47"/>
      <c r="C967" s="118"/>
      <c r="D967" s="118"/>
      <c r="E967" s="118"/>
      <c r="F967" s="118"/>
      <c r="G967" s="118"/>
      <c r="H967" s="118"/>
      <c r="I967" s="118"/>
    </row>
    <row r="968" spans="2:9">
      <c r="B968" s="47"/>
      <c r="C968" s="118"/>
      <c r="D968" s="118"/>
      <c r="E968" s="118"/>
      <c r="F968" s="118"/>
      <c r="G968" s="118"/>
      <c r="H968" s="118"/>
      <c r="I968" s="118"/>
    </row>
    <row r="969" spans="2:9">
      <c r="B969" s="47"/>
      <c r="C969" s="118"/>
      <c r="D969" s="118"/>
      <c r="E969" s="118"/>
      <c r="F969" s="118"/>
      <c r="G969" s="118"/>
      <c r="H969" s="118"/>
      <c r="I969" s="118"/>
    </row>
    <row r="970" spans="2:9">
      <c r="B970" s="47"/>
      <c r="C970" s="118"/>
      <c r="D970" s="118"/>
      <c r="E970" s="118"/>
      <c r="F970" s="118"/>
      <c r="G970" s="118"/>
      <c r="H970" s="118"/>
      <c r="I970" s="118"/>
    </row>
    <row r="971" spans="2:9">
      <c r="B971" s="47"/>
      <c r="C971" s="118"/>
      <c r="D971" s="118"/>
      <c r="E971" s="118"/>
      <c r="F971" s="118"/>
      <c r="G971" s="118"/>
      <c r="H971" s="118"/>
      <c r="I971" s="118"/>
    </row>
    <row r="972" spans="2:9">
      <c r="B972" s="47"/>
      <c r="C972" s="118"/>
      <c r="D972" s="118"/>
      <c r="E972" s="118"/>
      <c r="F972" s="118"/>
      <c r="G972" s="118"/>
      <c r="H972" s="118"/>
      <c r="I972" s="118"/>
    </row>
    <row r="973" spans="2:9">
      <c r="B973" s="47"/>
      <c r="C973" s="118"/>
      <c r="D973" s="118"/>
      <c r="E973" s="118"/>
      <c r="F973" s="118"/>
      <c r="G973" s="118"/>
      <c r="H973" s="118"/>
      <c r="I973" s="118"/>
    </row>
    <row r="974" spans="2:9">
      <c r="B974" s="47"/>
      <c r="C974" s="118"/>
      <c r="D974" s="118"/>
      <c r="E974" s="118"/>
      <c r="F974" s="118"/>
      <c r="G974" s="118"/>
      <c r="H974" s="118"/>
      <c r="I974" s="118"/>
    </row>
    <row r="975" spans="2:9">
      <c r="B975" s="47"/>
      <c r="C975" s="118"/>
      <c r="D975" s="118"/>
      <c r="E975" s="118"/>
      <c r="F975" s="118"/>
      <c r="G975" s="118"/>
      <c r="H975" s="118"/>
      <c r="I975" s="118"/>
    </row>
    <row r="976" spans="2:9">
      <c r="B976" s="47"/>
      <c r="C976" s="118"/>
      <c r="D976" s="118"/>
      <c r="E976" s="118"/>
      <c r="F976" s="118"/>
      <c r="G976" s="118"/>
      <c r="H976" s="118"/>
      <c r="I976" s="118"/>
    </row>
    <row r="977" spans="2:9">
      <c r="B977" s="47"/>
      <c r="C977" s="118"/>
      <c r="D977" s="118"/>
      <c r="E977" s="118"/>
      <c r="F977" s="118"/>
      <c r="G977" s="118"/>
      <c r="H977" s="118"/>
      <c r="I977" s="118"/>
    </row>
    <row r="978" spans="2:9">
      <c r="B978" s="47"/>
      <c r="C978" s="118"/>
      <c r="D978" s="118"/>
      <c r="E978" s="118"/>
      <c r="F978" s="118"/>
      <c r="G978" s="118"/>
      <c r="H978" s="118"/>
      <c r="I978" s="118"/>
    </row>
    <row r="979" spans="2:9">
      <c r="B979" s="47"/>
      <c r="C979" s="118"/>
      <c r="D979" s="118"/>
      <c r="E979" s="118"/>
      <c r="F979" s="118"/>
      <c r="G979" s="118"/>
      <c r="H979" s="118"/>
      <c r="I979" s="118"/>
    </row>
    <row r="980" spans="2:9">
      <c r="B980" s="47"/>
      <c r="C980" s="118"/>
      <c r="D980" s="118"/>
      <c r="E980" s="118"/>
      <c r="F980" s="118"/>
      <c r="G980" s="118"/>
      <c r="H980" s="118"/>
      <c r="I980" s="118"/>
    </row>
    <row r="981" spans="2:9">
      <c r="B981" s="47"/>
      <c r="C981" s="118"/>
      <c r="D981" s="118"/>
      <c r="E981" s="118"/>
      <c r="F981" s="118"/>
      <c r="G981" s="118"/>
      <c r="H981" s="118"/>
      <c r="I981" s="118"/>
    </row>
    <row r="982" spans="2:9">
      <c r="B982" s="47"/>
      <c r="C982" s="118"/>
      <c r="D982" s="118"/>
      <c r="E982" s="118"/>
      <c r="F982" s="118"/>
      <c r="G982" s="118"/>
      <c r="H982" s="118"/>
      <c r="I982" s="118"/>
    </row>
    <row r="983" spans="2:9">
      <c r="B983" s="47"/>
      <c r="C983" s="118"/>
      <c r="D983" s="118"/>
      <c r="E983" s="118"/>
      <c r="F983" s="118"/>
      <c r="G983" s="118"/>
      <c r="H983" s="118"/>
      <c r="I983" s="118"/>
    </row>
    <row r="984" spans="2:9">
      <c r="B984" s="47"/>
      <c r="C984" s="118"/>
      <c r="D984" s="118"/>
      <c r="E984" s="118"/>
      <c r="F984" s="118"/>
      <c r="G984" s="118"/>
      <c r="H984" s="118"/>
      <c r="I984" s="118"/>
    </row>
    <row r="985" spans="2:9">
      <c r="B985" s="47"/>
      <c r="C985" s="118"/>
      <c r="D985" s="118"/>
      <c r="E985" s="118"/>
      <c r="F985" s="118"/>
      <c r="G985" s="118"/>
      <c r="H985" s="118"/>
      <c r="I985" s="118"/>
    </row>
    <row r="986" spans="2:9">
      <c r="B986" s="47"/>
      <c r="C986" s="118"/>
      <c r="D986" s="118"/>
      <c r="E986" s="118"/>
      <c r="F986" s="118"/>
      <c r="G986" s="118"/>
      <c r="H986" s="118"/>
      <c r="I986" s="118"/>
    </row>
    <row r="987" spans="2:9">
      <c r="B987" s="47"/>
      <c r="C987" s="118"/>
      <c r="D987" s="118"/>
      <c r="E987" s="118"/>
      <c r="F987" s="118"/>
      <c r="G987" s="118"/>
      <c r="H987" s="118"/>
      <c r="I987" s="118"/>
    </row>
    <row r="988" spans="2:9">
      <c r="B988" s="47"/>
      <c r="C988" s="118"/>
      <c r="D988" s="118"/>
      <c r="E988" s="118"/>
      <c r="F988" s="118"/>
      <c r="G988" s="118"/>
      <c r="H988" s="118"/>
      <c r="I988" s="118"/>
    </row>
    <row r="989" spans="2:9">
      <c r="B989" s="47"/>
      <c r="C989" s="118"/>
      <c r="D989" s="118"/>
      <c r="E989" s="118"/>
      <c r="F989" s="118"/>
      <c r="G989" s="118"/>
      <c r="H989" s="118"/>
      <c r="I989" s="118"/>
    </row>
    <row r="990" spans="2:9">
      <c r="B990" s="47"/>
      <c r="C990" s="118"/>
      <c r="D990" s="118"/>
      <c r="E990" s="118"/>
      <c r="F990" s="118"/>
      <c r="G990" s="118"/>
      <c r="H990" s="118"/>
      <c r="I990" s="118"/>
    </row>
    <row r="991" spans="2:9">
      <c r="B991" s="47"/>
      <c r="C991" s="118"/>
      <c r="D991" s="118"/>
      <c r="E991" s="118"/>
      <c r="F991" s="118"/>
      <c r="G991" s="118"/>
      <c r="H991" s="118"/>
      <c r="I991" s="118"/>
    </row>
    <row r="992" spans="2:9">
      <c r="B992" s="47"/>
      <c r="C992" s="118"/>
      <c r="D992" s="118"/>
      <c r="E992" s="118"/>
      <c r="F992" s="118"/>
      <c r="G992" s="118"/>
      <c r="H992" s="118"/>
      <c r="I992" s="118"/>
    </row>
    <row r="993" spans="2:9">
      <c r="B993" s="47"/>
      <c r="C993" s="118"/>
      <c r="D993" s="118"/>
      <c r="E993" s="118"/>
      <c r="F993" s="118"/>
      <c r="G993" s="118"/>
      <c r="H993" s="118"/>
      <c r="I993" s="118"/>
    </row>
    <row r="994" spans="2:9">
      <c r="B994" s="47"/>
      <c r="C994" s="118"/>
      <c r="D994" s="118"/>
      <c r="E994" s="118"/>
      <c r="F994" s="118"/>
      <c r="G994" s="118"/>
      <c r="H994" s="118"/>
      <c r="I994" s="118"/>
    </row>
    <row r="995" spans="2:9">
      <c r="B995" s="47"/>
      <c r="C995" s="118"/>
      <c r="D995" s="118"/>
      <c r="E995" s="118"/>
      <c r="F995" s="118"/>
      <c r="G995" s="118"/>
      <c r="H995" s="118"/>
      <c r="I995" s="118"/>
    </row>
    <row r="996" spans="2:9">
      <c r="B996" s="47"/>
      <c r="C996" s="118"/>
      <c r="D996" s="118"/>
      <c r="E996" s="118"/>
      <c r="F996" s="118"/>
      <c r="G996" s="118"/>
      <c r="H996" s="118"/>
      <c r="I996" s="118"/>
    </row>
    <row r="997" spans="2:9">
      <c r="B997" s="47"/>
      <c r="C997" s="118"/>
      <c r="D997" s="118"/>
      <c r="E997" s="118"/>
      <c r="F997" s="118"/>
      <c r="G997" s="118"/>
      <c r="H997" s="118"/>
      <c r="I997" s="118"/>
    </row>
    <row r="998" spans="2:9">
      <c r="B998" s="47"/>
      <c r="C998" s="118"/>
      <c r="D998" s="118"/>
      <c r="E998" s="118"/>
      <c r="F998" s="118"/>
      <c r="G998" s="118"/>
      <c r="H998" s="118"/>
      <c r="I998" s="118"/>
    </row>
    <row r="999" spans="2:9">
      <c r="B999" s="47"/>
      <c r="C999" s="118"/>
      <c r="D999" s="118"/>
      <c r="E999" s="118"/>
      <c r="F999" s="118"/>
      <c r="G999" s="118"/>
      <c r="H999" s="118"/>
      <c r="I999" s="118"/>
    </row>
    <row r="1000" spans="2:9">
      <c r="B1000" s="47"/>
      <c r="C1000" s="118"/>
      <c r="D1000" s="118"/>
      <c r="E1000" s="118"/>
      <c r="F1000" s="118"/>
      <c r="G1000" s="118"/>
      <c r="H1000" s="118"/>
      <c r="I1000" s="118"/>
    </row>
    <row r="1001" spans="2:9">
      <c r="B1001" s="47"/>
      <c r="C1001" s="118"/>
      <c r="D1001" s="118"/>
      <c r="E1001" s="118"/>
      <c r="F1001" s="118"/>
      <c r="G1001" s="118"/>
      <c r="H1001" s="118"/>
      <c r="I1001" s="118"/>
    </row>
    <row r="1002" spans="2:9">
      <c r="B1002" s="47"/>
      <c r="C1002" s="118"/>
      <c r="D1002" s="118"/>
      <c r="E1002" s="118"/>
      <c r="F1002" s="118"/>
      <c r="G1002" s="118"/>
      <c r="H1002" s="118"/>
      <c r="I1002" s="118"/>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47" t="s">
        <v>411</v>
      </c>
      <c r="C1" s="141"/>
      <c r="D1" s="147"/>
      <c r="E1" s="147"/>
      <c r="F1" s="147"/>
      <c r="G1" s="118"/>
      <c r="H1" s="118"/>
    </row>
    <row r="2" spans="1:8">
      <c r="A2" s="118" t="s">
        <v>49</v>
      </c>
      <c r="B2" t="s">
        <v>3</v>
      </c>
      <c r="C2" s="118" t="s">
        <v>412</v>
      </c>
      <c r="D2" s="118"/>
      <c r="E2" s="118"/>
      <c r="F2" s="118"/>
      <c r="G2" s="118"/>
      <c r="H2" s="118"/>
    </row>
    <row r="3" spans="1:8">
      <c r="A3" s="118" t="s">
        <v>62</v>
      </c>
      <c r="B3" s="144" t="s">
        <v>5</v>
      </c>
      <c r="C3" s="144" t="s">
        <v>413</v>
      </c>
      <c r="D3" s="144" t="s">
        <v>414</v>
      </c>
      <c r="E3" s="144" t="s">
        <v>415</v>
      </c>
      <c r="F3" s="144" t="s">
        <v>416</v>
      </c>
      <c r="G3" s="144"/>
      <c r="H3" s="144"/>
    </row>
    <row r="4" spans="1:8" ht="25.5">
      <c r="B4" s="148" t="s">
        <v>16</v>
      </c>
      <c r="C4" s="639" t="s">
        <v>277</v>
      </c>
      <c r="D4" s="639" t="s">
        <v>417</v>
      </c>
      <c r="E4" s="639" t="s">
        <v>380</v>
      </c>
      <c r="F4" s="639" t="s">
        <v>418</v>
      </c>
      <c r="G4" s="150"/>
    </row>
    <row r="5" spans="1:8" ht="38.25">
      <c r="B5" s="148" t="s">
        <v>27</v>
      </c>
      <c r="C5" s="470" t="s">
        <v>381</v>
      </c>
      <c r="D5" s="470" t="s">
        <v>419</v>
      </c>
      <c r="E5" s="470" t="s">
        <v>420</v>
      </c>
      <c r="F5" s="470" t="s">
        <v>421</v>
      </c>
      <c r="G5" s="144"/>
      <c r="H5" s="144"/>
    </row>
    <row r="6" spans="1:8" ht="25.5">
      <c r="B6" s="149">
        <v>1</v>
      </c>
      <c r="C6" s="637" t="s">
        <v>218</v>
      </c>
      <c r="D6" s="637" t="s">
        <v>422</v>
      </c>
      <c r="E6" s="637"/>
      <c r="F6" s="637" t="s">
        <v>362</v>
      </c>
      <c r="G6" s="149">
        <v>1</v>
      </c>
    </row>
    <row r="7" spans="1:8">
      <c r="B7" s="149">
        <v>2</v>
      </c>
      <c r="C7" s="637"/>
      <c r="D7" s="637"/>
      <c r="E7" s="637"/>
      <c r="F7" s="637" t="s">
        <v>363</v>
      </c>
      <c r="G7" s="149">
        <v>2</v>
      </c>
      <c r="H7" s="144"/>
    </row>
    <row r="8" spans="1:8">
      <c r="B8" s="149">
        <v>3</v>
      </c>
      <c r="C8" s="817"/>
      <c r="D8" s="637"/>
      <c r="E8" s="637"/>
      <c r="F8" s="637"/>
      <c r="G8" s="149">
        <v>3</v>
      </c>
    </row>
    <row r="9" spans="1:8">
      <c r="B9" s="149">
        <v>4</v>
      </c>
      <c r="C9" s="637"/>
      <c r="D9" s="637"/>
      <c r="E9" s="637"/>
      <c r="F9" s="637"/>
      <c r="G9" s="149">
        <v>4</v>
      </c>
      <c r="H9" s="144"/>
    </row>
    <row r="10" spans="1:8">
      <c r="B10" s="149">
        <v>5</v>
      </c>
      <c r="C10" s="637"/>
      <c r="D10" s="641"/>
      <c r="E10" s="641"/>
      <c r="F10" s="641"/>
      <c r="G10" s="149">
        <v>5</v>
      </c>
    </row>
    <row r="11" spans="1:8" ht="38.25">
      <c r="B11" s="149">
        <v>6</v>
      </c>
      <c r="C11" s="817"/>
      <c r="D11" s="637" t="s">
        <v>423</v>
      </c>
      <c r="E11" s="637"/>
      <c r="F11" s="637" t="s">
        <v>424</v>
      </c>
      <c r="G11" s="149">
        <v>6</v>
      </c>
      <c r="H11" s="144"/>
    </row>
    <row r="12" spans="1:8" ht="25.5">
      <c r="B12" s="149">
        <v>7</v>
      </c>
      <c r="C12" s="637" t="s">
        <v>425</v>
      </c>
      <c r="D12" s="641"/>
      <c r="E12" s="641"/>
      <c r="F12" s="641"/>
      <c r="G12" s="149">
        <v>7</v>
      </c>
    </row>
    <row r="13" spans="1:8">
      <c r="B13" s="149">
        <v>8</v>
      </c>
      <c r="C13" s="637"/>
      <c r="D13" s="637"/>
      <c r="E13" s="637" t="s">
        <v>387</v>
      </c>
      <c r="F13" s="637"/>
      <c r="G13" s="149">
        <v>8</v>
      </c>
      <c r="H13" s="144"/>
    </row>
    <row r="14" spans="1:8">
      <c r="B14" s="149">
        <v>9</v>
      </c>
      <c r="C14" s="637"/>
      <c r="D14" s="637"/>
      <c r="E14" s="637"/>
      <c r="F14" s="637"/>
      <c r="G14" s="149">
        <v>9</v>
      </c>
    </row>
    <row r="15" spans="1:8" ht="25.5">
      <c r="B15" s="149">
        <v>10</v>
      </c>
      <c r="C15" s="637" t="s">
        <v>426</v>
      </c>
      <c r="D15" s="637" t="s">
        <v>427</v>
      </c>
      <c r="E15" s="637" t="s">
        <v>428</v>
      </c>
      <c r="F15" s="637" t="s">
        <v>371</v>
      </c>
      <c r="G15" s="149">
        <v>10</v>
      </c>
      <c r="H15" s="144"/>
    </row>
    <row r="16" spans="1: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D6</f>
        <v>Customer Service Line and Meter Locations inventory is not maintained or updated</v>
      </c>
      <c r="E23" t="str">
        <f>E13</f>
        <v>No field validation is conducted</v>
      </c>
      <c r="F23" s="118" t="str">
        <f>F6</f>
        <v>Policy doesn't exist</v>
      </c>
      <c r="G23" s="118"/>
      <c r="H23" s="118"/>
    </row>
    <row r="24" spans="2:14">
      <c r="B24" s="119"/>
      <c r="C24" s="118" t="str">
        <f>C12</f>
        <v>Input extrapolated from study sampling a portion of the system</v>
      </c>
      <c r="D24" s="118" t="str">
        <f>D11</f>
        <v>Additions or subtractions are updated in the service line and meter locations inventory, but less than annually</v>
      </c>
      <c r="E24" t="str">
        <f>E15</f>
        <v>Field validation is accomplished (i.e. through normal work order processes or specific validation projects)</v>
      </c>
      <c r="F24" s="118" t="str">
        <f>F7</f>
        <v>Policy exists, but is unclear</v>
      </c>
      <c r="G24" s="118"/>
      <c r="H24" s="118"/>
    </row>
    <row r="25" spans="2:14">
      <c r="B25" s="119"/>
      <c r="C25" s="118" t="str">
        <f>C15</f>
        <v>Derived from full mapping and customer inventory</v>
      </c>
      <c r="D25" t="str">
        <f>D15</f>
        <v>Additions or subtractions are updated in the service line and meter locations inventory, at least annually</v>
      </c>
      <c r="E25" s="118"/>
      <c r="F25" s="118" t="str">
        <f>F11</f>
        <v>Policy is clear, but adherence in practice is uncertain</v>
      </c>
      <c r="G25" s="118"/>
      <c r="H25" s="118"/>
    </row>
    <row r="26" spans="2:14">
      <c r="B26" s="119"/>
      <c r="C26" s="118"/>
      <c r="D26" s="118"/>
      <c r="E26" s="118"/>
      <c r="F26" s="118" t="str">
        <f>F15</f>
        <v>Policy is clear, and adherance in practice is consistent</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412</v>
      </c>
      <c r="C34" s="118"/>
      <c r="D34" s="118"/>
      <c r="E34" s="118"/>
      <c r="F34" s="118"/>
      <c r="G34" s="118"/>
      <c r="H34" s="118"/>
    </row>
    <row r="35" spans="2:8">
      <c r="B35" s="136" t="s">
        <v>381</v>
      </c>
      <c r="C35" s="118"/>
      <c r="D35" s="118"/>
      <c r="E35" s="118"/>
      <c r="F35" s="118"/>
      <c r="G35" s="118"/>
      <c r="H35" s="118"/>
    </row>
    <row r="36" spans="2:8">
      <c r="B36" s="136" t="s">
        <v>419</v>
      </c>
      <c r="C36" s="118"/>
      <c r="D36" s="118"/>
      <c r="E36" s="118"/>
      <c r="F36" s="118"/>
      <c r="G36" s="118"/>
      <c r="H36" s="118"/>
    </row>
    <row r="37" spans="2:8">
      <c r="B37" s="136" t="s">
        <v>420</v>
      </c>
      <c r="C37" s="118"/>
      <c r="D37" s="118"/>
      <c r="E37" s="118"/>
      <c r="F37" s="118"/>
      <c r="G37" s="118"/>
      <c r="H37" s="118"/>
    </row>
    <row r="38" spans="2:8">
      <c r="B38" s="136" t="s">
        <v>421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18" bestFit="1" customWidth="1"/>
    <col min="4" max="7" width="32.42578125" style="118" customWidth="1"/>
    <col min="8" max="8" width="3.85546875" bestFit="1" customWidth="1"/>
  </cols>
  <sheetData>
    <row r="1" spans="2:8">
      <c r="B1" s="47" t="s">
        <v>429</v>
      </c>
      <c r="C1" s="141"/>
      <c r="D1" s="147"/>
      <c r="E1" s="153" t="s">
        <v>2</v>
      </c>
      <c r="F1" s="147"/>
      <c r="H1" s="118"/>
    </row>
    <row r="2" spans="2:8">
      <c r="B2" s="118"/>
      <c r="F2" s="185" t="s">
        <v>2</v>
      </c>
      <c r="H2" s="118"/>
    </row>
    <row r="3" spans="2:8">
      <c r="B3" s="144" t="s">
        <v>5</v>
      </c>
      <c r="C3" s="144" t="s">
        <v>430</v>
      </c>
      <c r="D3" s="144" t="s">
        <v>431</v>
      </c>
      <c r="E3" s="144" t="s">
        <v>432</v>
      </c>
      <c r="F3" s="144" t="s">
        <v>433</v>
      </c>
      <c r="G3" s="144" t="s">
        <v>434</v>
      </c>
      <c r="H3" s="144"/>
    </row>
    <row r="4" spans="2:8" ht="25.5">
      <c r="B4" s="148" t="s">
        <v>16</v>
      </c>
      <c r="C4" s="639" t="s">
        <v>435</v>
      </c>
      <c r="D4" s="639" t="s">
        <v>436</v>
      </c>
      <c r="E4" s="639" t="s">
        <v>437</v>
      </c>
      <c r="F4" s="639" t="s">
        <v>438</v>
      </c>
      <c r="G4" s="150" t="s">
        <v>277</v>
      </c>
    </row>
    <row r="5" spans="2:8" ht="51">
      <c r="B5" s="148" t="s">
        <v>27</v>
      </c>
      <c r="C5" s="470" t="s">
        <v>439</v>
      </c>
      <c r="D5" s="470" t="s">
        <v>440</v>
      </c>
      <c r="E5" s="470" t="s">
        <v>441</v>
      </c>
      <c r="F5" s="470" t="s">
        <v>442</v>
      </c>
      <c r="G5" s="641" t="s">
        <v>381</v>
      </c>
      <c r="H5" s="144"/>
    </row>
    <row r="6" spans="2:8">
      <c r="B6" s="151">
        <v>1</v>
      </c>
      <c r="C6" s="637"/>
      <c r="D6" s="637"/>
      <c r="E6" s="637"/>
      <c r="F6" s="637"/>
      <c r="G6" s="641"/>
      <c r="H6" s="151">
        <v>1</v>
      </c>
    </row>
    <row r="7" spans="2:8">
      <c r="B7" s="151">
        <v>2</v>
      </c>
      <c r="C7" s="637"/>
      <c r="D7" s="637"/>
      <c r="E7" s="637"/>
      <c r="F7" s="637"/>
      <c r="G7" s="641"/>
      <c r="H7" s="151">
        <v>2</v>
      </c>
    </row>
    <row r="8" spans="2:8">
      <c r="B8" s="151">
        <v>3</v>
      </c>
      <c r="D8" s="637"/>
      <c r="F8" s="637"/>
      <c r="G8" s="641" t="s">
        <v>218</v>
      </c>
      <c r="H8" s="151">
        <v>3</v>
      </c>
    </row>
    <row r="9" spans="2:8">
      <c r="B9" s="151">
        <v>4</v>
      </c>
      <c r="C9" s="637"/>
      <c r="D9" s="637"/>
      <c r="E9" s="637"/>
      <c r="F9" s="637"/>
      <c r="G9" s="641"/>
      <c r="H9" s="151">
        <v>4</v>
      </c>
    </row>
    <row r="10" spans="2:8" ht="38.25">
      <c r="B10" s="151">
        <v>5</v>
      </c>
      <c r="C10" s="637"/>
      <c r="D10" s="641"/>
      <c r="F10" s="641"/>
      <c r="G10" s="641" t="s">
        <v>443</v>
      </c>
      <c r="H10" s="151">
        <v>5</v>
      </c>
    </row>
    <row r="11" spans="2:8" ht="25.5">
      <c r="B11" s="151">
        <v>6</v>
      </c>
      <c r="C11" s="817" t="s">
        <v>444</v>
      </c>
      <c r="D11" s="637"/>
      <c r="E11" s="637" t="s">
        <v>445</v>
      </c>
      <c r="F11" s="637"/>
      <c r="G11" s="641"/>
      <c r="H11" s="151">
        <v>6</v>
      </c>
    </row>
    <row r="12" spans="2:8" ht="38.25">
      <c r="B12" s="151">
        <v>7</v>
      </c>
      <c r="C12" s="637"/>
      <c r="D12" s="641"/>
      <c r="F12" s="641" t="s">
        <v>446</v>
      </c>
      <c r="G12" s="641" t="s">
        <v>447</v>
      </c>
      <c r="H12" s="151">
        <v>7</v>
      </c>
    </row>
    <row r="13" spans="2:8" ht="38.25">
      <c r="B13" s="151">
        <v>8</v>
      </c>
      <c r="C13" s="637" t="s">
        <v>448</v>
      </c>
      <c r="D13" s="637" t="s">
        <v>449</v>
      </c>
      <c r="E13" s="641" t="s">
        <v>450</v>
      </c>
      <c r="F13" s="637"/>
      <c r="G13" s="641"/>
      <c r="H13" s="151">
        <v>8</v>
      </c>
    </row>
    <row r="14" spans="2:8" ht="51">
      <c r="B14" s="151">
        <v>9</v>
      </c>
      <c r="C14" s="637"/>
      <c r="D14" s="637"/>
      <c r="E14" s="641" t="s">
        <v>451</v>
      </c>
      <c r="F14" s="637" t="s">
        <v>452</v>
      </c>
      <c r="G14" s="641" t="s">
        <v>453</v>
      </c>
      <c r="H14" s="151">
        <v>9</v>
      </c>
    </row>
    <row r="15" spans="2:8" ht="38.25">
      <c r="B15" s="151">
        <v>9</v>
      </c>
      <c r="C15" s="637"/>
      <c r="D15" s="637"/>
      <c r="E15" s="637"/>
      <c r="F15" s="637"/>
      <c r="G15" s="644" t="s">
        <v>454</v>
      </c>
      <c r="H15" s="151">
        <v>9</v>
      </c>
    </row>
    <row r="16" spans="2:8" ht="38.25">
      <c r="B16" s="152">
        <v>10</v>
      </c>
      <c r="C16" s="644" t="s">
        <v>455</v>
      </c>
      <c r="D16" s="641" t="s">
        <v>456</v>
      </c>
      <c r="E16" s="641" t="s">
        <v>457</v>
      </c>
      <c r="F16" s="641" t="s">
        <v>458</v>
      </c>
      <c r="G16" s="641" t="s">
        <v>459</v>
      </c>
      <c r="H16" s="152">
        <v>10</v>
      </c>
    </row>
    <row r="17" spans="2:14" ht="25.5">
      <c r="B17" s="152">
        <v>10</v>
      </c>
      <c r="C17" s="641" t="s">
        <v>460</v>
      </c>
      <c r="D17" s="642" t="s">
        <v>461</v>
      </c>
      <c r="E17" s="641"/>
      <c r="F17" s="641"/>
      <c r="G17" s="641"/>
      <c r="H17" s="152">
        <v>10</v>
      </c>
    </row>
    <row r="18" spans="2:14">
      <c r="B18" s="47"/>
      <c r="G18" s="150"/>
    </row>
    <row r="19" spans="2:14">
      <c r="B19" s="47"/>
      <c r="H19" s="118"/>
    </row>
    <row r="20" spans="2:14">
      <c r="B20" s="47"/>
      <c r="H20" s="118"/>
    </row>
    <row r="21" spans="2:14">
      <c r="B21" s="47"/>
      <c r="H21" s="118"/>
    </row>
    <row r="22" spans="2:14">
      <c r="B22" s="47"/>
      <c r="H22" s="118"/>
    </row>
    <row r="23" spans="2:14">
      <c r="B23" s="119" t="s">
        <v>70</v>
      </c>
      <c r="C23" s="118" t="str">
        <f>C11</f>
        <v>Normally-closed boundary valves between zones have never been confirmed to be fully closed</v>
      </c>
      <c r="D23" s="118" t="str">
        <f>D13</f>
        <v>Collected only if there are low pressure complaints, or new development requests</v>
      </c>
      <c r="E23" s="118" t="str">
        <f>E11</f>
        <v>Continuous pressure data is not collected</v>
      </c>
      <c r="F23" s="118" t="str">
        <f>F12</f>
        <v>Temporary data logger(s) deployed, but limited and not capturing seasonal variation during the year</v>
      </c>
      <c r="G23" s="118" t="str">
        <f>G8</f>
        <v>Guesstimated</v>
      </c>
      <c r="H23" s="118"/>
    </row>
    <row r="24" spans="2:14">
      <c r="B24" s="119"/>
      <c r="C24" s="118" t="str">
        <f>C13</f>
        <v>Normally-closed boundary valves between zones have been confirmed to be fully closed more than 3 years ago</v>
      </c>
      <c r="D24" s="118" t="str">
        <f>D16</f>
        <v>Collected annually during routine system flushing and/or hydrant testing</v>
      </c>
      <c r="E24" s="118" t="str">
        <f>E13</f>
        <v>At zone boundary conditions only (i.e. supply entry points, PRVs, booster stations)</v>
      </c>
      <c r="F24" s="118" t="str">
        <f>F14</f>
        <v>Temporary data logger(s) deployed, adequately capturing seasonal variation during the year</v>
      </c>
      <c r="G24" s="118" t="str">
        <f>G10</f>
        <v xml:space="preserve">Loose estimate inferred from field measurements, but no analysis nor calculations performed </v>
      </c>
      <c r="H24" s="118"/>
    </row>
    <row r="25" spans="2:14">
      <c r="B25" s="119"/>
      <c r="C25" s="118" t="str">
        <f>C16</f>
        <v>Normally-closed boundary valves between zones have been confirmed within the past 3 years to be fully closed</v>
      </c>
      <c r="D25" s="118">
        <f>D12</f>
        <v>0</v>
      </c>
      <c r="E25" s="118" t="str">
        <f>E14</f>
        <v>At zone boundary conditions, plus some locations inside the zone(s) but not representing the full pressure profile</v>
      </c>
      <c r="F25" s="118" t="str">
        <f>F16</f>
        <v>Year-round data collection via permanent monitoring</v>
      </c>
      <c r="G25" s="118" t="str">
        <f>G12</f>
        <v>Calculated from field data as a simple average</v>
      </c>
      <c r="H25" s="118"/>
    </row>
    <row r="26" spans="2:14">
      <c r="B26" s="119"/>
      <c r="C26" s="118" t="str">
        <f>C17</f>
        <v>Not applicable, the system operates as a single pressure zone</v>
      </c>
      <c r="E26" s="118" t="str">
        <f>E16</f>
        <v>At zone boundary conditions, plus locations inside the zone(s) representing the full pressure profile</v>
      </c>
      <c r="G26" s="118" t="str">
        <f>G14</f>
        <v>Calculated from field data as a weighted average, compliant with methods described in the M36 Manual</v>
      </c>
      <c r="H26" s="118"/>
      <c r="L26" s="118"/>
      <c r="N26" s="118"/>
    </row>
    <row r="27" spans="2:14">
      <c r="B27" s="119"/>
      <c r="G27" s="118" t="str">
        <f>G15</f>
        <v>Derived from hydraulic model, where model has not been field calibrated in the last 5 years</v>
      </c>
      <c r="H27" s="118"/>
      <c r="N27" s="118"/>
    </row>
    <row r="28" spans="2:14">
      <c r="B28" s="119"/>
      <c r="G28" s="118" t="str">
        <f>G16</f>
        <v>Derived from hydraulic model, where model has been field calibrated in the last 5 years</v>
      </c>
      <c r="H28" s="118"/>
    </row>
    <row r="29" spans="2:14">
      <c r="B29" s="119"/>
      <c r="H29" s="118"/>
    </row>
    <row r="30" spans="2:14">
      <c r="B30" s="121"/>
      <c r="H30" s="118"/>
    </row>
    <row r="31" spans="2:14">
      <c r="B31" s="121"/>
      <c r="H31" s="118"/>
    </row>
    <row r="32" spans="2:14">
      <c r="B32" s="119"/>
      <c r="H32" s="118"/>
    </row>
    <row r="33" spans="2:8">
      <c r="B33" s="119" t="s">
        <v>71</v>
      </c>
      <c r="H33" s="118"/>
    </row>
    <row r="34" spans="2:8">
      <c r="B34" s="136">
        <f>C2</f>
        <v>0</v>
      </c>
      <c r="H34" s="118"/>
    </row>
    <row r="35" spans="2:8">
      <c r="B35" s="136" t="s">
        <v>439</v>
      </c>
      <c r="H35" s="118"/>
    </row>
    <row r="36" spans="2:8">
      <c r="B36" s="136" t="s">
        <v>440</v>
      </c>
      <c r="H36" s="118"/>
    </row>
    <row r="37" spans="2:8">
      <c r="B37" s="136" t="s">
        <v>441</v>
      </c>
      <c r="H37" s="118"/>
    </row>
    <row r="38" spans="2:8">
      <c r="B38" s="136" t="s">
        <v>442</v>
      </c>
      <c r="H38" s="118"/>
    </row>
    <row r="39" spans="2:8">
      <c r="B39" s="136" t="s">
        <v>381</v>
      </c>
      <c r="H39" s="118"/>
    </row>
    <row r="40" spans="2:8">
      <c r="B40" s="136"/>
      <c r="H40" s="118"/>
    </row>
    <row r="41" spans="2:8">
      <c r="B41" s="136"/>
      <c r="H41" s="118"/>
    </row>
    <row r="42" spans="2:8">
      <c r="B42" s="136"/>
      <c r="H42" s="118"/>
    </row>
    <row r="43" spans="2:8">
      <c r="B43" s="47"/>
      <c r="H43" s="118"/>
    </row>
    <row r="44" spans="2:8">
      <c r="B44" s="47"/>
      <c r="H44" s="118"/>
    </row>
    <row r="45" spans="2:8">
      <c r="B45" s="47"/>
      <c r="H45" s="118"/>
    </row>
    <row r="46" spans="2:8">
      <c r="B46" s="47"/>
      <c r="H46" s="118"/>
    </row>
    <row r="47" spans="2:8">
      <c r="B47" s="47"/>
      <c r="H47" s="118"/>
    </row>
    <row r="48" spans="2:8">
      <c r="B48" s="47"/>
      <c r="H48" s="118"/>
    </row>
    <row r="49" spans="2:8">
      <c r="B49" s="47"/>
      <c r="H49" s="118"/>
    </row>
    <row r="50" spans="2:8">
      <c r="B50" s="47"/>
      <c r="H50" s="118"/>
    </row>
    <row r="51" spans="2:8">
      <c r="B51" s="47"/>
      <c r="H51" s="118"/>
    </row>
    <row r="52" spans="2:8">
      <c r="B52" s="47"/>
      <c r="H52" s="118"/>
    </row>
    <row r="53" spans="2:8">
      <c r="B53" s="47"/>
      <c r="H53" s="118"/>
    </row>
    <row r="54" spans="2:8">
      <c r="B54" s="47"/>
      <c r="H54" s="118"/>
    </row>
    <row r="55" spans="2:8">
      <c r="B55" s="47"/>
      <c r="H55" s="118"/>
    </row>
    <row r="56" spans="2:8">
      <c r="B56" s="47"/>
      <c r="H56" s="118"/>
    </row>
    <row r="57" spans="2:8">
      <c r="B57" s="47"/>
      <c r="H57" s="118"/>
    </row>
    <row r="58" spans="2:8">
      <c r="B58" s="47"/>
      <c r="H58" s="118"/>
    </row>
    <row r="59" spans="2:8">
      <c r="B59" s="47"/>
      <c r="H59" s="118"/>
    </row>
    <row r="60" spans="2:8">
      <c r="B60" s="47"/>
      <c r="H60" s="118"/>
    </row>
    <row r="61" spans="2:8">
      <c r="B61" s="47"/>
      <c r="H61" s="118"/>
    </row>
    <row r="62" spans="2:8">
      <c r="B62" s="47"/>
      <c r="H62" s="118"/>
    </row>
    <row r="63" spans="2:8">
      <c r="B63" s="47"/>
      <c r="H63" s="118"/>
    </row>
    <row r="64" spans="2:8">
      <c r="B64" s="47"/>
      <c r="H64" s="118"/>
    </row>
    <row r="65" spans="2:8">
      <c r="B65" s="47"/>
      <c r="H65" s="118"/>
    </row>
    <row r="66" spans="2:8">
      <c r="B66" s="47"/>
      <c r="H66" s="118"/>
    </row>
    <row r="67" spans="2:8">
      <c r="B67" s="47"/>
      <c r="H67" s="118"/>
    </row>
    <row r="68" spans="2:8">
      <c r="B68" s="47"/>
      <c r="H68" s="118"/>
    </row>
    <row r="69" spans="2:8">
      <c r="B69" s="47"/>
      <c r="H69" s="118"/>
    </row>
    <row r="70" spans="2:8">
      <c r="B70" s="47"/>
      <c r="H70" s="118"/>
    </row>
    <row r="71" spans="2:8">
      <c r="B71" s="47"/>
      <c r="H71" s="118"/>
    </row>
    <row r="72" spans="2:8">
      <c r="B72" s="47"/>
      <c r="H72" s="118"/>
    </row>
    <row r="73" spans="2:8">
      <c r="B73" s="47"/>
      <c r="H73" s="118"/>
    </row>
    <row r="74" spans="2:8">
      <c r="B74" s="47"/>
      <c r="H74" s="118"/>
    </row>
    <row r="75" spans="2:8">
      <c r="B75" s="47"/>
      <c r="H75" s="118"/>
    </row>
    <row r="76" spans="2:8">
      <c r="B76" s="47"/>
      <c r="H76" s="118"/>
    </row>
    <row r="77" spans="2:8">
      <c r="B77" s="47"/>
      <c r="H77" s="118"/>
    </row>
    <row r="78" spans="2:8">
      <c r="B78" s="47"/>
      <c r="H78" s="118"/>
    </row>
    <row r="79" spans="2:8">
      <c r="B79" s="47"/>
      <c r="H79" s="118"/>
    </row>
    <row r="80" spans="2:8">
      <c r="B80" s="47"/>
      <c r="H80" s="118"/>
    </row>
    <row r="81" spans="2:8">
      <c r="B81" s="47"/>
      <c r="H81" s="118"/>
    </row>
    <row r="82" spans="2:8">
      <c r="B82" s="47"/>
      <c r="H82" s="118"/>
    </row>
    <row r="83" spans="2:8">
      <c r="B83" s="47"/>
      <c r="H83" s="118"/>
    </row>
    <row r="84" spans="2:8">
      <c r="B84" s="47"/>
      <c r="H84" s="118"/>
    </row>
    <row r="85" spans="2:8">
      <c r="B85" s="47"/>
      <c r="H85" s="118"/>
    </row>
    <row r="86" spans="2:8">
      <c r="B86" s="47"/>
      <c r="H86" s="118"/>
    </row>
    <row r="87" spans="2:8">
      <c r="B87" s="47"/>
      <c r="H87" s="118"/>
    </row>
    <row r="88" spans="2:8">
      <c r="B88" s="47"/>
      <c r="H88" s="118"/>
    </row>
    <row r="89" spans="2:8">
      <c r="B89" s="47"/>
      <c r="H89" s="118"/>
    </row>
    <row r="90" spans="2:8">
      <c r="B90" s="47"/>
      <c r="H90" s="118"/>
    </row>
    <row r="91" spans="2:8">
      <c r="B91" s="47"/>
      <c r="H91" s="118"/>
    </row>
    <row r="92" spans="2:8">
      <c r="B92" s="47"/>
      <c r="H92" s="118"/>
    </row>
    <row r="93" spans="2:8">
      <c r="B93" s="47"/>
      <c r="H93" s="118"/>
    </row>
    <row r="94" spans="2:8">
      <c r="B94" s="47"/>
      <c r="H94" s="118"/>
    </row>
    <row r="95" spans="2:8">
      <c r="B95" s="47"/>
      <c r="H95" s="118"/>
    </row>
    <row r="96" spans="2:8">
      <c r="B96" s="47"/>
      <c r="H96" s="118"/>
    </row>
    <row r="97" spans="2:8">
      <c r="B97" s="47"/>
      <c r="H97" s="118"/>
    </row>
    <row r="98" spans="2:8">
      <c r="B98" s="47"/>
      <c r="H98" s="118"/>
    </row>
    <row r="99" spans="2:8">
      <c r="B99" s="47"/>
      <c r="H99" s="118"/>
    </row>
    <row r="100" spans="2:8">
      <c r="B100" s="47"/>
      <c r="H100" s="118"/>
    </row>
    <row r="101" spans="2:8">
      <c r="B101" s="47"/>
      <c r="H101" s="118"/>
    </row>
    <row r="102" spans="2:8">
      <c r="B102" s="47"/>
      <c r="H102" s="118"/>
    </row>
    <row r="103" spans="2:8">
      <c r="B103" s="47"/>
      <c r="H103" s="118"/>
    </row>
    <row r="104" spans="2:8">
      <c r="B104" s="47"/>
      <c r="H104" s="118"/>
    </row>
    <row r="105" spans="2:8">
      <c r="B105" s="47"/>
      <c r="H105" s="118"/>
    </row>
    <row r="106" spans="2:8">
      <c r="B106" s="47"/>
      <c r="H106" s="118"/>
    </row>
    <row r="107" spans="2:8">
      <c r="B107" s="47"/>
      <c r="H107" s="118"/>
    </row>
    <row r="108" spans="2:8">
      <c r="B108" s="47"/>
      <c r="H108" s="118"/>
    </row>
    <row r="109" spans="2:8">
      <c r="B109" s="47"/>
      <c r="H109" s="118"/>
    </row>
    <row r="110" spans="2:8">
      <c r="B110" s="47"/>
      <c r="H110" s="118"/>
    </row>
    <row r="111" spans="2:8">
      <c r="B111" s="47"/>
      <c r="H111" s="118"/>
    </row>
    <row r="112" spans="2:8">
      <c r="B112" s="47"/>
      <c r="H112" s="118"/>
    </row>
    <row r="113" spans="2:8">
      <c r="B113" s="47"/>
      <c r="H113" s="118"/>
    </row>
    <row r="114" spans="2:8">
      <c r="B114" s="47"/>
      <c r="H114" s="118"/>
    </row>
    <row r="115" spans="2:8">
      <c r="B115" s="47"/>
      <c r="H115" s="118"/>
    </row>
    <row r="116" spans="2:8">
      <c r="B116" s="47"/>
      <c r="H116" s="118"/>
    </row>
    <row r="117" spans="2:8">
      <c r="B117" s="47"/>
      <c r="H117" s="118"/>
    </row>
    <row r="118" spans="2:8">
      <c r="B118" s="47"/>
      <c r="H118" s="118"/>
    </row>
    <row r="119" spans="2:8">
      <c r="B119" s="47"/>
      <c r="H119" s="118"/>
    </row>
    <row r="120" spans="2:8">
      <c r="B120" s="47"/>
      <c r="H120" s="118"/>
    </row>
    <row r="121" spans="2:8">
      <c r="B121" s="47"/>
      <c r="H121" s="118"/>
    </row>
    <row r="122" spans="2:8">
      <c r="B122" s="47"/>
      <c r="H122" s="118"/>
    </row>
    <row r="123" spans="2:8">
      <c r="B123" s="47"/>
      <c r="H123" s="118"/>
    </row>
    <row r="124" spans="2:8">
      <c r="B124" s="47"/>
      <c r="H124" s="118"/>
    </row>
    <row r="125" spans="2:8">
      <c r="B125" s="47"/>
      <c r="H125" s="118"/>
    </row>
    <row r="126" spans="2:8">
      <c r="B126" s="47"/>
      <c r="H126" s="118"/>
    </row>
    <row r="127" spans="2:8">
      <c r="B127" s="47"/>
      <c r="H127" s="118"/>
    </row>
    <row r="128" spans="2:8">
      <c r="B128" s="47"/>
      <c r="H128" s="118"/>
    </row>
    <row r="129" spans="2:8">
      <c r="B129" s="47"/>
      <c r="H129" s="118"/>
    </row>
    <row r="130" spans="2:8">
      <c r="B130" s="47"/>
      <c r="H130" s="118"/>
    </row>
    <row r="131" spans="2:8">
      <c r="B131" s="47"/>
      <c r="H131" s="118"/>
    </row>
    <row r="132" spans="2:8">
      <c r="B132" s="47"/>
      <c r="H132" s="118"/>
    </row>
    <row r="133" spans="2:8">
      <c r="B133" s="47"/>
      <c r="H133" s="118"/>
    </row>
    <row r="134" spans="2:8">
      <c r="B134" s="47"/>
      <c r="H134" s="118"/>
    </row>
    <row r="135" spans="2:8">
      <c r="B135" s="47"/>
      <c r="H135" s="118"/>
    </row>
    <row r="136" spans="2:8">
      <c r="B136" s="47"/>
      <c r="H136" s="118"/>
    </row>
    <row r="137" spans="2:8">
      <c r="B137" s="47"/>
      <c r="H137" s="118"/>
    </row>
    <row r="138" spans="2:8">
      <c r="B138" s="47"/>
      <c r="H138" s="118"/>
    </row>
    <row r="139" spans="2:8">
      <c r="B139" s="47"/>
      <c r="H139" s="118"/>
    </row>
    <row r="140" spans="2:8">
      <c r="B140" s="47"/>
      <c r="H140" s="118"/>
    </row>
    <row r="141" spans="2:8">
      <c r="B141" s="47"/>
      <c r="H141" s="118"/>
    </row>
    <row r="142" spans="2:8">
      <c r="B142" s="47"/>
      <c r="H142" s="118"/>
    </row>
    <row r="143" spans="2:8">
      <c r="B143" s="47"/>
      <c r="H143" s="118"/>
    </row>
    <row r="144" spans="2:8">
      <c r="B144" s="47"/>
      <c r="H144" s="118"/>
    </row>
    <row r="145" spans="2:8">
      <c r="B145" s="47"/>
      <c r="H145" s="118"/>
    </row>
    <row r="146" spans="2:8">
      <c r="B146" s="47"/>
      <c r="H146" s="118"/>
    </row>
    <row r="147" spans="2:8">
      <c r="B147" s="47"/>
      <c r="H147" s="118"/>
    </row>
    <row r="148" spans="2:8">
      <c r="B148" s="47"/>
      <c r="H148" s="118"/>
    </row>
    <row r="149" spans="2:8">
      <c r="B149" s="47"/>
      <c r="H149" s="118"/>
    </row>
    <row r="150" spans="2:8">
      <c r="B150" s="47"/>
      <c r="H150" s="118"/>
    </row>
    <row r="151" spans="2:8">
      <c r="B151" s="47"/>
      <c r="H151" s="118"/>
    </row>
    <row r="152" spans="2:8">
      <c r="B152" s="47"/>
      <c r="H152" s="118"/>
    </row>
    <row r="153" spans="2:8">
      <c r="B153" s="47"/>
      <c r="H153" s="118"/>
    </row>
    <row r="154" spans="2:8">
      <c r="B154" s="47"/>
      <c r="H154" s="118"/>
    </row>
    <row r="155" spans="2:8">
      <c r="B155" s="47"/>
      <c r="H155" s="118"/>
    </row>
    <row r="156" spans="2:8">
      <c r="B156" s="47"/>
      <c r="H156" s="118"/>
    </row>
    <row r="157" spans="2:8">
      <c r="B157" s="47"/>
      <c r="H157" s="118"/>
    </row>
    <row r="158" spans="2:8">
      <c r="B158" s="47"/>
      <c r="H158" s="118"/>
    </row>
    <row r="159" spans="2:8">
      <c r="B159" s="47"/>
      <c r="H159" s="118"/>
    </row>
    <row r="160" spans="2:8">
      <c r="B160" s="47"/>
      <c r="H160" s="118"/>
    </row>
    <row r="161" spans="2:8">
      <c r="B161" s="47"/>
      <c r="H161" s="118"/>
    </row>
    <row r="162" spans="2:8">
      <c r="B162" s="47"/>
      <c r="H162" s="118"/>
    </row>
    <row r="163" spans="2:8">
      <c r="B163" s="47"/>
      <c r="H163" s="118"/>
    </row>
    <row r="164" spans="2:8">
      <c r="B164" s="47"/>
      <c r="H164" s="118"/>
    </row>
    <row r="165" spans="2:8">
      <c r="B165" s="47"/>
      <c r="H165" s="118"/>
    </row>
    <row r="166" spans="2:8">
      <c r="B166" s="47"/>
      <c r="H166" s="118"/>
    </row>
    <row r="167" spans="2:8">
      <c r="B167" s="47"/>
      <c r="H167" s="118"/>
    </row>
    <row r="168" spans="2:8">
      <c r="B168" s="47"/>
      <c r="H168" s="118"/>
    </row>
    <row r="169" spans="2:8">
      <c r="B169" s="47"/>
      <c r="H169" s="118"/>
    </row>
    <row r="170" spans="2:8">
      <c r="B170" s="47"/>
      <c r="H170" s="118"/>
    </row>
    <row r="171" spans="2:8">
      <c r="B171" s="47"/>
      <c r="H171" s="118"/>
    </row>
    <row r="172" spans="2:8">
      <c r="B172" s="47"/>
      <c r="H172" s="118"/>
    </row>
    <row r="173" spans="2:8">
      <c r="B173" s="47"/>
      <c r="H173" s="118"/>
    </row>
    <row r="174" spans="2:8">
      <c r="B174" s="47"/>
      <c r="H174" s="118"/>
    </row>
    <row r="175" spans="2:8">
      <c r="B175" s="47"/>
      <c r="H175" s="118"/>
    </row>
    <row r="176" spans="2:8">
      <c r="B176" s="47"/>
      <c r="H176" s="118"/>
    </row>
    <row r="177" spans="2:8">
      <c r="B177" s="47"/>
      <c r="H177" s="118"/>
    </row>
    <row r="178" spans="2:8">
      <c r="B178" s="47"/>
      <c r="H178" s="118"/>
    </row>
    <row r="179" spans="2:8">
      <c r="B179" s="47"/>
      <c r="H179" s="118"/>
    </row>
    <row r="180" spans="2:8">
      <c r="B180" s="47"/>
      <c r="H180" s="118"/>
    </row>
    <row r="181" spans="2:8">
      <c r="B181" s="47"/>
      <c r="H181" s="118"/>
    </row>
    <row r="182" spans="2:8">
      <c r="B182" s="47"/>
      <c r="H182" s="118"/>
    </row>
    <row r="183" spans="2:8">
      <c r="B183" s="47"/>
      <c r="H183" s="118"/>
    </row>
    <row r="184" spans="2:8">
      <c r="B184" s="47"/>
      <c r="H184" s="118"/>
    </row>
    <row r="185" spans="2:8">
      <c r="B185" s="47"/>
      <c r="H185" s="118"/>
    </row>
    <row r="186" spans="2:8">
      <c r="B186" s="47"/>
      <c r="H186" s="118"/>
    </row>
    <row r="187" spans="2:8">
      <c r="B187" s="47"/>
      <c r="H187" s="118"/>
    </row>
    <row r="188" spans="2:8">
      <c r="B188" s="47"/>
      <c r="H188" s="118"/>
    </row>
    <row r="189" spans="2:8">
      <c r="B189" s="47"/>
      <c r="H189" s="118"/>
    </row>
    <row r="190" spans="2:8">
      <c r="B190" s="47"/>
      <c r="H190" s="118"/>
    </row>
    <row r="191" spans="2:8">
      <c r="B191" s="47"/>
      <c r="H191" s="118"/>
    </row>
    <row r="192" spans="2:8">
      <c r="B192" s="47"/>
      <c r="H192" s="118"/>
    </row>
    <row r="193" spans="2:8">
      <c r="B193" s="47"/>
      <c r="H193" s="118"/>
    </row>
    <row r="194" spans="2:8">
      <c r="B194" s="47"/>
      <c r="H194" s="118"/>
    </row>
    <row r="195" spans="2:8">
      <c r="B195" s="47"/>
      <c r="H195" s="118"/>
    </row>
    <row r="196" spans="2:8">
      <c r="B196" s="47"/>
      <c r="H196" s="118"/>
    </row>
    <row r="197" spans="2:8">
      <c r="B197" s="47"/>
      <c r="H197" s="118"/>
    </row>
    <row r="198" spans="2:8">
      <c r="B198" s="47"/>
      <c r="H198" s="118"/>
    </row>
    <row r="199" spans="2:8">
      <c r="B199" s="47"/>
      <c r="H199" s="118"/>
    </row>
    <row r="200" spans="2:8">
      <c r="B200" s="47"/>
      <c r="H200" s="118"/>
    </row>
    <row r="201" spans="2:8">
      <c r="B201" s="47"/>
      <c r="H201" s="118"/>
    </row>
    <row r="202" spans="2:8">
      <c r="B202" s="47"/>
      <c r="H202" s="118"/>
    </row>
    <row r="203" spans="2:8">
      <c r="B203" s="47"/>
      <c r="H203" s="118"/>
    </row>
    <row r="204" spans="2:8">
      <c r="B204" s="47"/>
      <c r="H204" s="118"/>
    </row>
    <row r="205" spans="2:8">
      <c r="B205" s="47"/>
      <c r="H205" s="118"/>
    </row>
    <row r="206" spans="2:8">
      <c r="B206" s="47"/>
      <c r="H206" s="118"/>
    </row>
    <row r="207" spans="2:8">
      <c r="B207" s="47"/>
      <c r="H207" s="118"/>
    </row>
    <row r="208" spans="2:8">
      <c r="B208" s="47"/>
      <c r="H208" s="118"/>
    </row>
    <row r="209" spans="2:8">
      <c r="B209" s="47"/>
      <c r="H209" s="118"/>
    </row>
    <row r="210" spans="2:8">
      <c r="B210" s="47"/>
      <c r="H210" s="118"/>
    </row>
    <row r="211" spans="2:8">
      <c r="B211" s="47"/>
      <c r="H211" s="118"/>
    </row>
    <row r="212" spans="2:8">
      <c r="B212" s="47"/>
      <c r="H212" s="118"/>
    </row>
    <row r="213" spans="2:8">
      <c r="B213" s="47"/>
      <c r="H213" s="118"/>
    </row>
    <row r="214" spans="2:8">
      <c r="B214" s="47"/>
      <c r="H214" s="118"/>
    </row>
    <row r="215" spans="2:8">
      <c r="B215" s="47"/>
      <c r="H215" s="118"/>
    </row>
    <row r="216" spans="2:8">
      <c r="B216" s="47"/>
      <c r="H216" s="118"/>
    </row>
    <row r="217" spans="2:8">
      <c r="B217" s="47"/>
      <c r="H217" s="118"/>
    </row>
    <row r="218" spans="2:8">
      <c r="B218" s="47"/>
      <c r="H218" s="118"/>
    </row>
    <row r="219" spans="2:8">
      <c r="B219" s="47"/>
      <c r="H219" s="118"/>
    </row>
    <row r="220" spans="2:8">
      <c r="B220" s="47"/>
      <c r="H220" s="118"/>
    </row>
    <row r="221" spans="2:8">
      <c r="B221" s="47"/>
      <c r="H221" s="118"/>
    </row>
    <row r="222" spans="2:8">
      <c r="B222" s="47"/>
      <c r="H222" s="118"/>
    </row>
    <row r="223" spans="2:8">
      <c r="B223" s="47"/>
      <c r="H223" s="118"/>
    </row>
    <row r="224" spans="2:8">
      <c r="B224" s="47"/>
      <c r="H224" s="118"/>
    </row>
    <row r="225" spans="2:8">
      <c r="B225" s="47"/>
      <c r="H225" s="118"/>
    </row>
    <row r="226" spans="2:8">
      <c r="B226" s="47"/>
      <c r="H226" s="118"/>
    </row>
    <row r="227" spans="2:8">
      <c r="B227" s="47"/>
      <c r="H227" s="118"/>
    </row>
    <row r="228" spans="2:8">
      <c r="B228" s="47"/>
      <c r="H228" s="118"/>
    </row>
    <row r="229" spans="2:8">
      <c r="B229" s="47"/>
      <c r="H229" s="118"/>
    </row>
    <row r="230" spans="2:8">
      <c r="B230" s="47"/>
      <c r="H230" s="118"/>
    </row>
    <row r="231" spans="2:8">
      <c r="B231" s="47"/>
      <c r="H231" s="118"/>
    </row>
    <row r="232" spans="2:8">
      <c r="B232" s="47"/>
      <c r="H232" s="118"/>
    </row>
    <row r="233" spans="2:8">
      <c r="B233" s="47"/>
      <c r="H233" s="118"/>
    </row>
    <row r="234" spans="2:8">
      <c r="B234" s="47"/>
      <c r="H234" s="118"/>
    </row>
    <row r="235" spans="2:8">
      <c r="B235" s="47"/>
      <c r="H235" s="118"/>
    </row>
    <row r="236" spans="2:8">
      <c r="B236" s="47"/>
      <c r="H236" s="118"/>
    </row>
    <row r="237" spans="2:8">
      <c r="B237" s="47"/>
      <c r="H237" s="118"/>
    </row>
    <row r="238" spans="2:8">
      <c r="B238" s="47"/>
      <c r="H238" s="118"/>
    </row>
    <row r="239" spans="2:8">
      <c r="B239" s="47"/>
      <c r="H239" s="118"/>
    </row>
    <row r="240" spans="2:8">
      <c r="B240" s="47"/>
      <c r="H240" s="118"/>
    </row>
    <row r="241" spans="2:8">
      <c r="B241" s="47"/>
      <c r="H241" s="118"/>
    </row>
    <row r="242" spans="2:8">
      <c r="B242" s="47"/>
      <c r="H242" s="118"/>
    </row>
    <row r="243" spans="2:8">
      <c r="B243" s="47"/>
      <c r="H243" s="118"/>
    </row>
    <row r="244" spans="2:8">
      <c r="B244" s="47"/>
      <c r="H244" s="118"/>
    </row>
    <row r="245" spans="2:8">
      <c r="B245" s="47"/>
      <c r="H245" s="118"/>
    </row>
    <row r="246" spans="2:8">
      <c r="B246" s="47"/>
      <c r="H246" s="118"/>
    </row>
    <row r="247" spans="2:8">
      <c r="B247" s="47"/>
      <c r="H247" s="118"/>
    </row>
    <row r="248" spans="2:8">
      <c r="B248" s="47"/>
      <c r="H248" s="118"/>
    </row>
    <row r="249" spans="2:8">
      <c r="B249" s="47"/>
      <c r="H249" s="118"/>
    </row>
    <row r="250" spans="2:8">
      <c r="B250" s="47"/>
      <c r="H250" s="118"/>
    </row>
    <row r="251" spans="2:8">
      <c r="B251" s="47"/>
      <c r="H251" s="118"/>
    </row>
    <row r="252" spans="2:8">
      <c r="B252" s="47"/>
      <c r="H252" s="118"/>
    </row>
    <row r="253" spans="2:8">
      <c r="B253" s="47"/>
      <c r="H253" s="118"/>
    </row>
    <row r="254" spans="2:8">
      <c r="B254" s="47"/>
      <c r="H254" s="118"/>
    </row>
    <row r="255" spans="2:8">
      <c r="B255" s="47"/>
      <c r="H255" s="118"/>
    </row>
    <row r="256" spans="2:8">
      <c r="B256" s="47"/>
      <c r="H256" s="118"/>
    </row>
    <row r="257" spans="2:8">
      <c r="B257" s="47"/>
      <c r="H257" s="118"/>
    </row>
    <row r="258" spans="2:8">
      <c r="B258" s="47"/>
      <c r="H258" s="118"/>
    </row>
    <row r="259" spans="2:8">
      <c r="B259" s="47"/>
      <c r="H259" s="118"/>
    </row>
    <row r="260" spans="2:8">
      <c r="B260" s="47"/>
      <c r="H260" s="118"/>
    </row>
    <row r="261" spans="2:8">
      <c r="B261" s="47"/>
      <c r="H261" s="118"/>
    </row>
    <row r="262" spans="2:8">
      <c r="B262" s="47"/>
      <c r="H262" s="118"/>
    </row>
    <row r="263" spans="2:8">
      <c r="B263" s="47"/>
      <c r="H263" s="118"/>
    </row>
    <row r="264" spans="2:8">
      <c r="B264" s="47"/>
      <c r="H264" s="118"/>
    </row>
    <row r="265" spans="2:8">
      <c r="B265" s="47"/>
      <c r="H265" s="118"/>
    </row>
    <row r="266" spans="2:8">
      <c r="B266" s="47"/>
      <c r="H266" s="118"/>
    </row>
    <row r="267" spans="2:8">
      <c r="B267" s="47"/>
      <c r="H267" s="118"/>
    </row>
    <row r="268" spans="2:8">
      <c r="B268" s="47"/>
      <c r="H268" s="118"/>
    </row>
    <row r="269" spans="2:8">
      <c r="B269" s="47"/>
      <c r="H269" s="118"/>
    </row>
    <row r="270" spans="2:8">
      <c r="B270" s="47"/>
      <c r="H270" s="118"/>
    </row>
    <row r="271" spans="2:8">
      <c r="B271" s="47"/>
      <c r="H271" s="118"/>
    </row>
    <row r="272" spans="2:8">
      <c r="B272" s="47"/>
      <c r="H272" s="118"/>
    </row>
    <row r="273" spans="2:8">
      <c r="B273" s="47"/>
      <c r="H273" s="118"/>
    </row>
    <row r="274" spans="2:8">
      <c r="B274" s="47"/>
      <c r="H274" s="118"/>
    </row>
    <row r="275" spans="2:8">
      <c r="B275" s="47"/>
      <c r="H275" s="118"/>
    </row>
    <row r="276" spans="2:8">
      <c r="B276" s="47"/>
      <c r="H276" s="118"/>
    </row>
    <row r="277" spans="2:8">
      <c r="B277" s="47"/>
      <c r="H277" s="118"/>
    </row>
    <row r="278" spans="2:8">
      <c r="B278" s="47"/>
      <c r="H278" s="118"/>
    </row>
    <row r="279" spans="2:8">
      <c r="B279" s="47"/>
      <c r="H279" s="118"/>
    </row>
    <row r="280" spans="2:8">
      <c r="B280" s="47"/>
      <c r="H280" s="118"/>
    </row>
    <row r="281" spans="2:8">
      <c r="B281" s="47"/>
      <c r="H281" s="118"/>
    </row>
    <row r="282" spans="2:8">
      <c r="B282" s="47"/>
      <c r="H282" s="118"/>
    </row>
    <row r="283" spans="2:8">
      <c r="B283" s="47"/>
      <c r="H283" s="118"/>
    </row>
    <row r="284" spans="2:8">
      <c r="B284" s="47"/>
      <c r="H284" s="118"/>
    </row>
    <row r="285" spans="2:8">
      <c r="B285" s="47"/>
      <c r="H285" s="118"/>
    </row>
    <row r="286" spans="2:8">
      <c r="B286" s="47"/>
      <c r="H286" s="118"/>
    </row>
    <row r="287" spans="2:8">
      <c r="B287" s="47"/>
      <c r="H287" s="118"/>
    </row>
    <row r="288" spans="2:8">
      <c r="B288" s="47"/>
      <c r="H288" s="118"/>
    </row>
    <row r="289" spans="2:8">
      <c r="B289" s="47"/>
      <c r="H289" s="118"/>
    </row>
    <row r="290" spans="2:8">
      <c r="B290" s="47"/>
      <c r="H290" s="118"/>
    </row>
    <row r="291" spans="2:8">
      <c r="B291" s="47"/>
      <c r="H291" s="118"/>
    </row>
    <row r="292" spans="2:8">
      <c r="B292" s="47"/>
      <c r="H292" s="118"/>
    </row>
    <row r="293" spans="2:8">
      <c r="B293" s="47"/>
      <c r="H293" s="118"/>
    </row>
    <row r="294" spans="2:8">
      <c r="B294" s="47"/>
      <c r="H294" s="118"/>
    </row>
    <row r="295" spans="2:8">
      <c r="B295" s="47"/>
      <c r="H295" s="118"/>
    </row>
    <row r="296" spans="2:8">
      <c r="B296" s="47"/>
      <c r="H296" s="118"/>
    </row>
    <row r="297" spans="2:8">
      <c r="B297" s="47"/>
      <c r="H297" s="118"/>
    </row>
    <row r="298" spans="2:8">
      <c r="B298" s="47"/>
      <c r="H298" s="118"/>
    </row>
    <row r="299" spans="2:8">
      <c r="B299" s="47"/>
      <c r="H299" s="118"/>
    </row>
    <row r="300" spans="2:8">
      <c r="B300" s="47"/>
      <c r="H300" s="118"/>
    </row>
    <row r="301" spans="2:8">
      <c r="B301" s="47"/>
      <c r="H301" s="118"/>
    </row>
    <row r="302" spans="2:8">
      <c r="B302" s="47"/>
      <c r="H302" s="118"/>
    </row>
    <row r="303" spans="2:8">
      <c r="B303" s="47"/>
      <c r="H303" s="118"/>
    </row>
    <row r="304" spans="2:8">
      <c r="B304" s="47"/>
      <c r="H304" s="118"/>
    </row>
    <row r="305" spans="2:8">
      <c r="B305" s="47"/>
      <c r="H305" s="118"/>
    </row>
    <row r="306" spans="2:8">
      <c r="B306" s="47"/>
      <c r="H306" s="118"/>
    </row>
    <row r="307" spans="2:8">
      <c r="B307" s="47"/>
      <c r="H307" s="118"/>
    </row>
    <row r="308" spans="2:8">
      <c r="B308" s="47"/>
      <c r="H308" s="118"/>
    </row>
    <row r="309" spans="2:8">
      <c r="B309" s="47"/>
      <c r="H309" s="118"/>
    </row>
    <row r="310" spans="2:8">
      <c r="B310" s="47"/>
      <c r="H310" s="118"/>
    </row>
    <row r="311" spans="2:8">
      <c r="B311" s="47"/>
      <c r="H311" s="118"/>
    </row>
    <row r="312" spans="2:8">
      <c r="B312" s="47"/>
      <c r="H312" s="118"/>
    </row>
    <row r="313" spans="2:8">
      <c r="B313" s="47"/>
      <c r="H313" s="118"/>
    </row>
    <row r="314" spans="2:8">
      <c r="B314" s="47"/>
      <c r="H314" s="118"/>
    </row>
    <row r="315" spans="2:8">
      <c r="B315" s="47"/>
      <c r="H315" s="118"/>
    </row>
    <row r="316" spans="2:8">
      <c r="B316" s="47"/>
      <c r="H316" s="118"/>
    </row>
    <row r="317" spans="2:8">
      <c r="B317" s="47"/>
      <c r="H317" s="118"/>
    </row>
    <row r="318" spans="2:8">
      <c r="B318" s="47"/>
      <c r="H318" s="118"/>
    </row>
    <row r="319" spans="2:8">
      <c r="B319" s="47"/>
      <c r="H319" s="118"/>
    </row>
    <row r="320" spans="2:8">
      <c r="B320" s="47"/>
      <c r="H320" s="118"/>
    </row>
    <row r="321" spans="2:8">
      <c r="B321" s="47"/>
      <c r="H321" s="118"/>
    </row>
    <row r="322" spans="2:8">
      <c r="B322" s="47"/>
      <c r="H322" s="118"/>
    </row>
    <row r="323" spans="2:8">
      <c r="B323" s="47"/>
      <c r="H323" s="118"/>
    </row>
    <row r="324" spans="2:8">
      <c r="B324" s="47"/>
      <c r="H324" s="118"/>
    </row>
    <row r="325" spans="2:8">
      <c r="B325" s="47"/>
      <c r="H325" s="118"/>
    </row>
    <row r="326" spans="2:8">
      <c r="B326" s="47"/>
      <c r="H326" s="118"/>
    </row>
    <row r="327" spans="2:8">
      <c r="B327" s="47"/>
      <c r="H327" s="118"/>
    </row>
    <row r="328" spans="2:8">
      <c r="B328" s="47"/>
      <c r="H328" s="118"/>
    </row>
    <row r="329" spans="2:8">
      <c r="B329" s="47"/>
      <c r="H329" s="118"/>
    </row>
    <row r="330" spans="2:8">
      <c r="B330" s="47"/>
      <c r="H330" s="118"/>
    </row>
    <row r="331" spans="2:8">
      <c r="B331" s="47"/>
      <c r="H331" s="118"/>
    </row>
    <row r="332" spans="2:8">
      <c r="B332" s="47"/>
      <c r="H332" s="118"/>
    </row>
    <row r="333" spans="2:8">
      <c r="B333" s="47"/>
      <c r="H333" s="118"/>
    </row>
    <row r="334" spans="2:8">
      <c r="B334" s="47"/>
      <c r="H334" s="118"/>
    </row>
    <row r="335" spans="2:8">
      <c r="B335" s="47"/>
      <c r="H335" s="118"/>
    </row>
    <row r="336" spans="2:8">
      <c r="B336" s="47"/>
      <c r="H336" s="118"/>
    </row>
    <row r="337" spans="2:8">
      <c r="B337" s="47"/>
      <c r="H337" s="118"/>
    </row>
    <row r="338" spans="2:8">
      <c r="B338" s="47"/>
      <c r="H338" s="118"/>
    </row>
    <row r="339" spans="2:8">
      <c r="B339" s="47"/>
      <c r="H339" s="118"/>
    </row>
    <row r="340" spans="2:8">
      <c r="B340" s="47"/>
      <c r="H340" s="118"/>
    </row>
    <row r="341" spans="2:8">
      <c r="B341" s="47"/>
      <c r="H341" s="118"/>
    </row>
    <row r="342" spans="2:8">
      <c r="B342" s="47"/>
      <c r="H342" s="118"/>
    </row>
    <row r="343" spans="2:8">
      <c r="B343" s="47"/>
      <c r="H343" s="118"/>
    </row>
    <row r="344" spans="2:8">
      <c r="B344" s="47"/>
      <c r="H344" s="118"/>
    </row>
    <row r="345" spans="2:8">
      <c r="B345" s="47"/>
      <c r="H345" s="118"/>
    </row>
    <row r="346" spans="2:8">
      <c r="B346" s="47"/>
      <c r="H346" s="118"/>
    </row>
    <row r="347" spans="2:8">
      <c r="B347" s="47"/>
      <c r="H347" s="118"/>
    </row>
    <row r="348" spans="2:8">
      <c r="B348" s="47"/>
      <c r="H348" s="118"/>
    </row>
    <row r="349" spans="2:8">
      <c r="B349" s="47"/>
      <c r="H349" s="118"/>
    </row>
    <row r="350" spans="2:8">
      <c r="B350" s="47"/>
      <c r="H350" s="118"/>
    </row>
    <row r="351" spans="2:8">
      <c r="B351" s="47"/>
      <c r="H351" s="118"/>
    </row>
    <row r="352" spans="2:8">
      <c r="B352" s="47"/>
      <c r="H352" s="118"/>
    </row>
    <row r="353" spans="2:8">
      <c r="B353" s="47"/>
      <c r="H353" s="118"/>
    </row>
    <row r="354" spans="2:8">
      <c r="B354" s="47"/>
      <c r="H354" s="118"/>
    </row>
    <row r="355" spans="2:8">
      <c r="B355" s="47"/>
      <c r="H355" s="118"/>
    </row>
    <row r="356" spans="2:8">
      <c r="B356" s="47"/>
      <c r="H356" s="118"/>
    </row>
    <row r="357" spans="2:8">
      <c r="B357" s="47"/>
      <c r="H357" s="118"/>
    </row>
    <row r="358" spans="2:8">
      <c r="B358" s="47"/>
      <c r="H358" s="118"/>
    </row>
    <row r="359" spans="2:8">
      <c r="B359" s="47"/>
      <c r="H359" s="118"/>
    </row>
    <row r="360" spans="2:8">
      <c r="B360" s="47"/>
      <c r="H360" s="118"/>
    </row>
    <row r="361" spans="2:8">
      <c r="B361" s="47"/>
      <c r="H361" s="118"/>
    </row>
    <row r="362" spans="2:8">
      <c r="B362" s="47"/>
      <c r="H362" s="118"/>
    </row>
    <row r="363" spans="2:8">
      <c r="B363" s="47"/>
      <c r="H363" s="118"/>
    </row>
    <row r="364" spans="2:8">
      <c r="B364" s="47"/>
      <c r="H364" s="118"/>
    </row>
    <row r="365" spans="2:8">
      <c r="B365" s="47"/>
      <c r="H365" s="118"/>
    </row>
    <row r="366" spans="2:8">
      <c r="B366" s="47"/>
      <c r="H366" s="118"/>
    </row>
    <row r="367" spans="2:8">
      <c r="B367" s="47"/>
      <c r="H367" s="118"/>
    </row>
    <row r="368" spans="2:8">
      <c r="B368" s="47"/>
      <c r="H368" s="118"/>
    </row>
    <row r="369" spans="2:8">
      <c r="B369" s="47"/>
      <c r="H369" s="118"/>
    </row>
    <row r="370" spans="2:8">
      <c r="B370" s="47"/>
      <c r="H370" s="118"/>
    </row>
    <row r="371" spans="2:8">
      <c r="B371" s="47"/>
      <c r="H371" s="118"/>
    </row>
    <row r="372" spans="2:8">
      <c r="B372" s="47"/>
      <c r="H372" s="118"/>
    </row>
    <row r="373" spans="2:8">
      <c r="B373" s="47"/>
      <c r="H373" s="118"/>
    </row>
    <row r="374" spans="2:8">
      <c r="B374" s="47"/>
      <c r="H374" s="118"/>
    </row>
    <row r="375" spans="2:8">
      <c r="B375" s="47"/>
      <c r="H375" s="118"/>
    </row>
    <row r="376" spans="2:8">
      <c r="B376" s="47"/>
      <c r="H376" s="118"/>
    </row>
    <row r="377" spans="2:8">
      <c r="B377" s="47"/>
      <c r="H377" s="118"/>
    </row>
    <row r="378" spans="2:8">
      <c r="B378" s="47"/>
      <c r="H378" s="118"/>
    </row>
    <row r="379" spans="2:8">
      <c r="B379" s="47"/>
      <c r="H379" s="118"/>
    </row>
    <row r="380" spans="2:8">
      <c r="B380" s="47"/>
      <c r="H380" s="118"/>
    </row>
    <row r="381" spans="2:8">
      <c r="B381" s="47"/>
      <c r="H381" s="118"/>
    </row>
    <row r="382" spans="2:8">
      <c r="B382" s="47"/>
      <c r="H382" s="118"/>
    </row>
    <row r="383" spans="2:8">
      <c r="B383" s="47"/>
      <c r="H383" s="118"/>
    </row>
    <row r="384" spans="2:8">
      <c r="B384" s="47"/>
      <c r="H384" s="118"/>
    </row>
    <row r="385" spans="2:8">
      <c r="B385" s="47"/>
      <c r="H385" s="118"/>
    </row>
    <row r="386" spans="2:8">
      <c r="B386" s="47"/>
      <c r="H386" s="118"/>
    </row>
    <row r="387" spans="2:8">
      <c r="B387" s="47"/>
      <c r="H387" s="118"/>
    </row>
    <row r="388" spans="2:8">
      <c r="B388" s="47"/>
      <c r="H388" s="118"/>
    </row>
    <row r="389" spans="2:8">
      <c r="B389" s="47"/>
      <c r="H389" s="118"/>
    </row>
    <row r="390" spans="2:8">
      <c r="B390" s="47"/>
      <c r="H390" s="118"/>
    </row>
    <row r="391" spans="2:8">
      <c r="B391" s="47"/>
      <c r="H391" s="118"/>
    </row>
    <row r="392" spans="2:8">
      <c r="B392" s="47"/>
      <c r="H392" s="118"/>
    </row>
    <row r="393" spans="2:8">
      <c r="B393" s="47"/>
      <c r="H393" s="118"/>
    </row>
    <row r="394" spans="2:8">
      <c r="B394" s="47"/>
      <c r="H394" s="118"/>
    </row>
    <row r="395" spans="2:8">
      <c r="B395" s="47"/>
      <c r="H395" s="118"/>
    </row>
    <row r="396" spans="2:8">
      <c r="B396" s="47"/>
      <c r="H396" s="118"/>
    </row>
    <row r="397" spans="2:8">
      <c r="B397" s="47"/>
      <c r="H397" s="118"/>
    </row>
    <row r="398" spans="2:8">
      <c r="B398" s="47"/>
      <c r="H398" s="118"/>
    </row>
    <row r="399" spans="2:8">
      <c r="B399" s="47"/>
      <c r="H399" s="118"/>
    </row>
    <row r="400" spans="2:8">
      <c r="B400" s="47"/>
      <c r="H400" s="118"/>
    </row>
    <row r="401" spans="2:8">
      <c r="B401" s="47"/>
      <c r="H401" s="118"/>
    </row>
    <row r="402" spans="2:8">
      <c r="B402" s="47"/>
      <c r="H402" s="118"/>
    </row>
    <row r="403" spans="2:8">
      <c r="B403" s="47"/>
      <c r="H403" s="118"/>
    </row>
    <row r="404" spans="2:8">
      <c r="B404" s="47"/>
      <c r="H404" s="118"/>
    </row>
    <row r="405" spans="2:8">
      <c r="B405" s="47"/>
      <c r="H405" s="118"/>
    </row>
    <row r="406" spans="2:8">
      <c r="B406" s="47"/>
      <c r="H406" s="118"/>
    </row>
    <row r="407" spans="2:8">
      <c r="B407" s="47"/>
      <c r="H407" s="118"/>
    </row>
    <row r="408" spans="2:8">
      <c r="B408" s="47"/>
      <c r="H408" s="118"/>
    </row>
    <row r="409" spans="2:8">
      <c r="B409" s="47"/>
      <c r="H409" s="118"/>
    </row>
    <row r="410" spans="2:8">
      <c r="B410" s="47"/>
      <c r="H410" s="118"/>
    </row>
    <row r="411" spans="2:8">
      <c r="B411" s="47"/>
      <c r="H411" s="118"/>
    </row>
    <row r="412" spans="2:8">
      <c r="B412" s="47"/>
      <c r="H412" s="118"/>
    </row>
    <row r="413" spans="2:8">
      <c r="B413" s="47"/>
      <c r="H413" s="118"/>
    </row>
    <row r="414" spans="2:8">
      <c r="B414" s="47"/>
      <c r="H414" s="118"/>
    </row>
    <row r="415" spans="2:8">
      <c r="B415" s="47"/>
      <c r="H415" s="118"/>
    </row>
    <row r="416" spans="2:8">
      <c r="B416" s="47"/>
      <c r="H416" s="118"/>
    </row>
    <row r="417" spans="2:8">
      <c r="B417" s="47"/>
      <c r="H417" s="118"/>
    </row>
    <row r="418" spans="2:8">
      <c r="B418" s="47"/>
      <c r="H418" s="118"/>
    </row>
    <row r="419" spans="2:8">
      <c r="B419" s="47"/>
      <c r="H419" s="118"/>
    </row>
    <row r="420" spans="2:8">
      <c r="B420" s="47"/>
      <c r="H420" s="118"/>
    </row>
    <row r="421" spans="2:8">
      <c r="B421" s="47"/>
      <c r="H421" s="118"/>
    </row>
    <row r="422" spans="2:8">
      <c r="B422" s="47"/>
      <c r="H422" s="118"/>
    </row>
    <row r="423" spans="2:8">
      <c r="B423" s="47"/>
      <c r="H423" s="118"/>
    </row>
    <row r="424" spans="2:8">
      <c r="B424" s="47"/>
      <c r="H424" s="118"/>
    </row>
    <row r="425" spans="2:8">
      <c r="B425" s="47"/>
      <c r="H425" s="118"/>
    </row>
    <row r="426" spans="2:8">
      <c r="B426" s="47"/>
      <c r="H426" s="118"/>
    </row>
    <row r="427" spans="2:8">
      <c r="B427" s="47"/>
      <c r="H427" s="118"/>
    </row>
    <row r="428" spans="2:8">
      <c r="B428" s="47"/>
      <c r="H428" s="118"/>
    </row>
    <row r="429" spans="2:8">
      <c r="B429" s="47"/>
      <c r="H429" s="118"/>
    </row>
    <row r="430" spans="2:8">
      <c r="B430" s="47"/>
      <c r="H430" s="118"/>
    </row>
    <row r="431" spans="2:8">
      <c r="B431" s="47"/>
      <c r="H431" s="118"/>
    </row>
    <row r="432" spans="2:8">
      <c r="B432" s="47"/>
      <c r="H432" s="118"/>
    </row>
    <row r="433" spans="2:8">
      <c r="B433" s="47"/>
      <c r="H433" s="118"/>
    </row>
    <row r="434" spans="2:8">
      <c r="B434" s="47"/>
      <c r="H434" s="118"/>
    </row>
    <row r="435" spans="2:8">
      <c r="B435" s="47"/>
      <c r="H435" s="118"/>
    </row>
    <row r="436" spans="2:8">
      <c r="B436" s="47"/>
      <c r="H436" s="118"/>
    </row>
    <row r="437" spans="2:8">
      <c r="B437" s="47"/>
      <c r="H437" s="118"/>
    </row>
    <row r="438" spans="2:8">
      <c r="B438" s="47"/>
      <c r="H438" s="118"/>
    </row>
    <row r="439" spans="2:8">
      <c r="B439" s="47"/>
      <c r="H439" s="118"/>
    </row>
    <row r="440" spans="2:8">
      <c r="B440" s="47"/>
      <c r="H440" s="118"/>
    </row>
    <row r="441" spans="2:8">
      <c r="B441" s="47"/>
      <c r="H441" s="118"/>
    </row>
    <row r="442" spans="2:8">
      <c r="B442" s="47"/>
      <c r="H442" s="118"/>
    </row>
    <row r="443" spans="2:8">
      <c r="B443" s="47"/>
      <c r="H443" s="118"/>
    </row>
    <row r="444" spans="2:8">
      <c r="B444" s="47"/>
      <c r="H444" s="118"/>
    </row>
    <row r="445" spans="2:8">
      <c r="B445" s="47"/>
      <c r="H445" s="118"/>
    </row>
    <row r="446" spans="2:8">
      <c r="B446" s="47"/>
      <c r="H446" s="118"/>
    </row>
    <row r="447" spans="2:8">
      <c r="B447" s="47"/>
      <c r="H447" s="118"/>
    </row>
    <row r="448" spans="2:8">
      <c r="B448" s="47"/>
      <c r="H448" s="118"/>
    </row>
    <row r="449" spans="2:8">
      <c r="B449" s="47"/>
      <c r="H449" s="118"/>
    </row>
    <row r="450" spans="2:8">
      <c r="B450" s="47"/>
      <c r="H450" s="118"/>
    </row>
    <row r="451" spans="2:8">
      <c r="B451" s="47"/>
      <c r="H451" s="118"/>
    </row>
    <row r="452" spans="2:8">
      <c r="B452" s="47"/>
      <c r="H452" s="118"/>
    </row>
    <row r="453" spans="2:8">
      <c r="B453" s="47"/>
      <c r="H453" s="118"/>
    </row>
    <row r="454" spans="2:8">
      <c r="B454" s="47"/>
      <c r="H454" s="118"/>
    </row>
    <row r="455" spans="2:8">
      <c r="B455" s="47"/>
      <c r="H455" s="118"/>
    </row>
    <row r="456" spans="2:8">
      <c r="B456" s="47"/>
      <c r="H456" s="118"/>
    </row>
    <row r="457" spans="2:8">
      <c r="B457" s="47"/>
      <c r="H457" s="118"/>
    </row>
    <row r="458" spans="2:8">
      <c r="B458" s="47"/>
      <c r="H458" s="118"/>
    </row>
    <row r="459" spans="2:8">
      <c r="B459" s="47"/>
      <c r="H459" s="118"/>
    </row>
    <row r="460" spans="2:8">
      <c r="B460" s="47"/>
      <c r="H460" s="118"/>
    </row>
    <row r="461" spans="2:8">
      <c r="B461" s="47"/>
      <c r="H461" s="118"/>
    </row>
    <row r="462" spans="2:8">
      <c r="B462" s="47"/>
      <c r="H462" s="118"/>
    </row>
    <row r="463" spans="2:8">
      <c r="B463" s="47"/>
      <c r="H463" s="118"/>
    </row>
    <row r="464" spans="2:8">
      <c r="B464" s="47"/>
      <c r="H464" s="118"/>
    </row>
    <row r="465" spans="2:8">
      <c r="B465" s="47"/>
      <c r="H465" s="118"/>
    </row>
    <row r="466" spans="2:8">
      <c r="B466" s="47"/>
      <c r="H466" s="118"/>
    </row>
    <row r="467" spans="2:8">
      <c r="B467" s="47"/>
      <c r="H467" s="118"/>
    </row>
    <row r="468" spans="2:8">
      <c r="B468" s="47"/>
      <c r="H468" s="118"/>
    </row>
    <row r="469" spans="2:8">
      <c r="B469" s="47"/>
      <c r="H469" s="118"/>
    </row>
    <row r="470" spans="2:8">
      <c r="B470" s="47"/>
      <c r="H470" s="118"/>
    </row>
    <row r="471" spans="2:8">
      <c r="B471" s="47"/>
      <c r="H471" s="118"/>
    </row>
    <row r="472" spans="2:8">
      <c r="B472" s="47"/>
      <c r="H472" s="118"/>
    </row>
    <row r="473" spans="2:8">
      <c r="B473" s="47"/>
      <c r="H473" s="118"/>
    </row>
    <row r="474" spans="2:8">
      <c r="B474" s="47"/>
      <c r="H474" s="118"/>
    </row>
    <row r="475" spans="2:8">
      <c r="B475" s="47"/>
      <c r="H475" s="118"/>
    </row>
    <row r="476" spans="2:8">
      <c r="B476" s="47"/>
      <c r="H476" s="118"/>
    </row>
    <row r="477" spans="2:8">
      <c r="B477" s="47"/>
      <c r="H477" s="118"/>
    </row>
    <row r="478" spans="2:8">
      <c r="B478" s="47"/>
      <c r="H478" s="118"/>
    </row>
    <row r="479" spans="2:8">
      <c r="B479" s="47"/>
      <c r="H479" s="118"/>
    </row>
    <row r="480" spans="2:8">
      <c r="B480" s="47"/>
      <c r="H480" s="118"/>
    </row>
    <row r="481" spans="2:8">
      <c r="B481" s="47"/>
      <c r="H481" s="118"/>
    </row>
    <row r="482" spans="2:8">
      <c r="B482" s="47"/>
      <c r="H482" s="118"/>
    </row>
    <row r="483" spans="2:8">
      <c r="B483" s="47"/>
      <c r="H483" s="118"/>
    </row>
    <row r="484" spans="2:8">
      <c r="B484" s="47"/>
      <c r="H484" s="118"/>
    </row>
    <row r="485" spans="2:8">
      <c r="B485" s="47"/>
      <c r="H485" s="118"/>
    </row>
    <row r="486" spans="2:8">
      <c r="B486" s="47"/>
      <c r="H486" s="118"/>
    </row>
    <row r="487" spans="2:8">
      <c r="B487" s="47"/>
      <c r="H487" s="118"/>
    </row>
    <row r="488" spans="2:8">
      <c r="B488" s="47"/>
      <c r="H488" s="118"/>
    </row>
    <row r="489" spans="2:8">
      <c r="B489" s="47"/>
      <c r="H489" s="118"/>
    </row>
    <row r="490" spans="2:8">
      <c r="B490" s="47"/>
      <c r="H490" s="118"/>
    </row>
    <row r="491" spans="2:8">
      <c r="B491" s="47"/>
      <c r="H491" s="118"/>
    </row>
    <row r="492" spans="2:8">
      <c r="B492" s="47"/>
      <c r="H492" s="118"/>
    </row>
    <row r="493" spans="2:8">
      <c r="B493" s="47"/>
      <c r="H493" s="118"/>
    </row>
    <row r="494" spans="2:8">
      <c r="B494" s="47"/>
      <c r="H494" s="118"/>
    </row>
    <row r="495" spans="2:8">
      <c r="B495" s="47"/>
      <c r="H495" s="118"/>
    </row>
    <row r="496" spans="2:8">
      <c r="B496" s="47"/>
      <c r="H496" s="118"/>
    </row>
    <row r="497" spans="2:8">
      <c r="B497" s="47"/>
      <c r="H497" s="118"/>
    </row>
    <row r="498" spans="2:8">
      <c r="B498" s="47"/>
      <c r="H498" s="118"/>
    </row>
    <row r="499" spans="2:8">
      <c r="B499" s="47"/>
      <c r="H499" s="118"/>
    </row>
    <row r="500" spans="2:8">
      <c r="B500" s="47"/>
      <c r="H500" s="118"/>
    </row>
    <row r="501" spans="2:8">
      <c r="B501" s="47"/>
      <c r="H501" s="118"/>
    </row>
    <row r="502" spans="2:8">
      <c r="B502" s="47"/>
      <c r="H502" s="118"/>
    </row>
    <row r="503" spans="2:8">
      <c r="B503" s="47"/>
      <c r="H503" s="118"/>
    </row>
    <row r="504" spans="2:8">
      <c r="B504" s="47"/>
      <c r="H504" s="118"/>
    </row>
    <row r="505" spans="2:8">
      <c r="B505" s="47"/>
      <c r="H505" s="118"/>
    </row>
    <row r="506" spans="2:8">
      <c r="B506" s="47"/>
      <c r="H506" s="118"/>
    </row>
    <row r="507" spans="2:8">
      <c r="B507" s="47"/>
      <c r="H507" s="118"/>
    </row>
    <row r="508" spans="2:8">
      <c r="B508" s="47"/>
      <c r="H508" s="118"/>
    </row>
    <row r="509" spans="2:8">
      <c r="B509" s="47"/>
      <c r="H509" s="118"/>
    </row>
    <row r="510" spans="2:8">
      <c r="B510" s="47"/>
      <c r="H510" s="118"/>
    </row>
    <row r="511" spans="2:8">
      <c r="B511" s="47"/>
      <c r="H511" s="118"/>
    </row>
    <row r="512" spans="2:8">
      <c r="B512" s="47"/>
      <c r="H512" s="118"/>
    </row>
    <row r="513" spans="2:8">
      <c r="B513" s="47"/>
      <c r="H513" s="118"/>
    </row>
    <row r="514" spans="2:8">
      <c r="B514" s="47"/>
      <c r="H514" s="118"/>
    </row>
    <row r="515" spans="2:8">
      <c r="B515" s="47"/>
      <c r="H515" s="118"/>
    </row>
    <row r="516" spans="2:8">
      <c r="B516" s="47"/>
      <c r="H516" s="118"/>
    </row>
    <row r="517" spans="2:8">
      <c r="B517" s="47"/>
      <c r="H517" s="118"/>
    </row>
    <row r="518" spans="2:8">
      <c r="B518" s="47"/>
      <c r="H518" s="118"/>
    </row>
    <row r="519" spans="2:8">
      <c r="B519" s="47"/>
      <c r="H519" s="118"/>
    </row>
    <row r="520" spans="2:8">
      <c r="B520" s="47"/>
      <c r="H520" s="118"/>
    </row>
    <row r="521" spans="2:8">
      <c r="B521" s="47"/>
      <c r="H521" s="118"/>
    </row>
    <row r="522" spans="2:8">
      <c r="B522" s="47"/>
      <c r="H522" s="118"/>
    </row>
    <row r="523" spans="2:8">
      <c r="B523" s="47"/>
      <c r="H523" s="118"/>
    </row>
    <row r="524" spans="2:8">
      <c r="B524" s="47"/>
      <c r="H524" s="118"/>
    </row>
    <row r="525" spans="2:8">
      <c r="B525" s="47"/>
      <c r="H525" s="118"/>
    </row>
    <row r="526" spans="2:8">
      <c r="B526" s="47"/>
      <c r="H526" s="118"/>
    </row>
    <row r="527" spans="2:8">
      <c r="B527" s="47"/>
      <c r="H527" s="118"/>
    </row>
    <row r="528" spans="2:8">
      <c r="B528" s="47"/>
      <c r="H528" s="118"/>
    </row>
    <row r="529" spans="2:8">
      <c r="B529" s="47"/>
      <c r="H529" s="118"/>
    </row>
    <row r="530" spans="2:8">
      <c r="B530" s="47"/>
      <c r="H530" s="118"/>
    </row>
    <row r="531" spans="2:8">
      <c r="B531" s="47"/>
      <c r="H531" s="118"/>
    </row>
    <row r="532" spans="2:8">
      <c r="B532" s="47"/>
      <c r="H532" s="118"/>
    </row>
    <row r="533" spans="2:8">
      <c r="B533" s="47"/>
      <c r="H533" s="118"/>
    </row>
    <row r="534" spans="2:8">
      <c r="B534" s="47"/>
      <c r="H534" s="118"/>
    </row>
    <row r="535" spans="2:8">
      <c r="B535" s="47"/>
      <c r="H535" s="118"/>
    </row>
    <row r="536" spans="2:8">
      <c r="B536" s="47"/>
      <c r="H536" s="118"/>
    </row>
    <row r="537" spans="2:8">
      <c r="B537" s="47"/>
      <c r="H537" s="118"/>
    </row>
    <row r="538" spans="2:8">
      <c r="B538" s="47"/>
      <c r="H538" s="118"/>
    </row>
    <row r="539" spans="2:8">
      <c r="B539" s="47"/>
      <c r="H539" s="118"/>
    </row>
    <row r="540" spans="2:8">
      <c r="B540" s="47"/>
      <c r="H540" s="118"/>
    </row>
    <row r="541" spans="2:8">
      <c r="B541" s="47"/>
      <c r="H541" s="118"/>
    </row>
    <row r="542" spans="2:8">
      <c r="B542" s="47"/>
      <c r="H542" s="118"/>
    </row>
    <row r="543" spans="2:8">
      <c r="B543" s="47"/>
      <c r="H543" s="118"/>
    </row>
    <row r="544" spans="2:8">
      <c r="B544" s="47"/>
      <c r="H544" s="118"/>
    </row>
    <row r="545" spans="2:8">
      <c r="B545" s="47"/>
      <c r="H545" s="118"/>
    </row>
    <row r="546" spans="2:8">
      <c r="B546" s="47"/>
      <c r="H546" s="118"/>
    </row>
    <row r="547" spans="2:8">
      <c r="B547" s="47"/>
      <c r="H547" s="118"/>
    </row>
    <row r="548" spans="2:8">
      <c r="B548" s="47"/>
      <c r="H548" s="118"/>
    </row>
    <row r="549" spans="2:8">
      <c r="B549" s="47"/>
      <c r="H549" s="118"/>
    </row>
    <row r="550" spans="2:8">
      <c r="B550" s="47"/>
      <c r="H550" s="118"/>
    </row>
    <row r="551" spans="2:8">
      <c r="B551" s="47"/>
      <c r="H551" s="118"/>
    </row>
    <row r="552" spans="2:8">
      <c r="B552" s="47"/>
      <c r="H552" s="118"/>
    </row>
    <row r="553" spans="2:8">
      <c r="B553" s="47"/>
      <c r="H553" s="118"/>
    </row>
    <row r="554" spans="2:8">
      <c r="B554" s="47"/>
      <c r="H554" s="118"/>
    </row>
    <row r="555" spans="2:8">
      <c r="B555" s="47"/>
      <c r="H555" s="118"/>
    </row>
    <row r="556" spans="2:8">
      <c r="B556" s="47"/>
      <c r="H556" s="118"/>
    </row>
    <row r="557" spans="2:8">
      <c r="B557" s="47"/>
      <c r="H557" s="118"/>
    </row>
    <row r="558" spans="2:8">
      <c r="B558" s="47"/>
      <c r="H558" s="118"/>
    </row>
    <row r="559" spans="2:8">
      <c r="B559" s="47"/>
      <c r="H559" s="118"/>
    </row>
    <row r="560" spans="2:8">
      <c r="B560" s="47"/>
      <c r="H560" s="118"/>
    </row>
    <row r="561" spans="2:8">
      <c r="B561" s="47"/>
      <c r="H561" s="118"/>
    </row>
    <row r="562" spans="2:8">
      <c r="B562" s="47"/>
      <c r="H562" s="118"/>
    </row>
    <row r="563" spans="2:8">
      <c r="B563" s="47"/>
      <c r="H563" s="118"/>
    </row>
    <row r="564" spans="2:8">
      <c r="B564" s="47"/>
      <c r="H564" s="118"/>
    </row>
    <row r="565" spans="2:8">
      <c r="B565" s="47"/>
      <c r="H565" s="118"/>
    </row>
    <row r="566" spans="2:8">
      <c r="B566" s="47"/>
      <c r="H566" s="118"/>
    </row>
    <row r="567" spans="2:8">
      <c r="B567" s="47"/>
      <c r="H567" s="118"/>
    </row>
    <row r="568" spans="2:8">
      <c r="B568" s="47"/>
      <c r="H568" s="118"/>
    </row>
    <row r="569" spans="2:8">
      <c r="B569" s="47"/>
      <c r="H569" s="118"/>
    </row>
    <row r="570" spans="2:8">
      <c r="B570" s="47"/>
      <c r="H570" s="118"/>
    </row>
    <row r="571" spans="2:8">
      <c r="B571" s="47"/>
      <c r="H571" s="118"/>
    </row>
    <row r="572" spans="2:8">
      <c r="B572" s="47"/>
      <c r="H572" s="118"/>
    </row>
    <row r="573" spans="2:8">
      <c r="B573" s="47"/>
      <c r="H573" s="118"/>
    </row>
    <row r="574" spans="2:8">
      <c r="B574" s="47"/>
      <c r="H574" s="118"/>
    </row>
    <row r="575" spans="2:8">
      <c r="B575" s="47"/>
      <c r="H575" s="118"/>
    </row>
    <row r="576" spans="2:8">
      <c r="B576" s="47"/>
      <c r="H576" s="118"/>
    </row>
    <row r="577" spans="2:8">
      <c r="B577" s="47"/>
      <c r="H577" s="118"/>
    </row>
    <row r="578" spans="2:8">
      <c r="B578" s="47"/>
      <c r="H578" s="118"/>
    </row>
    <row r="579" spans="2:8">
      <c r="B579" s="47"/>
      <c r="H579" s="118"/>
    </row>
    <row r="580" spans="2:8">
      <c r="B580" s="47"/>
      <c r="H580" s="118"/>
    </row>
    <row r="581" spans="2:8">
      <c r="B581" s="47"/>
      <c r="H581" s="118"/>
    </row>
    <row r="582" spans="2:8">
      <c r="B582" s="47"/>
      <c r="H582" s="118"/>
    </row>
    <row r="583" spans="2:8">
      <c r="B583" s="47"/>
      <c r="H583" s="118"/>
    </row>
    <row r="584" spans="2:8">
      <c r="B584" s="47"/>
      <c r="H584" s="118"/>
    </row>
    <row r="585" spans="2:8">
      <c r="B585" s="47"/>
      <c r="H585" s="118"/>
    </row>
    <row r="586" spans="2:8">
      <c r="B586" s="47"/>
      <c r="H586" s="118"/>
    </row>
    <row r="587" spans="2:8">
      <c r="B587" s="47"/>
      <c r="H587" s="118"/>
    </row>
    <row r="588" spans="2:8">
      <c r="B588" s="47"/>
      <c r="H588" s="118"/>
    </row>
    <row r="589" spans="2:8">
      <c r="B589" s="47"/>
      <c r="H589" s="118"/>
    </row>
    <row r="590" spans="2:8">
      <c r="B590" s="47"/>
      <c r="H590" s="118"/>
    </row>
    <row r="591" spans="2:8">
      <c r="B591" s="47"/>
      <c r="H591" s="118"/>
    </row>
    <row r="592" spans="2:8">
      <c r="B592" s="47"/>
      <c r="H592" s="118"/>
    </row>
    <row r="593" spans="2:8">
      <c r="B593" s="47"/>
      <c r="H593" s="118"/>
    </row>
    <row r="594" spans="2:8">
      <c r="B594" s="47"/>
      <c r="H594" s="118"/>
    </row>
    <row r="595" spans="2:8">
      <c r="B595" s="47"/>
      <c r="H595" s="118"/>
    </row>
    <row r="596" spans="2:8">
      <c r="B596" s="47"/>
      <c r="H596" s="118"/>
    </row>
    <row r="597" spans="2:8">
      <c r="B597" s="47"/>
      <c r="H597" s="118"/>
    </row>
    <row r="598" spans="2:8">
      <c r="B598" s="47"/>
      <c r="H598" s="118"/>
    </row>
    <row r="599" spans="2:8">
      <c r="B599" s="47"/>
      <c r="H599" s="118"/>
    </row>
    <row r="600" spans="2:8">
      <c r="B600" s="47"/>
      <c r="H600" s="118"/>
    </row>
    <row r="601" spans="2:8">
      <c r="B601" s="47"/>
      <c r="H601" s="118"/>
    </row>
    <row r="602" spans="2:8">
      <c r="B602" s="47"/>
      <c r="H602" s="118"/>
    </row>
    <row r="603" spans="2:8">
      <c r="B603" s="47"/>
      <c r="H603" s="118"/>
    </row>
    <row r="604" spans="2:8">
      <c r="B604" s="47"/>
      <c r="H604" s="118"/>
    </row>
    <row r="605" spans="2:8">
      <c r="B605" s="47"/>
      <c r="H605" s="118"/>
    </row>
    <row r="606" spans="2:8">
      <c r="B606" s="47"/>
      <c r="H606" s="118"/>
    </row>
    <row r="607" spans="2:8">
      <c r="B607" s="47"/>
      <c r="H607" s="118"/>
    </row>
    <row r="608" spans="2:8">
      <c r="B608" s="47"/>
      <c r="H608" s="118"/>
    </row>
    <row r="609" spans="2:8">
      <c r="B609" s="47"/>
      <c r="H609" s="118"/>
    </row>
    <row r="610" spans="2:8">
      <c r="B610" s="47"/>
      <c r="H610" s="118"/>
    </row>
    <row r="611" spans="2:8">
      <c r="B611" s="47"/>
      <c r="H611" s="118"/>
    </row>
    <row r="612" spans="2:8">
      <c r="B612" s="47"/>
      <c r="H612" s="118"/>
    </row>
    <row r="613" spans="2:8">
      <c r="B613" s="47"/>
      <c r="H613" s="118"/>
    </row>
    <row r="614" spans="2:8">
      <c r="B614" s="47"/>
      <c r="H614" s="118"/>
    </row>
    <row r="615" spans="2:8">
      <c r="B615" s="47"/>
      <c r="H615" s="118"/>
    </row>
    <row r="616" spans="2:8">
      <c r="B616" s="47"/>
      <c r="H616" s="118"/>
    </row>
    <row r="617" spans="2:8">
      <c r="B617" s="47"/>
      <c r="H617" s="118"/>
    </row>
    <row r="618" spans="2:8">
      <c r="B618" s="47"/>
      <c r="H618" s="118"/>
    </row>
    <row r="619" spans="2:8">
      <c r="B619" s="47"/>
      <c r="H619" s="118"/>
    </row>
    <row r="620" spans="2:8">
      <c r="B620" s="47"/>
      <c r="H620" s="118"/>
    </row>
    <row r="621" spans="2:8">
      <c r="B621" s="47"/>
      <c r="H621" s="118"/>
    </row>
    <row r="622" spans="2:8">
      <c r="B622" s="47"/>
      <c r="H622" s="118"/>
    </row>
    <row r="623" spans="2:8">
      <c r="B623" s="47"/>
      <c r="H623" s="118"/>
    </row>
    <row r="624" spans="2:8">
      <c r="B624" s="47"/>
      <c r="H624" s="118"/>
    </row>
    <row r="625" spans="2:8">
      <c r="B625" s="47"/>
      <c r="H625" s="118"/>
    </row>
    <row r="626" spans="2:8">
      <c r="B626" s="47"/>
      <c r="H626" s="118"/>
    </row>
    <row r="627" spans="2:8">
      <c r="B627" s="47"/>
      <c r="H627" s="118"/>
    </row>
    <row r="628" spans="2:8">
      <c r="B628" s="47"/>
      <c r="H628" s="118"/>
    </row>
    <row r="629" spans="2:8">
      <c r="B629" s="47"/>
      <c r="H629" s="118"/>
    </row>
    <row r="630" spans="2:8">
      <c r="B630" s="47"/>
      <c r="H630" s="118"/>
    </row>
    <row r="631" spans="2:8">
      <c r="B631" s="47"/>
      <c r="H631" s="118"/>
    </row>
    <row r="632" spans="2:8">
      <c r="B632" s="47"/>
      <c r="H632" s="118"/>
    </row>
    <row r="633" spans="2:8">
      <c r="B633" s="47"/>
      <c r="H633" s="118"/>
    </row>
    <row r="634" spans="2:8">
      <c r="B634" s="47"/>
      <c r="H634" s="118"/>
    </row>
    <row r="635" spans="2:8">
      <c r="B635" s="47"/>
      <c r="H635" s="118"/>
    </row>
    <row r="636" spans="2:8">
      <c r="B636" s="47"/>
      <c r="H636" s="118"/>
    </row>
    <row r="637" spans="2:8">
      <c r="B637" s="47"/>
      <c r="H637" s="118"/>
    </row>
    <row r="638" spans="2:8">
      <c r="B638" s="47"/>
      <c r="H638" s="118"/>
    </row>
    <row r="639" spans="2:8">
      <c r="B639" s="47"/>
      <c r="H639" s="118"/>
    </row>
    <row r="640" spans="2:8">
      <c r="B640" s="47"/>
      <c r="H640" s="118"/>
    </row>
    <row r="641" spans="2:8">
      <c r="B641" s="47"/>
      <c r="H641" s="118"/>
    </row>
    <row r="642" spans="2:8">
      <c r="B642" s="47"/>
      <c r="H642" s="118"/>
    </row>
    <row r="643" spans="2:8">
      <c r="B643" s="47"/>
      <c r="H643" s="118"/>
    </row>
    <row r="644" spans="2:8">
      <c r="B644" s="47"/>
      <c r="H644" s="118"/>
    </row>
    <row r="645" spans="2:8">
      <c r="B645" s="47"/>
      <c r="H645" s="118"/>
    </row>
    <row r="646" spans="2:8">
      <c r="B646" s="47"/>
      <c r="H646" s="118"/>
    </row>
    <row r="647" spans="2:8">
      <c r="B647" s="47"/>
      <c r="H647" s="118"/>
    </row>
    <row r="648" spans="2:8">
      <c r="B648" s="47"/>
      <c r="H648" s="118"/>
    </row>
    <row r="649" spans="2:8">
      <c r="B649" s="47"/>
      <c r="H649" s="118"/>
    </row>
    <row r="650" spans="2:8">
      <c r="B650" s="47"/>
      <c r="H650" s="118"/>
    </row>
    <row r="651" spans="2:8">
      <c r="B651" s="47"/>
      <c r="H651" s="118"/>
    </row>
    <row r="652" spans="2:8">
      <c r="B652" s="47"/>
      <c r="H652" s="118"/>
    </row>
    <row r="653" spans="2:8">
      <c r="B653" s="47"/>
      <c r="H653" s="118"/>
    </row>
    <row r="654" spans="2:8">
      <c r="B654" s="47"/>
      <c r="H654" s="118"/>
    </row>
    <row r="655" spans="2:8">
      <c r="B655" s="47"/>
      <c r="H655" s="118"/>
    </row>
    <row r="656" spans="2:8">
      <c r="B656" s="47"/>
      <c r="H656" s="118"/>
    </row>
    <row r="657" spans="2:8">
      <c r="B657" s="47"/>
      <c r="H657" s="118"/>
    </row>
    <row r="658" spans="2:8">
      <c r="B658" s="47"/>
      <c r="H658" s="118"/>
    </row>
    <row r="659" spans="2:8">
      <c r="B659" s="47"/>
      <c r="H659" s="118"/>
    </row>
    <row r="660" spans="2:8">
      <c r="B660" s="47"/>
      <c r="H660" s="118"/>
    </row>
    <row r="661" spans="2:8">
      <c r="B661" s="47"/>
      <c r="H661" s="118"/>
    </row>
    <row r="662" spans="2:8">
      <c r="B662" s="47"/>
      <c r="H662" s="118"/>
    </row>
    <row r="663" spans="2:8">
      <c r="B663" s="47"/>
      <c r="H663" s="118"/>
    </row>
    <row r="664" spans="2:8">
      <c r="B664" s="47"/>
      <c r="H664" s="118"/>
    </row>
    <row r="665" spans="2:8">
      <c r="B665" s="47"/>
      <c r="H665" s="118"/>
    </row>
    <row r="666" spans="2:8">
      <c r="B666" s="47"/>
      <c r="H666" s="118"/>
    </row>
    <row r="667" spans="2:8">
      <c r="B667" s="47"/>
      <c r="H667" s="118"/>
    </row>
    <row r="668" spans="2:8">
      <c r="B668" s="47"/>
      <c r="H668" s="118"/>
    </row>
    <row r="669" spans="2:8">
      <c r="B669" s="47"/>
      <c r="H669" s="118"/>
    </row>
    <row r="670" spans="2:8">
      <c r="B670" s="47"/>
      <c r="H670" s="118"/>
    </row>
    <row r="671" spans="2:8">
      <c r="B671" s="47"/>
      <c r="H671" s="118"/>
    </row>
    <row r="672" spans="2:8">
      <c r="B672" s="47"/>
      <c r="H672" s="118"/>
    </row>
    <row r="673" spans="2:8">
      <c r="B673" s="47"/>
      <c r="H673" s="118"/>
    </row>
    <row r="674" spans="2:8">
      <c r="B674" s="47"/>
      <c r="H674" s="118"/>
    </row>
    <row r="675" spans="2:8">
      <c r="B675" s="47"/>
      <c r="H675" s="118"/>
    </row>
    <row r="676" spans="2:8">
      <c r="B676" s="47"/>
      <c r="H676" s="118"/>
    </row>
    <row r="677" spans="2:8">
      <c r="B677" s="47"/>
      <c r="H677" s="118"/>
    </row>
    <row r="678" spans="2:8">
      <c r="B678" s="47"/>
      <c r="H678" s="118"/>
    </row>
    <row r="679" spans="2:8">
      <c r="B679" s="47"/>
      <c r="H679" s="118"/>
    </row>
    <row r="680" spans="2:8">
      <c r="B680" s="47"/>
      <c r="H680" s="118"/>
    </row>
    <row r="681" spans="2:8">
      <c r="B681" s="47"/>
      <c r="H681" s="118"/>
    </row>
    <row r="682" spans="2:8">
      <c r="B682" s="47"/>
      <c r="H682" s="118"/>
    </row>
    <row r="683" spans="2:8">
      <c r="B683" s="47"/>
      <c r="H683" s="118"/>
    </row>
    <row r="684" spans="2:8">
      <c r="B684" s="47"/>
      <c r="H684" s="118"/>
    </row>
    <row r="685" spans="2:8">
      <c r="B685" s="47"/>
      <c r="H685" s="118"/>
    </row>
    <row r="686" spans="2:8">
      <c r="B686" s="47"/>
      <c r="H686" s="118"/>
    </row>
    <row r="687" spans="2:8">
      <c r="B687" s="47"/>
      <c r="H687" s="118"/>
    </row>
    <row r="688" spans="2:8">
      <c r="B688" s="47"/>
      <c r="H688" s="118"/>
    </row>
    <row r="689" spans="2:8">
      <c r="B689" s="47"/>
      <c r="H689" s="118"/>
    </row>
    <row r="690" spans="2:8">
      <c r="B690" s="47"/>
      <c r="H690" s="118"/>
    </row>
    <row r="691" spans="2:8">
      <c r="B691" s="47"/>
      <c r="H691" s="118"/>
    </row>
    <row r="692" spans="2:8">
      <c r="B692" s="47"/>
      <c r="H692" s="118"/>
    </row>
    <row r="693" spans="2:8">
      <c r="B693" s="47"/>
      <c r="H693" s="118"/>
    </row>
    <row r="694" spans="2:8">
      <c r="B694" s="47"/>
      <c r="H694" s="118"/>
    </row>
    <row r="695" spans="2:8">
      <c r="B695" s="47"/>
      <c r="H695" s="118"/>
    </row>
    <row r="696" spans="2:8">
      <c r="B696" s="47"/>
      <c r="H696" s="118"/>
    </row>
    <row r="697" spans="2:8">
      <c r="B697" s="47"/>
      <c r="H697" s="118"/>
    </row>
    <row r="698" spans="2:8">
      <c r="B698" s="47"/>
      <c r="H698" s="118"/>
    </row>
    <row r="699" spans="2:8">
      <c r="B699" s="47"/>
      <c r="H699" s="118"/>
    </row>
    <row r="700" spans="2:8">
      <c r="B700" s="47"/>
      <c r="H700" s="118"/>
    </row>
    <row r="701" spans="2:8">
      <c r="B701" s="47"/>
      <c r="H701" s="118"/>
    </row>
    <row r="702" spans="2:8">
      <c r="B702" s="47"/>
      <c r="H702" s="118"/>
    </row>
    <row r="703" spans="2:8">
      <c r="B703" s="47"/>
      <c r="H703" s="118"/>
    </row>
    <row r="704" spans="2:8">
      <c r="B704" s="47"/>
      <c r="H704" s="118"/>
    </row>
    <row r="705" spans="2:8">
      <c r="B705" s="47"/>
      <c r="H705" s="118"/>
    </row>
    <row r="706" spans="2:8">
      <c r="B706" s="47"/>
      <c r="H706" s="118"/>
    </row>
    <row r="707" spans="2:8">
      <c r="B707" s="47"/>
      <c r="H707" s="118"/>
    </row>
    <row r="708" spans="2:8">
      <c r="B708" s="47"/>
      <c r="H708" s="118"/>
    </row>
    <row r="709" spans="2:8">
      <c r="B709" s="47"/>
      <c r="H709" s="118"/>
    </row>
    <row r="710" spans="2:8">
      <c r="B710" s="47"/>
      <c r="H710" s="118"/>
    </row>
    <row r="711" spans="2:8">
      <c r="B711" s="47"/>
      <c r="H711" s="118"/>
    </row>
    <row r="712" spans="2:8">
      <c r="B712" s="47"/>
      <c r="H712" s="118"/>
    </row>
    <row r="713" spans="2:8">
      <c r="B713" s="47"/>
      <c r="H713" s="118"/>
    </row>
    <row r="714" spans="2:8">
      <c r="B714" s="47"/>
      <c r="H714" s="118"/>
    </row>
    <row r="715" spans="2:8">
      <c r="B715" s="47"/>
      <c r="H715" s="118"/>
    </row>
    <row r="716" spans="2:8">
      <c r="B716" s="47"/>
      <c r="H716" s="118"/>
    </row>
    <row r="717" spans="2:8">
      <c r="B717" s="47"/>
      <c r="H717" s="118"/>
    </row>
    <row r="718" spans="2:8">
      <c r="B718" s="47"/>
      <c r="H718" s="118"/>
    </row>
    <row r="719" spans="2:8">
      <c r="B719" s="47"/>
      <c r="H719" s="118"/>
    </row>
    <row r="720" spans="2:8">
      <c r="B720" s="47"/>
      <c r="H720" s="118"/>
    </row>
    <row r="721" spans="2:8">
      <c r="B721" s="47"/>
      <c r="H721" s="118"/>
    </row>
    <row r="722" spans="2:8">
      <c r="B722" s="47"/>
      <c r="H722" s="118"/>
    </row>
    <row r="723" spans="2:8">
      <c r="B723" s="47"/>
      <c r="H723" s="118"/>
    </row>
    <row r="724" spans="2:8">
      <c r="B724" s="47"/>
      <c r="H724" s="118"/>
    </row>
    <row r="725" spans="2:8">
      <c r="B725" s="47"/>
      <c r="H725" s="118"/>
    </row>
    <row r="726" spans="2:8">
      <c r="B726" s="47"/>
      <c r="H726" s="118"/>
    </row>
    <row r="727" spans="2:8">
      <c r="B727" s="47"/>
      <c r="H727" s="118"/>
    </row>
    <row r="728" spans="2:8">
      <c r="B728" s="47"/>
      <c r="H728" s="118"/>
    </row>
    <row r="729" spans="2:8">
      <c r="B729" s="47"/>
      <c r="H729" s="118"/>
    </row>
    <row r="730" spans="2:8">
      <c r="B730" s="47"/>
      <c r="H730" s="118"/>
    </row>
    <row r="731" spans="2:8">
      <c r="B731" s="47"/>
      <c r="H731" s="118"/>
    </row>
    <row r="732" spans="2:8">
      <c r="B732" s="47"/>
      <c r="H732" s="118"/>
    </row>
    <row r="733" spans="2:8">
      <c r="B733" s="47"/>
      <c r="H733" s="118"/>
    </row>
    <row r="734" spans="2:8">
      <c r="B734" s="47"/>
      <c r="H734" s="118"/>
    </row>
    <row r="735" spans="2:8">
      <c r="B735" s="47"/>
      <c r="H735" s="118"/>
    </row>
    <row r="736" spans="2:8">
      <c r="B736" s="47"/>
      <c r="H736" s="118"/>
    </row>
    <row r="737" spans="2:8">
      <c r="B737" s="47"/>
      <c r="H737" s="118"/>
    </row>
    <row r="738" spans="2:8">
      <c r="B738" s="47"/>
      <c r="H738" s="118"/>
    </row>
    <row r="739" spans="2:8">
      <c r="B739" s="47"/>
      <c r="H739" s="118"/>
    </row>
    <row r="740" spans="2:8">
      <c r="B740" s="47"/>
      <c r="H740" s="118"/>
    </row>
    <row r="741" spans="2:8">
      <c r="B741" s="47"/>
      <c r="H741" s="118"/>
    </row>
    <row r="742" spans="2:8">
      <c r="B742" s="47"/>
      <c r="H742" s="118"/>
    </row>
    <row r="743" spans="2:8">
      <c r="B743" s="47"/>
      <c r="H743" s="118"/>
    </row>
    <row r="744" spans="2:8">
      <c r="B744" s="47"/>
      <c r="H744" s="118"/>
    </row>
    <row r="745" spans="2:8">
      <c r="B745" s="47"/>
      <c r="H745" s="118"/>
    </row>
    <row r="746" spans="2:8">
      <c r="B746" s="47"/>
      <c r="H746" s="118"/>
    </row>
    <row r="747" spans="2:8">
      <c r="B747" s="47"/>
      <c r="H747" s="118"/>
    </row>
    <row r="748" spans="2:8">
      <c r="B748" s="47"/>
      <c r="H748" s="118"/>
    </row>
    <row r="749" spans="2:8">
      <c r="B749" s="47"/>
      <c r="H749" s="118"/>
    </row>
    <row r="750" spans="2:8">
      <c r="B750" s="47"/>
      <c r="H750" s="118"/>
    </row>
    <row r="751" spans="2:8">
      <c r="B751" s="47"/>
      <c r="H751" s="118"/>
    </row>
    <row r="752" spans="2:8">
      <c r="B752" s="47"/>
      <c r="H752" s="118"/>
    </row>
    <row r="753" spans="2:8">
      <c r="B753" s="47"/>
      <c r="H753" s="118"/>
    </row>
    <row r="754" spans="2:8">
      <c r="B754" s="47"/>
      <c r="H754" s="118"/>
    </row>
    <row r="755" spans="2:8">
      <c r="B755" s="47"/>
      <c r="H755" s="118"/>
    </row>
    <row r="756" spans="2:8">
      <c r="B756" s="47"/>
      <c r="H756" s="118"/>
    </row>
    <row r="757" spans="2:8">
      <c r="B757" s="47"/>
      <c r="H757" s="118"/>
    </row>
    <row r="758" spans="2:8">
      <c r="B758" s="47"/>
      <c r="H758" s="118"/>
    </row>
    <row r="759" spans="2:8">
      <c r="B759" s="47"/>
      <c r="H759" s="118"/>
    </row>
    <row r="760" spans="2:8">
      <c r="B760" s="47"/>
      <c r="H760" s="118"/>
    </row>
    <row r="761" spans="2:8">
      <c r="B761" s="47"/>
      <c r="H761" s="118"/>
    </row>
    <row r="762" spans="2:8">
      <c r="B762" s="47"/>
      <c r="H762" s="118"/>
    </row>
    <row r="763" spans="2:8">
      <c r="B763" s="47"/>
      <c r="H763" s="118"/>
    </row>
    <row r="764" spans="2:8">
      <c r="B764" s="47"/>
      <c r="H764" s="118"/>
    </row>
    <row r="765" spans="2:8">
      <c r="B765" s="47"/>
      <c r="H765" s="118"/>
    </row>
    <row r="766" spans="2:8">
      <c r="B766" s="47"/>
      <c r="H766" s="118"/>
    </row>
    <row r="767" spans="2:8">
      <c r="B767" s="47"/>
      <c r="H767" s="118"/>
    </row>
    <row r="768" spans="2:8">
      <c r="B768" s="47"/>
      <c r="H768" s="118"/>
    </row>
    <row r="769" spans="2:8">
      <c r="B769" s="47"/>
      <c r="H769" s="118"/>
    </row>
    <row r="770" spans="2:8">
      <c r="B770" s="47"/>
      <c r="H770" s="118"/>
    </row>
    <row r="771" spans="2:8">
      <c r="B771" s="47"/>
      <c r="H771" s="118"/>
    </row>
    <row r="772" spans="2:8">
      <c r="B772" s="47"/>
      <c r="H772" s="118"/>
    </row>
    <row r="773" spans="2:8">
      <c r="B773" s="47"/>
      <c r="H773" s="118"/>
    </row>
    <row r="774" spans="2:8">
      <c r="B774" s="47"/>
      <c r="H774" s="118"/>
    </row>
    <row r="775" spans="2:8">
      <c r="B775" s="47"/>
      <c r="H775" s="118"/>
    </row>
    <row r="776" spans="2:8">
      <c r="B776" s="47"/>
      <c r="H776" s="118"/>
    </row>
    <row r="777" spans="2:8">
      <c r="B777" s="47"/>
      <c r="H777" s="118"/>
    </row>
    <row r="778" spans="2:8">
      <c r="B778" s="47"/>
      <c r="H778" s="118"/>
    </row>
    <row r="779" spans="2:8">
      <c r="B779" s="47"/>
      <c r="H779" s="118"/>
    </row>
    <row r="780" spans="2:8">
      <c r="B780" s="47"/>
      <c r="H780" s="118"/>
    </row>
    <row r="781" spans="2:8">
      <c r="B781" s="47"/>
      <c r="H781" s="118"/>
    </row>
    <row r="782" spans="2:8">
      <c r="B782" s="47"/>
      <c r="H782" s="118"/>
    </row>
    <row r="783" spans="2:8">
      <c r="B783" s="47"/>
      <c r="H783" s="118"/>
    </row>
    <row r="784" spans="2:8">
      <c r="B784" s="47"/>
      <c r="H784" s="118"/>
    </row>
    <row r="785" spans="2:8">
      <c r="B785" s="47"/>
      <c r="H785" s="118"/>
    </row>
    <row r="786" spans="2:8">
      <c r="B786" s="47"/>
      <c r="H786" s="118"/>
    </row>
    <row r="787" spans="2:8">
      <c r="B787" s="47"/>
      <c r="H787" s="118"/>
    </row>
    <row r="788" spans="2:8">
      <c r="B788" s="47"/>
      <c r="H788" s="118"/>
    </row>
    <row r="789" spans="2:8">
      <c r="B789" s="47"/>
      <c r="H789" s="118"/>
    </row>
    <row r="790" spans="2:8">
      <c r="B790" s="47"/>
      <c r="H790" s="118"/>
    </row>
    <row r="791" spans="2:8">
      <c r="B791" s="47"/>
      <c r="H791" s="118"/>
    </row>
    <row r="792" spans="2:8">
      <c r="B792" s="47"/>
      <c r="H792" s="118"/>
    </row>
    <row r="793" spans="2:8">
      <c r="B793" s="47"/>
      <c r="H793" s="118"/>
    </row>
    <row r="794" spans="2:8">
      <c r="B794" s="47"/>
      <c r="H794" s="118"/>
    </row>
    <row r="795" spans="2:8">
      <c r="B795" s="47"/>
      <c r="H795" s="118"/>
    </row>
    <row r="796" spans="2:8">
      <c r="B796" s="47"/>
      <c r="H796" s="118"/>
    </row>
    <row r="797" spans="2:8">
      <c r="B797" s="47"/>
      <c r="H797" s="118"/>
    </row>
    <row r="798" spans="2:8">
      <c r="B798" s="47"/>
      <c r="H798" s="118"/>
    </row>
    <row r="799" spans="2:8">
      <c r="B799" s="47"/>
      <c r="H799" s="118"/>
    </row>
    <row r="800" spans="2:8">
      <c r="B800" s="47"/>
      <c r="H800" s="118"/>
    </row>
    <row r="801" spans="2:8">
      <c r="B801" s="47"/>
      <c r="H801" s="118"/>
    </row>
    <row r="802" spans="2:8">
      <c r="B802" s="47"/>
      <c r="H802" s="118"/>
    </row>
    <row r="803" spans="2:8">
      <c r="B803" s="47"/>
      <c r="H803" s="118"/>
    </row>
    <row r="804" spans="2:8">
      <c r="B804" s="47"/>
      <c r="H804" s="118"/>
    </row>
    <row r="805" spans="2:8">
      <c r="B805" s="47"/>
      <c r="H805" s="118"/>
    </row>
    <row r="806" spans="2:8">
      <c r="B806" s="47"/>
      <c r="H806" s="118"/>
    </row>
    <row r="807" spans="2:8">
      <c r="B807" s="47"/>
      <c r="H807" s="118"/>
    </row>
    <row r="808" spans="2:8">
      <c r="B808" s="47"/>
      <c r="H808" s="118"/>
    </row>
    <row r="809" spans="2:8">
      <c r="B809" s="47"/>
      <c r="H809" s="118"/>
    </row>
    <row r="810" spans="2:8">
      <c r="B810" s="47"/>
      <c r="H810" s="118"/>
    </row>
    <row r="811" spans="2:8">
      <c r="B811" s="47"/>
      <c r="H811" s="118"/>
    </row>
    <row r="812" spans="2:8">
      <c r="B812" s="47"/>
      <c r="H812" s="118"/>
    </row>
    <row r="813" spans="2:8">
      <c r="B813" s="47"/>
      <c r="H813" s="118"/>
    </row>
    <row r="814" spans="2:8">
      <c r="B814" s="47"/>
      <c r="H814" s="118"/>
    </row>
    <row r="815" spans="2:8">
      <c r="B815" s="47"/>
      <c r="H815" s="118"/>
    </row>
    <row r="816" spans="2:8">
      <c r="B816" s="47"/>
      <c r="H816" s="118"/>
    </row>
    <row r="817" spans="2:8">
      <c r="B817" s="47"/>
      <c r="H817" s="118"/>
    </row>
    <row r="818" spans="2:8">
      <c r="B818" s="47"/>
      <c r="H818" s="118"/>
    </row>
    <row r="819" spans="2:8">
      <c r="B819" s="47"/>
      <c r="H819" s="118"/>
    </row>
    <row r="820" spans="2:8">
      <c r="B820" s="47"/>
      <c r="H820" s="118"/>
    </row>
    <row r="821" spans="2:8">
      <c r="B821" s="47"/>
      <c r="H821" s="118"/>
    </row>
    <row r="822" spans="2:8">
      <c r="B822" s="47"/>
      <c r="H822" s="118"/>
    </row>
    <row r="823" spans="2:8">
      <c r="B823" s="47"/>
      <c r="H823" s="118"/>
    </row>
    <row r="824" spans="2:8">
      <c r="B824" s="47"/>
      <c r="H824" s="118"/>
    </row>
    <row r="825" spans="2:8">
      <c r="B825" s="47"/>
      <c r="H825" s="118"/>
    </row>
    <row r="826" spans="2:8">
      <c r="B826" s="47"/>
      <c r="H826" s="118"/>
    </row>
    <row r="827" spans="2:8">
      <c r="B827" s="47"/>
      <c r="H827" s="118"/>
    </row>
    <row r="828" spans="2:8">
      <c r="B828" s="47"/>
      <c r="H828" s="118"/>
    </row>
    <row r="829" spans="2:8">
      <c r="B829" s="47"/>
      <c r="H829" s="118"/>
    </row>
    <row r="830" spans="2:8">
      <c r="B830" s="47"/>
      <c r="H830" s="118"/>
    </row>
    <row r="831" spans="2:8">
      <c r="B831" s="47"/>
      <c r="H831" s="118"/>
    </row>
    <row r="832" spans="2:8">
      <c r="B832" s="47"/>
      <c r="H832" s="118"/>
    </row>
    <row r="833" spans="2:8">
      <c r="B833" s="47"/>
      <c r="H833" s="118"/>
    </row>
    <row r="834" spans="2:8">
      <c r="B834" s="47"/>
      <c r="H834" s="118"/>
    </row>
    <row r="835" spans="2:8">
      <c r="B835" s="47"/>
      <c r="H835" s="118"/>
    </row>
    <row r="836" spans="2:8">
      <c r="B836" s="47"/>
      <c r="H836" s="118"/>
    </row>
    <row r="837" spans="2:8">
      <c r="B837" s="47"/>
      <c r="H837" s="118"/>
    </row>
    <row r="838" spans="2:8">
      <c r="B838" s="47"/>
      <c r="H838" s="118"/>
    </row>
    <row r="839" spans="2:8">
      <c r="B839" s="47"/>
      <c r="H839" s="118"/>
    </row>
    <row r="840" spans="2:8">
      <c r="B840" s="47"/>
      <c r="H840" s="118"/>
    </row>
    <row r="841" spans="2:8">
      <c r="B841" s="47"/>
      <c r="H841" s="118"/>
    </row>
    <row r="842" spans="2:8">
      <c r="B842" s="47"/>
      <c r="H842" s="118"/>
    </row>
    <row r="843" spans="2:8">
      <c r="B843" s="47"/>
      <c r="H843" s="118"/>
    </row>
    <row r="844" spans="2:8">
      <c r="B844" s="47"/>
      <c r="H844" s="118"/>
    </row>
    <row r="845" spans="2:8">
      <c r="B845" s="47"/>
      <c r="H845" s="118"/>
    </row>
    <row r="846" spans="2:8">
      <c r="B846" s="47"/>
      <c r="H846" s="118"/>
    </row>
    <row r="847" spans="2:8">
      <c r="B847" s="47"/>
      <c r="H847" s="118"/>
    </row>
    <row r="848" spans="2:8">
      <c r="B848" s="47"/>
      <c r="H848" s="118"/>
    </row>
    <row r="849" spans="2:8">
      <c r="B849" s="47"/>
      <c r="H849" s="118"/>
    </row>
    <row r="850" spans="2:8">
      <c r="B850" s="47"/>
      <c r="H850" s="118"/>
    </row>
    <row r="851" spans="2:8">
      <c r="B851" s="47"/>
      <c r="H851" s="118"/>
    </row>
    <row r="852" spans="2:8">
      <c r="B852" s="47"/>
      <c r="H852" s="118"/>
    </row>
    <row r="853" spans="2:8">
      <c r="B853" s="47"/>
      <c r="H853" s="118"/>
    </row>
    <row r="854" spans="2:8">
      <c r="B854" s="47"/>
      <c r="H854" s="118"/>
    </row>
    <row r="855" spans="2:8">
      <c r="B855" s="47"/>
      <c r="H855" s="118"/>
    </row>
    <row r="856" spans="2:8">
      <c r="B856" s="47"/>
      <c r="H856" s="118"/>
    </row>
    <row r="857" spans="2:8">
      <c r="B857" s="47"/>
      <c r="H857" s="118"/>
    </row>
    <row r="858" spans="2:8">
      <c r="B858" s="47"/>
      <c r="H858" s="118"/>
    </row>
    <row r="859" spans="2:8">
      <c r="B859" s="47"/>
      <c r="H859" s="118"/>
    </row>
    <row r="860" spans="2:8">
      <c r="B860" s="47"/>
      <c r="H860" s="118"/>
    </row>
    <row r="861" spans="2:8">
      <c r="B861" s="47"/>
      <c r="H861" s="118"/>
    </row>
    <row r="862" spans="2:8">
      <c r="B862" s="47"/>
      <c r="H862" s="118"/>
    </row>
    <row r="863" spans="2:8">
      <c r="B863" s="47"/>
      <c r="H863" s="118"/>
    </row>
    <row r="864" spans="2:8">
      <c r="B864" s="47"/>
      <c r="H864" s="118"/>
    </row>
    <row r="865" spans="2:8">
      <c r="B865" s="47"/>
      <c r="H865" s="118"/>
    </row>
    <row r="866" spans="2:8">
      <c r="B866" s="47"/>
      <c r="H866" s="118"/>
    </row>
    <row r="867" spans="2:8">
      <c r="B867" s="47"/>
      <c r="H867" s="118"/>
    </row>
    <row r="868" spans="2:8">
      <c r="B868" s="47"/>
      <c r="H868" s="118"/>
    </row>
    <row r="869" spans="2:8">
      <c r="B869" s="47"/>
      <c r="H869" s="118"/>
    </row>
    <row r="870" spans="2:8">
      <c r="B870" s="47"/>
      <c r="H870" s="118"/>
    </row>
    <row r="871" spans="2:8">
      <c r="B871" s="47"/>
      <c r="H871" s="118"/>
    </row>
    <row r="872" spans="2:8">
      <c r="B872" s="47"/>
      <c r="H872" s="118"/>
    </row>
    <row r="873" spans="2:8">
      <c r="B873" s="47"/>
      <c r="H873" s="118"/>
    </row>
    <row r="874" spans="2:8">
      <c r="B874" s="47"/>
      <c r="H874" s="118"/>
    </row>
    <row r="875" spans="2:8">
      <c r="B875" s="47"/>
      <c r="H875" s="118"/>
    </row>
    <row r="876" spans="2:8">
      <c r="B876" s="47"/>
      <c r="H876" s="118"/>
    </row>
    <row r="877" spans="2:8">
      <c r="B877" s="47"/>
      <c r="H877" s="118"/>
    </row>
    <row r="878" spans="2:8">
      <c r="B878" s="47"/>
      <c r="H878" s="118"/>
    </row>
    <row r="879" spans="2:8">
      <c r="B879" s="47"/>
      <c r="H879" s="118"/>
    </row>
    <row r="880" spans="2:8">
      <c r="B880" s="47"/>
      <c r="H880" s="118"/>
    </row>
    <row r="881" spans="2:8">
      <c r="B881" s="47"/>
      <c r="H881" s="118"/>
    </row>
    <row r="882" spans="2:8">
      <c r="B882" s="47"/>
      <c r="H882" s="118"/>
    </row>
    <row r="883" spans="2:8">
      <c r="B883" s="47"/>
      <c r="H883" s="118"/>
    </row>
    <row r="884" spans="2:8">
      <c r="B884" s="47"/>
      <c r="H884" s="118"/>
    </row>
    <row r="885" spans="2:8">
      <c r="B885" s="47"/>
      <c r="H885" s="118"/>
    </row>
    <row r="886" spans="2:8">
      <c r="B886" s="47"/>
      <c r="H886" s="118"/>
    </row>
    <row r="887" spans="2:8">
      <c r="B887" s="47"/>
      <c r="H887" s="118"/>
    </row>
    <row r="888" spans="2:8">
      <c r="B888" s="47"/>
      <c r="H888" s="118"/>
    </row>
    <row r="889" spans="2:8">
      <c r="B889" s="47"/>
      <c r="H889" s="118"/>
    </row>
    <row r="890" spans="2:8">
      <c r="B890" s="47"/>
      <c r="H890" s="118"/>
    </row>
    <row r="891" spans="2:8">
      <c r="B891" s="47"/>
      <c r="H891" s="118"/>
    </row>
    <row r="892" spans="2:8">
      <c r="B892" s="47"/>
      <c r="H892" s="118"/>
    </row>
    <row r="893" spans="2:8">
      <c r="B893" s="47"/>
      <c r="H893" s="118"/>
    </row>
    <row r="894" spans="2:8">
      <c r="B894" s="47"/>
      <c r="H894" s="118"/>
    </row>
    <row r="895" spans="2:8">
      <c r="B895" s="47"/>
      <c r="H895" s="118"/>
    </row>
    <row r="896" spans="2:8">
      <c r="B896" s="47"/>
      <c r="H896" s="118"/>
    </row>
    <row r="897" spans="2:8">
      <c r="B897" s="47"/>
      <c r="H897" s="118"/>
    </row>
    <row r="898" spans="2:8">
      <c r="B898" s="47"/>
      <c r="H898" s="118"/>
    </row>
    <row r="899" spans="2:8">
      <c r="B899" s="47"/>
      <c r="H899" s="118"/>
    </row>
    <row r="900" spans="2:8">
      <c r="B900" s="47"/>
      <c r="H900" s="118"/>
    </row>
    <row r="901" spans="2:8">
      <c r="B901" s="47"/>
      <c r="H901" s="118"/>
    </row>
    <row r="902" spans="2:8">
      <c r="B902" s="47"/>
      <c r="H902" s="118"/>
    </row>
    <row r="903" spans="2:8">
      <c r="B903" s="47"/>
      <c r="H903" s="118"/>
    </row>
    <row r="904" spans="2:8">
      <c r="B904" s="47"/>
      <c r="H904" s="118"/>
    </row>
    <row r="905" spans="2:8">
      <c r="B905" s="47"/>
      <c r="H905" s="118"/>
    </row>
    <row r="906" spans="2:8">
      <c r="B906" s="47"/>
      <c r="H906" s="118"/>
    </row>
    <row r="907" spans="2:8">
      <c r="B907" s="47"/>
      <c r="H907" s="118"/>
    </row>
    <row r="908" spans="2:8">
      <c r="B908" s="47"/>
      <c r="H908" s="118"/>
    </row>
    <row r="909" spans="2:8">
      <c r="B909" s="47"/>
      <c r="H909" s="118"/>
    </row>
    <row r="910" spans="2:8">
      <c r="B910" s="47"/>
      <c r="H910" s="118"/>
    </row>
    <row r="911" spans="2:8">
      <c r="B911" s="47"/>
      <c r="H911" s="118"/>
    </row>
    <row r="912" spans="2:8">
      <c r="B912" s="47"/>
      <c r="H912" s="118"/>
    </row>
    <row r="913" spans="2:8">
      <c r="B913" s="47"/>
      <c r="H913" s="118"/>
    </row>
    <row r="914" spans="2:8">
      <c r="B914" s="47"/>
      <c r="H914" s="118"/>
    </row>
    <row r="915" spans="2:8">
      <c r="B915" s="47"/>
      <c r="H915" s="118"/>
    </row>
    <row r="916" spans="2:8">
      <c r="B916" s="47"/>
      <c r="H916" s="118"/>
    </row>
    <row r="917" spans="2:8">
      <c r="B917" s="47"/>
      <c r="H917" s="118"/>
    </row>
    <row r="918" spans="2:8">
      <c r="B918" s="47"/>
      <c r="H918" s="118"/>
    </row>
    <row r="919" spans="2:8">
      <c r="B919" s="47"/>
      <c r="H919" s="118"/>
    </row>
    <row r="920" spans="2:8">
      <c r="B920" s="47"/>
      <c r="H920" s="118"/>
    </row>
    <row r="921" spans="2:8">
      <c r="B921" s="47"/>
      <c r="H921" s="118"/>
    </row>
    <row r="922" spans="2:8">
      <c r="B922" s="47"/>
      <c r="H922" s="118"/>
    </row>
    <row r="923" spans="2:8">
      <c r="B923" s="47"/>
      <c r="H923" s="118"/>
    </row>
    <row r="924" spans="2:8">
      <c r="B924" s="47"/>
      <c r="H924" s="118"/>
    </row>
    <row r="925" spans="2:8">
      <c r="B925" s="47"/>
      <c r="H925" s="118"/>
    </row>
    <row r="926" spans="2:8">
      <c r="B926" s="47"/>
      <c r="H926" s="118"/>
    </row>
    <row r="927" spans="2:8">
      <c r="B927" s="47"/>
      <c r="H927" s="118"/>
    </row>
    <row r="928" spans="2:8">
      <c r="B928" s="47"/>
      <c r="H928" s="118"/>
    </row>
    <row r="929" spans="2:8">
      <c r="B929" s="47"/>
      <c r="H929" s="118"/>
    </row>
    <row r="930" spans="2:8">
      <c r="B930" s="47"/>
      <c r="H930" s="118"/>
    </row>
    <row r="931" spans="2:8">
      <c r="B931" s="47"/>
      <c r="H931" s="118"/>
    </row>
    <row r="932" spans="2:8">
      <c r="B932" s="47"/>
      <c r="H932" s="118"/>
    </row>
    <row r="933" spans="2:8">
      <c r="B933" s="47"/>
      <c r="H933" s="118"/>
    </row>
    <row r="934" spans="2:8">
      <c r="B934" s="47"/>
      <c r="H934" s="118"/>
    </row>
    <row r="935" spans="2:8">
      <c r="B935" s="47"/>
      <c r="H935" s="118"/>
    </row>
    <row r="936" spans="2:8">
      <c r="B936" s="47"/>
      <c r="H936" s="118"/>
    </row>
    <row r="937" spans="2:8">
      <c r="B937" s="47"/>
      <c r="H937" s="118"/>
    </row>
    <row r="938" spans="2:8">
      <c r="B938" s="47"/>
      <c r="H938" s="118"/>
    </row>
    <row r="939" spans="2:8">
      <c r="B939" s="47"/>
      <c r="H939" s="118"/>
    </row>
    <row r="940" spans="2:8">
      <c r="B940" s="47"/>
      <c r="H940" s="118"/>
    </row>
    <row r="941" spans="2:8">
      <c r="B941" s="47"/>
      <c r="H941" s="118"/>
    </row>
    <row r="942" spans="2:8">
      <c r="B942" s="47"/>
      <c r="H942" s="118"/>
    </row>
    <row r="943" spans="2:8">
      <c r="B943" s="47"/>
      <c r="H943" s="118"/>
    </row>
    <row r="944" spans="2:8">
      <c r="B944" s="47"/>
      <c r="H944" s="118"/>
    </row>
    <row r="945" spans="2:8">
      <c r="B945" s="47"/>
      <c r="H945" s="118"/>
    </row>
    <row r="946" spans="2:8">
      <c r="B946" s="47"/>
      <c r="H946" s="118"/>
    </row>
    <row r="947" spans="2:8">
      <c r="B947" s="47"/>
      <c r="H947" s="118"/>
    </row>
    <row r="948" spans="2:8">
      <c r="B948" s="47"/>
      <c r="H948" s="118"/>
    </row>
    <row r="949" spans="2:8">
      <c r="B949" s="47"/>
      <c r="H949" s="118"/>
    </row>
    <row r="950" spans="2:8">
      <c r="B950" s="47"/>
      <c r="H950" s="118"/>
    </row>
    <row r="951" spans="2:8">
      <c r="B951" s="47"/>
      <c r="H951" s="118"/>
    </row>
    <row r="952" spans="2:8">
      <c r="B952" s="47"/>
      <c r="H952" s="118"/>
    </row>
    <row r="953" spans="2:8">
      <c r="B953" s="47"/>
      <c r="H953" s="118"/>
    </row>
    <row r="954" spans="2:8">
      <c r="B954" s="47"/>
      <c r="H954" s="118"/>
    </row>
    <row r="955" spans="2:8">
      <c r="B955" s="47"/>
      <c r="H955" s="118"/>
    </row>
    <row r="956" spans="2:8">
      <c r="B956" s="47"/>
      <c r="H956" s="118"/>
    </row>
    <row r="957" spans="2:8">
      <c r="B957" s="47"/>
      <c r="H957" s="118"/>
    </row>
    <row r="958" spans="2:8">
      <c r="B958" s="47"/>
      <c r="H958" s="118"/>
    </row>
    <row r="959" spans="2:8">
      <c r="B959" s="47"/>
      <c r="H959" s="118"/>
    </row>
    <row r="960" spans="2:8">
      <c r="B960" s="47"/>
      <c r="H960" s="118"/>
    </row>
    <row r="961" spans="2:8">
      <c r="B961" s="47"/>
      <c r="H961" s="118"/>
    </row>
    <row r="962" spans="2:8">
      <c r="B962" s="47"/>
      <c r="H962" s="118"/>
    </row>
    <row r="963" spans="2:8">
      <c r="B963" s="47"/>
      <c r="H963" s="118"/>
    </row>
    <row r="964" spans="2:8">
      <c r="B964" s="47"/>
      <c r="H964" s="118"/>
    </row>
    <row r="965" spans="2:8">
      <c r="B965" s="47"/>
      <c r="H965" s="118"/>
    </row>
    <row r="966" spans="2:8">
      <c r="B966" s="47"/>
      <c r="H966" s="118"/>
    </row>
    <row r="967" spans="2:8">
      <c r="B967" s="47"/>
      <c r="H967" s="118"/>
    </row>
    <row r="968" spans="2:8">
      <c r="B968" s="47"/>
      <c r="H968" s="118"/>
    </row>
    <row r="969" spans="2:8">
      <c r="B969" s="47"/>
      <c r="H969" s="118"/>
    </row>
    <row r="970" spans="2:8">
      <c r="B970" s="47"/>
      <c r="H970" s="118"/>
    </row>
    <row r="971" spans="2:8">
      <c r="B971" s="47"/>
      <c r="H971" s="118"/>
    </row>
    <row r="972" spans="2:8">
      <c r="B972" s="47"/>
      <c r="H972" s="118"/>
    </row>
    <row r="973" spans="2:8">
      <c r="B973" s="47"/>
      <c r="H973" s="118"/>
    </row>
    <row r="974" spans="2:8">
      <c r="B974" s="47"/>
      <c r="H974" s="118"/>
    </row>
    <row r="975" spans="2:8">
      <c r="B975" s="47"/>
      <c r="H975" s="118"/>
    </row>
    <row r="976" spans="2:8">
      <c r="B976" s="47"/>
      <c r="H976" s="118"/>
    </row>
    <row r="977" spans="2:8">
      <c r="B977" s="47"/>
      <c r="H977" s="118"/>
    </row>
    <row r="978" spans="2:8">
      <c r="B978" s="47"/>
      <c r="H978" s="118"/>
    </row>
    <row r="979" spans="2:8">
      <c r="B979" s="47"/>
      <c r="H979" s="118"/>
    </row>
    <row r="980" spans="2:8">
      <c r="B980" s="47"/>
      <c r="H980" s="118"/>
    </row>
    <row r="981" spans="2:8">
      <c r="B981" s="47"/>
      <c r="H981" s="118"/>
    </row>
    <row r="982" spans="2:8">
      <c r="B982" s="47"/>
      <c r="H982" s="118"/>
    </row>
    <row r="983" spans="2:8">
      <c r="B983" s="47"/>
      <c r="H983" s="118"/>
    </row>
    <row r="984" spans="2:8">
      <c r="B984" s="47"/>
      <c r="H984" s="118"/>
    </row>
    <row r="985" spans="2:8">
      <c r="B985" s="47"/>
      <c r="H985" s="118"/>
    </row>
    <row r="986" spans="2:8">
      <c r="B986" s="47"/>
      <c r="H986" s="118"/>
    </row>
    <row r="987" spans="2:8">
      <c r="B987" s="47"/>
      <c r="H987" s="118"/>
    </row>
    <row r="988" spans="2:8">
      <c r="B988" s="47"/>
      <c r="H988" s="118"/>
    </row>
    <row r="989" spans="2:8">
      <c r="B989" s="47"/>
      <c r="H989" s="118"/>
    </row>
    <row r="990" spans="2:8">
      <c r="B990" s="47"/>
      <c r="H990" s="118"/>
    </row>
    <row r="991" spans="2:8">
      <c r="B991" s="47"/>
      <c r="H991" s="118"/>
    </row>
    <row r="992" spans="2:8">
      <c r="B992" s="47"/>
      <c r="H992" s="118"/>
    </row>
    <row r="993" spans="2:8">
      <c r="B993" s="47"/>
      <c r="H993" s="118"/>
    </row>
    <row r="994" spans="2:8">
      <c r="B994" s="47"/>
      <c r="H994" s="118"/>
    </row>
    <row r="995" spans="2:8">
      <c r="B995" s="47"/>
      <c r="H995" s="118"/>
    </row>
    <row r="996" spans="2:8">
      <c r="B996" s="47"/>
      <c r="H996" s="118"/>
    </row>
    <row r="997" spans="2:8">
      <c r="B997" s="47"/>
      <c r="H997" s="118"/>
    </row>
    <row r="998" spans="2:8">
      <c r="B998" s="47"/>
      <c r="H998" s="118"/>
    </row>
    <row r="999" spans="2:8">
      <c r="B999" s="47"/>
      <c r="H999" s="118"/>
    </row>
    <row r="1000" spans="2:8">
      <c r="B1000" s="47"/>
      <c r="H1000" s="118"/>
    </row>
    <row r="1001" spans="2:8">
      <c r="B1001" s="47"/>
      <c r="H1001" s="118"/>
    </row>
    <row r="1002" spans="2:8">
      <c r="B1002" s="47"/>
      <c r="H1002" s="118"/>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18" customWidth="1"/>
    <col min="7" max="7" width="2.85546875" bestFit="1" customWidth="1"/>
  </cols>
  <sheetData>
    <row r="1" spans="2:7">
      <c r="B1" s="47" t="s">
        <v>462</v>
      </c>
      <c r="C1" s="141"/>
      <c r="D1" s="147"/>
      <c r="E1" s="153" t="s">
        <v>2</v>
      </c>
      <c r="F1" s="147"/>
      <c r="G1" s="118"/>
    </row>
    <row r="2" spans="2:7">
      <c r="B2" s="118" t="s">
        <v>3</v>
      </c>
      <c r="C2" s="136" t="s">
        <v>463</v>
      </c>
      <c r="G2" s="118"/>
    </row>
    <row r="3" spans="2:7">
      <c r="B3" s="144" t="s">
        <v>5</v>
      </c>
      <c r="C3" s="144" t="s">
        <v>464</v>
      </c>
      <c r="D3" s="144" t="s">
        <v>465</v>
      </c>
      <c r="E3" s="144" t="s">
        <v>466</v>
      </c>
      <c r="F3" s="144" t="s">
        <v>467</v>
      </c>
      <c r="G3" s="144"/>
    </row>
    <row r="4" spans="2:7" ht="25.5">
      <c r="B4" s="148" t="s">
        <v>16</v>
      </c>
      <c r="C4" s="639" t="s">
        <v>468</v>
      </c>
      <c r="D4" s="639" t="s">
        <v>277</v>
      </c>
      <c r="E4" s="639" t="s">
        <v>469</v>
      </c>
      <c r="F4" s="639" t="s">
        <v>309</v>
      </c>
    </row>
    <row r="5" spans="2:7" ht="51">
      <c r="B5" s="148" t="s">
        <v>27</v>
      </c>
      <c r="C5" s="470" t="s">
        <v>470</v>
      </c>
      <c r="D5" s="470" t="s">
        <v>471</v>
      </c>
      <c r="E5" s="470" t="s">
        <v>472</v>
      </c>
      <c r="F5" s="470" t="s">
        <v>317</v>
      </c>
      <c r="G5" s="144"/>
    </row>
    <row r="6" spans="2:7" ht="38.25">
      <c r="B6" s="151">
        <v>1</v>
      </c>
      <c r="C6" s="637" t="s">
        <v>473</v>
      </c>
      <c r="D6" s="637" t="s">
        <v>218</v>
      </c>
      <c r="E6" s="637"/>
      <c r="F6" s="637"/>
      <c r="G6" s="151">
        <v>1</v>
      </c>
    </row>
    <row r="7" spans="2:7">
      <c r="B7" s="151">
        <v>2</v>
      </c>
      <c r="C7" s="637"/>
      <c r="D7" s="637"/>
      <c r="E7" s="637"/>
      <c r="F7" s="637"/>
      <c r="G7" s="151">
        <v>2</v>
      </c>
    </row>
    <row r="8" spans="2:7">
      <c r="B8" s="151">
        <v>3</v>
      </c>
      <c r="C8" s="817"/>
      <c r="D8" s="637"/>
      <c r="E8" s="637"/>
      <c r="F8" s="637"/>
      <c r="G8" s="151">
        <v>3</v>
      </c>
    </row>
    <row r="9" spans="2:7">
      <c r="B9" s="151">
        <v>4</v>
      </c>
      <c r="C9" s="637"/>
      <c r="E9" s="637"/>
      <c r="F9" s="637"/>
      <c r="G9" s="151">
        <v>4</v>
      </c>
    </row>
    <row r="10" spans="2:7" ht="38.25">
      <c r="B10" s="151">
        <v>5</v>
      </c>
      <c r="C10" s="637"/>
      <c r="D10" s="637" t="s">
        <v>474</v>
      </c>
      <c r="E10" s="641"/>
      <c r="F10" s="641"/>
      <c r="G10" s="151">
        <v>5</v>
      </c>
    </row>
    <row r="11" spans="2:7" ht="25.5">
      <c r="B11" s="151">
        <v>5</v>
      </c>
      <c r="C11" s="817"/>
      <c r="D11" s="644" t="s">
        <v>475</v>
      </c>
      <c r="E11" s="641"/>
      <c r="F11" s="637"/>
      <c r="G11" s="151">
        <v>5</v>
      </c>
    </row>
    <row r="12" spans="2:7">
      <c r="B12" s="151">
        <v>6</v>
      </c>
      <c r="C12" s="637"/>
      <c r="D12" s="641"/>
      <c r="E12" s="641"/>
      <c r="F12" s="641"/>
      <c r="G12" s="151">
        <v>6</v>
      </c>
    </row>
    <row r="13" spans="2:7" ht="38.25">
      <c r="B13" s="151">
        <v>7</v>
      </c>
      <c r="C13" s="637"/>
      <c r="D13" s="637"/>
      <c r="E13" s="641" t="s">
        <v>476</v>
      </c>
      <c r="F13" s="637"/>
      <c r="G13" s="151">
        <v>7</v>
      </c>
    </row>
    <row r="14" spans="2:7">
      <c r="B14" s="151">
        <v>8</v>
      </c>
      <c r="C14" s="637"/>
      <c r="D14" s="637"/>
      <c r="E14" s="637"/>
      <c r="F14" s="637"/>
      <c r="G14" s="151">
        <v>8</v>
      </c>
    </row>
    <row r="15" spans="2:7">
      <c r="B15" s="151">
        <v>9</v>
      </c>
      <c r="C15" s="637"/>
      <c r="D15" s="637"/>
      <c r="E15" s="637"/>
      <c r="F15" s="637" t="s">
        <v>49</v>
      </c>
      <c r="G15" s="151">
        <v>9</v>
      </c>
    </row>
    <row r="16" spans="2:7" ht="38.25">
      <c r="B16" s="152">
        <v>10</v>
      </c>
      <c r="C16" s="641" t="s">
        <v>477</v>
      </c>
      <c r="D16" s="641" t="s">
        <v>478</v>
      </c>
      <c r="E16" s="641" t="s">
        <v>49</v>
      </c>
      <c r="F16" s="641" t="s">
        <v>62</v>
      </c>
      <c r="G16" s="152">
        <v>10</v>
      </c>
    </row>
    <row r="17" spans="2:13" ht="38.25">
      <c r="B17" s="152">
        <v>10</v>
      </c>
      <c r="C17" s="641"/>
      <c r="D17" s="644" t="s">
        <v>479</v>
      </c>
      <c r="E17" s="644" t="s">
        <v>480</v>
      </c>
      <c r="F17" s="641"/>
      <c r="G17" s="152">
        <v>10</v>
      </c>
    </row>
    <row r="19" spans="2:13">
      <c r="B19" s="47"/>
      <c r="G19" s="118"/>
    </row>
    <row r="20" spans="2:13">
      <c r="B20" s="47"/>
      <c r="G20" s="118"/>
    </row>
    <row r="21" spans="2:13">
      <c r="B21" s="47"/>
      <c r="G21" s="118"/>
    </row>
    <row r="22" spans="2:13">
      <c r="B22" s="47"/>
      <c r="G22" s="118"/>
    </row>
    <row r="23" spans="2:13">
      <c r="B23" s="119" t="s">
        <v>70</v>
      </c>
      <c r="C23" s="118" t="str">
        <f>C6</f>
        <v>Customer bill calculations have not been checked to confirm the rate structure is correctly implemented</v>
      </c>
      <c r="D23" s="118" t="str">
        <f>D6</f>
        <v>Guesstimated</v>
      </c>
      <c r="E23" s="118" t="str">
        <f>E13</f>
        <v>Yes, but this has not been incorporated into the volume-weighted average calculation</v>
      </c>
      <c r="F23" s="118" t="str">
        <f>F15</f>
        <v>No</v>
      </c>
      <c r="G23" s="118"/>
    </row>
    <row r="24" spans="2:13">
      <c r="B24" s="119"/>
      <c r="C24" s="118" t="str">
        <f>C16</f>
        <v>Customer bill calculations have been checked to confirm the rate structure is correctly implemented</v>
      </c>
      <c r="D24" s="118" t="str">
        <f>D10</f>
        <v>Rate structure has multiple volumetric rates, but only one rate was selected for this input</v>
      </c>
      <c r="E24" s="118" t="str">
        <f>E17</f>
        <v>Yes, and this has been incorporated into the volume-weighted average calculation</v>
      </c>
      <c r="F24" s="118" t="str">
        <f>F16</f>
        <v>Yes</v>
      </c>
      <c r="G24" s="118"/>
    </row>
    <row r="25" spans="2:13">
      <c r="B25" s="119"/>
      <c r="D25" s="118" t="str">
        <f>D11</f>
        <v>A non-weighted average of multiple rates was calculated</v>
      </c>
      <c r="E25" s="118" t="str">
        <f>E16</f>
        <v>No</v>
      </c>
      <c r="G25" s="118"/>
    </row>
    <row r="26" spans="2:13">
      <c r="B26" s="119"/>
      <c r="D26" s="118" t="str">
        <f>D16</f>
        <v>Rate structure has only a single volumetric rate, and this was used as the input</v>
      </c>
      <c r="G26" s="118"/>
      <c r="K26" s="118"/>
      <c r="M26" s="118"/>
    </row>
    <row r="27" spans="2:13">
      <c r="B27" s="119"/>
      <c r="D27" s="118" t="str">
        <f>D17</f>
        <v>A volume-weighted average of all rates was calculated</v>
      </c>
      <c r="G27" s="118"/>
      <c r="M27" s="118"/>
    </row>
    <row r="28" spans="2:13">
      <c r="B28" s="119"/>
      <c r="G28" s="118"/>
    </row>
    <row r="29" spans="2:13">
      <c r="B29" s="119"/>
      <c r="G29" s="118"/>
    </row>
    <row r="30" spans="2:13">
      <c r="B30" s="121"/>
      <c r="G30" s="118"/>
    </row>
    <row r="31" spans="2:13">
      <c r="B31" s="121"/>
      <c r="G31" s="118"/>
    </row>
    <row r="32" spans="2:13">
      <c r="B32" s="119"/>
      <c r="G32" s="118"/>
    </row>
    <row r="33" spans="2:7">
      <c r="B33" s="119" t="s">
        <v>71</v>
      </c>
      <c r="G33" s="118"/>
    </row>
    <row r="34" spans="2:7">
      <c r="B34" s="136" t="s">
        <v>463</v>
      </c>
      <c r="G34" s="118"/>
    </row>
    <row r="35" spans="2:7">
      <c r="B35" s="136" t="s">
        <v>470</v>
      </c>
      <c r="G35" s="118"/>
    </row>
    <row r="36" spans="2:7">
      <c r="B36" s="136" t="s">
        <v>471</v>
      </c>
      <c r="G36" s="118"/>
    </row>
    <row r="37" spans="2:7">
      <c r="B37" s="136" t="s">
        <v>472</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G56" s="118"/>
    </row>
    <row r="57" spans="2:7">
      <c r="B57" s="47"/>
      <c r="G57" s="118"/>
    </row>
    <row r="58" spans="2:7">
      <c r="B58" s="47"/>
      <c r="G58" s="118"/>
    </row>
    <row r="59" spans="2:7">
      <c r="B59" s="47"/>
      <c r="G59" s="118"/>
    </row>
    <row r="60" spans="2:7">
      <c r="B60" s="47"/>
      <c r="G60" s="118"/>
    </row>
    <row r="61" spans="2:7">
      <c r="B61" s="47"/>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18" customWidth="1"/>
    <col min="4" max="5" width="77.85546875" style="118" customWidth="1"/>
    <col min="6" max="6" width="28.140625" style="118" customWidth="1"/>
    <col min="7" max="7" width="2.85546875" bestFit="1" customWidth="1"/>
  </cols>
  <sheetData>
    <row r="1" spans="2:7">
      <c r="B1" s="47" t="s">
        <v>481</v>
      </c>
      <c r="C1" s="141"/>
      <c r="D1" s="153" t="s">
        <v>2</v>
      </c>
      <c r="E1" s="147"/>
      <c r="F1" s="155" t="s">
        <v>1</v>
      </c>
      <c r="G1" s="118"/>
    </row>
    <row r="2" spans="2:7">
      <c r="B2" s="118"/>
      <c r="G2" s="118"/>
    </row>
    <row r="3" spans="2:7">
      <c r="B3" s="394" t="s">
        <v>5</v>
      </c>
      <c r="C3" s="394" t="s">
        <v>482</v>
      </c>
      <c r="D3" s="394" t="s">
        <v>483</v>
      </c>
      <c r="E3" s="394" t="s">
        <v>484</v>
      </c>
      <c r="F3" s="394" t="s">
        <v>485</v>
      </c>
      <c r="G3" s="144"/>
    </row>
    <row r="4" spans="2:7" ht="25.5">
      <c r="B4" s="392" t="s">
        <v>16</v>
      </c>
      <c r="C4" s="393" t="s">
        <v>277</v>
      </c>
      <c r="D4" s="393" t="s">
        <v>486</v>
      </c>
      <c r="E4" s="393" t="s">
        <v>487</v>
      </c>
      <c r="F4" s="393" t="s">
        <v>309</v>
      </c>
    </row>
    <row r="5" spans="2:7" ht="204">
      <c r="B5" s="392" t="s">
        <v>27</v>
      </c>
      <c r="C5" s="146" t="s">
        <v>471</v>
      </c>
      <c r="D5" s="146" t="s">
        <v>488</v>
      </c>
      <c r="E5" s="146" t="s">
        <v>489</v>
      </c>
      <c r="F5" s="146" t="s">
        <v>317</v>
      </c>
      <c r="G5" s="144"/>
    </row>
    <row r="6" spans="2:7">
      <c r="B6" s="398">
        <v>1</v>
      </c>
      <c r="C6" s="140" t="s">
        <v>218</v>
      </c>
      <c r="D6" s="140"/>
      <c r="E6" s="140"/>
      <c r="F6" s="140"/>
      <c r="G6" s="151">
        <v>1</v>
      </c>
    </row>
    <row r="7" spans="2:7">
      <c r="B7" s="398">
        <v>2</v>
      </c>
      <c r="C7" s="140"/>
      <c r="D7" s="140"/>
      <c r="E7" s="140"/>
      <c r="F7" s="140"/>
      <c r="G7" s="151">
        <v>2</v>
      </c>
    </row>
    <row r="8" spans="2:7">
      <c r="B8" s="398">
        <v>3</v>
      </c>
      <c r="C8" s="145"/>
      <c r="D8" s="140" t="s">
        <v>490</v>
      </c>
      <c r="E8" s="140"/>
      <c r="F8" s="140"/>
      <c r="G8" s="151">
        <v>3</v>
      </c>
    </row>
    <row r="9" spans="2:7" ht="25.5">
      <c r="B9" s="398">
        <v>4</v>
      </c>
      <c r="C9" s="140" t="s">
        <v>491</v>
      </c>
      <c r="D9" s="140"/>
      <c r="E9" s="140"/>
      <c r="F9" s="140"/>
      <c r="G9" s="151">
        <v>4</v>
      </c>
    </row>
    <row r="10" spans="2:7">
      <c r="B10" s="398">
        <v>5</v>
      </c>
      <c r="C10" s="140"/>
      <c r="D10" s="142"/>
      <c r="E10" s="142"/>
      <c r="F10" s="142"/>
      <c r="G10" s="151">
        <v>5</v>
      </c>
    </row>
    <row r="11" spans="2:7">
      <c r="B11" s="398">
        <v>6</v>
      </c>
      <c r="C11" s="145"/>
      <c r="D11" s="140"/>
      <c r="E11" s="142"/>
      <c r="F11" s="140"/>
      <c r="G11" s="151">
        <v>6</v>
      </c>
    </row>
    <row r="12" spans="2:7">
      <c r="B12" s="398">
        <v>7</v>
      </c>
      <c r="C12" s="140"/>
      <c r="D12" s="142"/>
      <c r="E12" s="140"/>
      <c r="F12" s="142"/>
      <c r="G12" s="151">
        <v>7</v>
      </c>
    </row>
    <row r="13" spans="2:7">
      <c r="B13" s="398">
        <v>8</v>
      </c>
      <c r="C13" s="140"/>
      <c r="D13" s="140"/>
      <c r="E13" s="142" t="s">
        <v>492</v>
      </c>
      <c r="F13" s="140"/>
      <c r="G13" s="151">
        <v>8</v>
      </c>
    </row>
    <row r="14" spans="2:7" ht="25.5">
      <c r="B14" s="398">
        <v>9</v>
      </c>
      <c r="C14" s="140"/>
      <c r="D14" s="140"/>
      <c r="E14" s="140" t="s">
        <v>493</v>
      </c>
      <c r="F14" s="140" t="s">
        <v>49</v>
      </c>
      <c r="G14" s="151">
        <v>9</v>
      </c>
    </row>
    <row r="15" spans="2:7" ht="51">
      <c r="B15" s="398">
        <v>10</v>
      </c>
      <c r="C15" s="140" t="s">
        <v>494</v>
      </c>
      <c r="D15" s="140" t="s">
        <v>495</v>
      </c>
      <c r="E15" s="140" t="s">
        <v>496</v>
      </c>
      <c r="F15" s="140" t="s">
        <v>62</v>
      </c>
      <c r="G15" s="151">
        <v>10</v>
      </c>
    </row>
    <row r="16" spans="2:7" ht="38.25">
      <c r="B16" s="399">
        <v>10</v>
      </c>
      <c r="C16" s="154" t="s">
        <v>497</v>
      </c>
      <c r="D16" s="142"/>
      <c r="E16" s="142"/>
      <c r="F16" s="142"/>
      <c r="G16" s="152">
        <v>10</v>
      </c>
    </row>
    <row r="17" spans="2:13" ht="38.25">
      <c r="B17" s="399">
        <v>10</v>
      </c>
      <c r="C17" s="154" t="s">
        <v>498</v>
      </c>
      <c r="D17" s="142"/>
      <c r="E17" s="142"/>
      <c r="F17" s="142"/>
      <c r="G17" s="152">
        <v>10</v>
      </c>
    </row>
    <row r="18" spans="2:13" ht="38.25">
      <c r="B18" s="400">
        <f>'Interactive Data Grading'!D446</f>
        <v>10</v>
      </c>
      <c r="C18" s="401" t="s">
        <v>499</v>
      </c>
      <c r="D18" s="400" t="s">
        <v>500</v>
      </c>
      <c r="E18" s="143"/>
      <c r="F18" s="143"/>
      <c r="G18" s="75">
        <f>'Interactive Data Grading'!D446</f>
        <v>10</v>
      </c>
    </row>
    <row r="19" spans="2:13" ht="25.5">
      <c r="E19" s="156" t="s">
        <v>501</v>
      </c>
      <c r="F19" s="156"/>
    </row>
    <row r="20" spans="2:13">
      <c r="B20" s="47"/>
      <c r="G20" s="118"/>
    </row>
    <row r="21" spans="2:13">
      <c r="B21" s="47"/>
      <c r="G21" s="118"/>
    </row>
    <row r="22" spans="2:13">
      <c r="B22" s="47"/>
      <c r="G22" s="118"/>
    </row>
    <row r="23" spans="2:13">
      <c r="B23" s="119" t="s">
        <v>70</v>
      </c>
      <c r="C23" s="118" t="str">
        <f>C6</f>
        <v>Guesstimated</v>
      </c>
      <c r="D23" s="118" t="str">
        <f>D8</f>
        <v>Some but not all applicable short-run marginal costs are included</v>
      </c>
      <c r="E23" s="118" t="str">
        <f>E13</f>
        <v>Long-run marginal costs have not been evaluated for applicability, and are not included</v>
      </c>
      <c r="F23" s="118" t="str">
        <f>F14</f>
        <v>No</v>
      </c>
      <c r="G23" s="118"/>
    </row>
    <row r="24" spans="2:13">
      <c r="B24" s="119"/>
      <c r="C24" s="118" t="str">
        <f>C9</f>
        <v>A non-weighted average of multiple sources was calculated</v>
      </c>
      <c r="D24" s="118" t="str">
        <f>D15</f>
        <v>All applicable short-run marginal costs are included</v>
      </c>
      <c r="E24" s="118" t="str">
        <f>E14</f>
        <v>Long-run marginal costs have been evaluated for applicability, and some but not all applicable costs are included</v>
      </c>
      <c r="F24" s="118" t="str">
        <f>F15</f>
        <v>Yes</v>
      </c>
      <c r="G24" s="118"/>
    </row>
    <row r="25" spans="2:13">
      <c r="B25" s="119"/>
      <c r="C25" s="118" t="str">
        <f>C15</f>
        <v xml:space="preserve">Only one source of water exists, which was the basis for the input derivation
</v>
      </c>
      <c r="E25" s="118" t="str">
        <f>E15</f>
        <v xml:space="preserve">Long-run marginal costs have been evaluated for applicability, and all applicable costs are included
</v>
      </c>
      <c r="G25" s="118"/>
    </row>
    <row r="26" spans="2:13">
      <c r="B26" s="119"/>
      <c r="C26" s="118" t="str">
        <f>C16</f>
        <v>Multiple sources of water exist, and a volume-weighted average was calculated for all sources</v>
      </c>
      <c r="G26" s="118"/>
      <c r="K26" s="118"/>
      <c r="M26" s="118"/>
    </row>
    <row r="27" spans="2:13">
      <c r="B27" s="119"/>
      <c r="C27" s="118" t="str">
        <f>C17</f>
        <v>Unit costs for the most expensive source utilized based on utility's discretion</v>
      </c>
      <c r="G27" s="118"/>
      <c r="M27" s="118"/>
    </row>
    <row r="28" spans="2:13">
      <c r="B28" s="119"/>
      <c r="C28" s="118" t="str">
        <f>C18</f>
        <v>The VPC was entered using the CRUC value, based on the utility's discretion</v>
      </c>
      <c r="G28" s="118"/>
    </row>
    <row r="29" spans="2:13">
      <c r="B29" s="119"/>
      <c r="G29" s="118"/>
    </row>
    <row r="30" spans="2:13">
      <c r="B30" s="121"/>
      <c r="G30" s="118"/>
    </row>
    <row r="31" spans="2:13">
      <c r="B31" s="121"/>
      <c r="G31" s="118"/>
    </row>
    <row r="32" spans="2:13">
      <c r="B32" s="119"/>
      <c r="G32" s="118"/>
    </row>
    <row r="33" spans="2:7">
      <c r="B33" s="119" t="s">
        <v>71</v>
      </c>
      <c r="G33" s="118"/>
    </row>
    <row r="34" spans="2:7">
      <c r="B34" s="136"/>
      <c r="G34" s="118"/>
    </row>
    <row r="35" spans="2:7">
      <c r="B35" s="136" t="s">
        <v>471</v>
      </c>
      <c r="G35" s="118"/>
    </row>
    <row r="36" spans="2:7" ht="409.5">
      <c r="B36" s="109" t="s">
        <v>502</v>
      </c>
      <c r="G36" s="118"/>
    </row>
    <row r="37" spans="2:7" ht="409.5">
      <c r="B37" s="109" t="s">
        <v>503</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D56" s="807" t="s">
        <v>483</v>
      </c>
      <c r="E56" s="807" t="s">
        <v>484</v>
      </c>
      <c r="G56" s="118"/>
    </row>
    <row r="57" spans="2:7">
      <c r="B57" s="47"/>
      <c r="D57" s="639" t="s">
        <v>486</v>
      </c>
      <c r="E57" s="639" t="s">
        <v>487</v>
      </c>
      <c r="G57" s="118"/>
    </row>
    <row r="58" spans="2:7" ht="191.25">
      <c r="B58" s="47"/>
      <c r="D58" s="470" t="s">
        <v>504</v>
      </c>
      <c r="E58" s="470" t="s">
        <v>505</v>
      </c>
      <c r="G58" s="118"/>
    </row>
    <row r="59" spans="2:7" ht="25.5">
      <c r="B59" s="47"/>
      <c r="D59" s="665" t="s">
        <v>490</v>
      </c>
      <c r="E59" s="666" t="s">
        <v>492</v>
      </c>
      <c r="G59" s="118"/>
    </row>
    <row r="60" spans="2:7" ht="25.5">
      <c r="B60" s="47"/>
      <c r="D60" s="665" t="s">
        <v>495</v>
      </c>
      <c r="E60" s="665" t="s">
        <v>493</v>
      </c>
      <c r="G60" s="118"/>
    </row>
    <row r="61" spans="2:7" ht="34.15" customHeight="1">
      <c r="B61" s="47"/>
      <c r="D61" s="47"/>
      <c r="E61" s="667" t="s">
        <v>496</v>
      </c>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134"/>
    <col min="2" max="2" width="11.85546875" style="134" customWidth="1"/>
    <col min="3" max="6" width="40.42578125" style="134" customWidth="1"/>
    <col min="7" max="9" width="22.85546875" style="134" customWidth="1"/>
    <col min="10" max="16384" width="9.140625" style="134"/>
  </cols>
  <sheetData>
    <row r="1" spans="2:7" ht="25.5">
      <c r="B1" s="47" t="s">
        <v>73</v>
      </c>
      <c r="F1" s="135" t="s">
        <v>2</v>
      </c>
    </row>
    <row r="2" spans="2:7">
      <c r="B2" s="134" t="s">
        <v>3</v>
      </c>
      <c r="C2" s="134" t="s">
        <v>74</v>
      </c>
    </row>
    <row r="3" spans="2:7">
      <c r="B3" s="134" t="s">
        <v>5</v>
      </c>
      <c r="C3" s="439" t="s">
        <v>75</v>
      </c>
      <c r="D3" s="439" t="s">
        <v>76</v>
      </c>
      <c r="E3" s="439" t="s">
        <v>77</v>
      </c>
      <c r="F3" s="439" t="s">
        <v>78</v>
      </c>
    </row>
    <row r="4" spans="2:7" ht="25.5">
      <c r="B4" s="134" t="s">
        <v>16</v>
      </c>
      <c r="C4" s="134" t="s">
        <v>79</v>
      </c>
      <c r="D4" s="134" t="s">
        <v>80</v>
      </c>
      <c r="E4" s="134" t="s">
        <v>81</v>
      </c>
      <c r="F4" s="134" t="s">
        <v>82</v>
      </c>
    </row>
    <row r="5" spans="2:7" ht="51">
      <c r="B5" s="134" t="s">
        <v>27</v>
      </c>
      <c r="C5" s="134" t="s">
        <v>83</v>
      </c>
      <c r="D5" s="134" t="s">
        <v>84</v>
      </c>
      <c r="E5" s="134" t="s">
        <v>85</v>
      </c>
      <c r="F5" s="439" t="s">
        <v>86</v>
      </c>
    </row>
    <row r="6" spans="2:7">
      <c r="B6" s="134">
        <v>1</v>
      </c>
      <c r="G6" s="137">
        <v>1</v>
      </c>
    </row>
    <row r="7" spans="2:7">
      <c r="B7" s="134">
        <v>2</v>
      </c>
      <c r="G7" s="137">
        <v>2</v>
      </c>
    </row>
    <row r="8" spans="2:7">
      <c r="B8" s="134">
        <v>3</v>
      </c>
      <c r="G8" s="137">
        <v>3</v>
      </c>
    </row>
    <row r="9" spans="2:7">
      <c r="B9" s="134">
        <v>4</v>
      </c>
      <c r="C9" s="134" t="s">
        <v>49</v>
      </c>
      <c r="F9" s="439" t="s">
        <v>87</v>
      </c>
      <c r="G9" s="137">
        <v>4</v>
      </c>
    </row>
    <row r="10" spans="2:7">
      <c r="B10" s="134">
        <v>5</v>
      </c>
      <c r="G10" s="137">
        <v>5</v>
      </c>
    </row>
    <row r="11" spans="2:7">
      <c r="B11" s="134">
        <v>6</v>
      </c>
      <c r="G11" s="137">
        <v>6</v>
      </c>
    </row>
    <row r="12" spans="2:7">
      <c r="B12" s="134">
        <v>7</v>
      </c>
      <c r="G12" s="137">
        <v>7</v>
      </c>
    </row>
    <row r="13" spans="2:7">
      <c r="B13" s="134">
        <v>8</v>
      </c>
      <c r="D13" s="134" t="s">
        <v>49</v>
      </c>
      <c r="G13" s="137">
        <v>8</v>
      </c>
    </row>
    <row r="14" spans="2:7">
      <c r="B14" s="134">
        <v>8</v>
      </c>
      <c r="D14" s="135" t="s">
        <v>39</v>
      </c>
      <c r="G14" s="137">
        <v>8</v>
      </c>
    </row>
    <row r="15" spans="2:7">
      <c r="B15" s="134">
        <v>9</v>
      </c>
      <c r="E15" s="134" t="s">
        <v>49</v>
      </c>
      <c r="G15" s="137">
        <v>9</v>
      </c>
    </row>
    <row r="16" spans="2:7">
      <c r="B16" s="134">
        <v>10</v>
      </c>
      <c r="C16" s="134" t="s">
        <v>62</v>
      </c>
      <c r="D16" s="134" t="s">
        <v>62</v>
      </c>
      <c r="E16" s="134" t="s">
        <v>62</v>
      </c>
      <c r="F16" s="439" t="s">
        <v>88</v>
      </c>
      <c r="G16" s="137">
        <v>10</v>
      </c>
    </row>
    <row r="17" spans="2:7" ht="25.5">
      <c r="B17" s="134">
        <v>10</v>
      </c>
      <c r="C17" s="135" t="s">
        <v>89</v>
      </c>
      <c r="D17" s="135" t="s">
        <v>89</v>
      </c>
      <c r="E17" s="135" t="s">
        <v>89</v>
      </c>
      <c r="F17" s="135" t="s">
        <v>90</v>
      </c>
      <c r="G17" s="137">
        <v>10</v>
      </c>
    </row>
    <row r="18" spans="2:7" ht="25.5">
      <c r="B18" s="134">
        <v>10</v>
      </c>
      <c r="C18" s="135"/>
      <c r="D18" s="135"/>
      <c r="E18" s="135"/>
      <c r="F18" s="135" t="s">
        <v>91</v>
      </c>
      <c r="G18" s="137">
        <v>10</v>
      </c>
    </row>
    <row r="23" spans="2:7">
      <c r="B23" s="125" t="s">
        <v>92</v>
      </c>
      <c r="C23" s="134" t="str">
        <f>C9</f>
        <v>No</v>
      </c>
      <c r="D23" s="134" t="str">
        <f>D13</f>
        <v>No</v>
      </c>
      <c r="E23" s="134" t="str">
        <f>E15</f>
        <v>No</v>
      </c>
      <c r="F23" s="134" t="str">
        <f>F9</f>
        <v>Results are available but not analyzed</v>
      </c>
    </row>
    <row r="24" spans="2:7">
      <c r="C24" s="134" t="str">
        <f>C16</f>
        <v>Yes</v>
      </c>
      <c r="D24" s="134" t="str">
        <f>D14</f>
        <v>Not sure</v>
      </c>
      <c r="E24" s="134" t="str">
        <f>E16</f>
        <v>Yes</v>
      </c>
      <c r="F24" s="134" t="str">
        <f>F16</f>
        <v>Yes, results are analyzed and incorporated</v>
      </c>
    </row>
    <row r="25" spans="2:7">
      <c r="C25" s="134" t="str">
        <f>C17</f>
        <v>n/a given no distribution storage</v>
      </c>
      <c r="D25" s="134" t="str">
        <f>D16</f>
        <v>Yes</v>
      </c>
      <c r="E25" s="134" t="str">
        <f>E17</f>
        <v>n/a given no distribution storage</v>
      </c>
      <c r="F25" s="134" t="str">
        <f>F17</f>
        <v>Yes, results are analyzed and a 'no-adjustment' was determined</v>
      </c>
    </row>
    <row r="26" spans="2:7">
      <c r="D26" s="134" t="str">
        <f>D17</f>
        <v>n/a given no distribution storage</v>
      </c>
      <c r="F26" s="134" t="str">
        <f>F18</f>
        <v>No error adjustment made due to absence of testing or calibration results</v>
      </c>
    </row>
    <row r="33" spans="2:2">
      <c r="B33" s="119" t="s">
        <v>93</v>
      </c>
    </row>
    <row r="34" spans="2:2">
      <c r="B34" s="136" t="s">
        <v>94</v>
      </c>
    </row>
    <row r="35" spans="2:2">
      <c r="B35" s="136" t="s">
        <v>84</v>
      </c>
    </row>
    <row r="36" spans="2:2">
      <c r="B36" s="136" t="str">
        <f>E5</f>
        <v>Is the annual net distribution storage change included in either the VOS input or the VOSEA input?</v>
      </c>
    </row>
    <row r="37" spans="2:2">
      <c r="B37" s="136" t="str">
        <f>F5</f>
        <v>Are the flow accuracy test and/or electronic calibration results included in the VOSEA input in the water audit?</v>
      </c>
    </row>
    <row r="40" spans="2:2">
      <c r="B40" s="136"/>
    </row>
    <row r="41" spans="2:2">
      <c r="B41" s="13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AG24" sqref="AG24:AL24"/>
    </sheetView>
  </sheetViews>
  <sheetFormatPr defaultColWidth="0" defaultRowHeight="12.75"/>
  <cols>
    <col min="1" max="1" width="1.5703125" style="42" customWidth="1"/>
    <col min="2" max="53" width="3.42578125" style="42" customWidth="1"/>
    <col min="54" max="54" width="4.140625" style="42" customWidth="1"/>
    <col min="55" max="55" width="1.42578125" style="42" customWidth="1"/>
    <col min="56" max="56" width="9.140625" style="42" customWidth="1"/>
    <col min="57" max="57" width="10" style="42" customWidth="1"/>
    <col min="58" max="62" width="8.85546875" style="42" customWidth="1"/>
    <col min="63" max="63" width="11.42578125" style="42" bestFit="1" customWidth="1"/>
    <col min="64" max="292" width="8.85546875" style="42" customWidth="1"/>
    <col min="293" max="16384" width="3.140625" style="42" hidden="1"/>
  </cols>
  <sheetData>
    <row r="1" spans="1:55" s="41" customFormat="1" ht="8.25" customHeight="1" thickBot="1">
      <c r="A1" s="527" t="s">
        <v>506</v>
      </c>
      <c r="B1" s="528"/>
      <c r="C1" s="828"/>
      <c r="D1" s="828"/>
      <c r="E1" s="828"/>
      <c r="F1" s="828"/>
      <c r="G1" s="828"/>
      <c r="H1" s="828"/>
      <c r="I1" s="828"/>
      <c r="J1" s="828"/>
      <c r="K1" s="828"/>
      <c r="L1" s="828"/>
      <c r="M1" s="828"/>
      <c r="N1" s="828"/>
      <c r="O1" s="828"/>
      <c r="P1" s="828"/>
      <c r="Q1" s="828"/>
      <c r="R1" s="828"/>
      <c r="S1" s="828"/>
      <c r="T1" s="828"/>
      <c r="U1" s="828"/>
      <c r="V1" s="828"/>
      <c r="W1" s="828"/>
      <c r="X1" s="828"/>
      <c r="Y1" s="828"/>
      <c r="Z1" s="828"/>
      <c r="AA1" s="828"/>
      <c r="AB1" s="828"/>
      <c r="AC1" s="828"/>
      <c r="AD1" s="828"/>
      <c r="AE1" s="828"/>
      <c r="AF1" s="828"/>
      <c r="AG1" s="828"/>
      <c r="AH1" s="828"/>
      <c r="AI1" s="828"/>
      <c r="AJ1" s="828"/>
      <c r="AK1" s="828"/>
      <c r="AL1" s="828"/>
      <c r="AM1" s="828"/>
      <c r="AN1" s="828"/>
      <c r="AO1" s="828"/>
      <c r="AP1" s="828"/>
      <c r="AQ1" s="828"/>
      <c r="AR1" s="828"/>
      <c r="AS1" s="828"/>
      <c r="AT1" s="828"/>
      <c r="AU1" s="828"/>
      <c r="AV1" s="828"/>
      <c r="AW1" s="828"/>
      <c r="AX1" s="828"/>
      <c r="AY1" s="828"/>
      <c r="AZ1" s="828"/>
      <c r="BA1" s="828"/>
      <c r="BB1" s="828"/>
      <c r="BC1" s="828"/>
    </row>
    <row r="2" spans="1:55" s="77" customFormat="1" ht="42.75" customHeight="1" thickTop="1">
      <c r="A2" s="829"/>
      <c r="B2" s="940" t="s">
        <v>507</v>
      </c>
      <c r="C2" s="941"/>
      <c r="D2" s="941"/>
      <c r="E2" s="941"/>
      <c r="F2" s="941"/>
      <c r="G2" s="941"/>
      <c r="H2" s="941"/>
      <c r="I2" s="941"/>
      <c r="J2" s="941"/>
      <c r="K2" s="941"/>
      <c r="L2" s="941"/>
      <c r="M2" s="941"/>
      <c r="N2" s="941"/>
      <c r="O2" s="941"/>
      <c r="P2" s="941"/>
      <c r="Q2" s="941"/>
      <c r="R2" s="941"/>
      <c r="S2" s="941"/>
      <c r="T2" s="941"/>
      <c r="U2" s="941"/>
      <c r="V2" s="941"/>
      <c r="W2" s="941"/>
      <c r="X2" s="941"/>
      <c r="Y2" s="941"/>
      <c r="Z2" s="941"/>
      <c r="AA2" s="941"/>
      <c r="AB2" s="941"/>
      <c r="AC2" s="941"/>
      <c r="AD2" s="941"/>
      <c r="AE2" s="941"/>
      <c r="AF2" s="941"/>
      <c r="AG2" s="941"/>
      <c r="AH2" s="941"/>
      <c r="AI2" s="942"/>
      <c r="AJ2" s="942"/>
      <c r="AK2" s="942"/>
      <c r="AL2" s="942"/>
      <c r="AM2" s="942"/>
      <c r="AN2" s="942"/>
      <c r="AO2" s="942"/>
      <c r="AP2" s="942"/>
      <c r="AQ2" s="942"/>
      <c r="AR2" s="942"/>
      <c r="AS2" s="942"/>
      <c r="AT2" s="942"/>
      <c r="AU2" s="942"/>
      <c r="AV2" s="942"/>
      <c r="AW2" s="942"/>
      <c r="AX2" s="942"/>
      <c r="AY2" s="942"/>
      <c r="AZ2" s="942"/>
      <c r="BA2" s="942"/>
      <c r="BB2" s="943"/>
      <c r="BC2" s="829"/>
    </row>
    <row r="3" spans="1:55" s="41" customFormat="1" ht="12.95" customHeight="1">
      <c r="A3" s="828"/>
      <c r="B3" s="951" t="s">
        <v>508</v>
      </c>
      <c r="C3" s="952"/>
      <c r="D3" s="952"/>
      <c r="E3" s="952"/>
      <c r="F3" s="952"/>
      <c r="G3" s="952"/>
      <c r="H3" s="952"/>
      <c r="I3" s="952"/>
      <c r="J3" s="952"/>
      <c r="K3" s="952"/>
      <c r="L3" s="952"/>
      <c r="M3" s="952"/>
      <c r="N3" s="952"/>
      <c r="O3" s="952"/>
      <c r="P3" s="952"/>
      <c r="Q3" s="952"/>
      <c r="R3" s="952"/>
      <c r="S3" s="952"/>
      <c r="T3" s="952"/>
      <c r="U3" s="952"/>
      <c r="V3" s="952"/>
      <c r="W3" s="952"/>
      <c r="X3" s="952"/>
      <c r="Y3" s="952"/>
      <c r="Z3" s="952"/>
      <c r="AA3" s="952"/>
      <c r="AB3" s="952"/>
      <c r="AC3" s="952"/>
      <c r="AD3" s="952"/>
      <c r="AE3" s="952"/>
      <c r="AF3" s="952"/>
      <c r="AG3" s="952"/>
      <c r="AH3" s="952"/>
      <c r="AI3" s="952"/>
      <c r="AJ3" s="952"/>
      <c r="AK3" s="952"/>
      <c r="AL3" s="952"/>
      <c r="AM3" s="952"/>
      <c r="AN3" s="952"/>
      <c r="AO3" s="952"/>
      <c r="AP3" s="952"/>
      <c r="AQ3" s="952"/>
      <c r="AR3" s="952"/>
      <c r="AS3" s="952"/>
      <c r="AT3" s="952"/>
      <c r="AU3" s="952"/>
      <c r="AV3" s="952"/>
      <c r="AW3" s="952"/>
      <c r="AX3" s="952"/>
      <c r="AY3" s="952"/>
      <c r="AZ3" s="952"/>
      <c r="BA3" s="952"/>
      <c r="BB3" s="953"/>
      <c r="BC3" s="828"/>
    </row>
    <row r="4" spans="1:55" s="41" customFormat="1" ht="12.95" customHeight="1">
      <c r="A4" s="828"/>
      <c r="B4" s="951"/>
      <c r="C4" s="952"/>
      <c r="D4" s="952"/>
      <c r="E4" s="952"/>
      <c r="F4" s="952"/>
      <c r="G4" s="952"/>
      <c r="H4" s="952"/>
      <c r="I4" s="952"/>
      <c r="J4" s="952"/>
      <c r="K4" s="952"/>
      <c r="L4" s="952"/>
      <c r="M4" s="952"/>
      <c r="N4" s="952"/>
      <c r="O4" s="952"/>
      <c r="P4" s="952"/>
      <c r="Q4" s="952"/>
      <c r="R4" s="952"/>
      <c r="S4" s="952"/>
      <c r="T4" s="952"/>
      <c r="U4" s="952"/>
      <c r="V4" s="952"/>
      <c r="W4" s="952"/>
      <c r="X4" s="952"/>
      <c r="Y4" s="952"/>
      <c r="Z4" s="952"/>
      <c r="AA4" s="952"/>
      <c r="AB4" s="952"/>
      <c r="AC4" s="952"/>
      <c r="AD4" s="952"/>
      <c r="AE4" s="952"/>
      <c r="AF4" s="952"/>
      <c r="AG4" s="952"/>
      <c r="AH4" s="952"/>
      <c r="AI4" s="952"/>
      <c r="AJ4" s="952"/>
      <c r="AK4" s="952"/>
      <c r="AL4" s="952"/>
      <c r="AM4" s="952"/>
      <c r="AN4" s="952"/>
      <c r="AO4" s="952"/>
      <c r="AP4" s="952"/>
      <c r="AQ4" s="952"/>
      <c r="AR4" s="952"/>
      <c r="AS4" s="952"/>
      <c r="AT4" s="952"/>
      <c r="AU4" s="952"/>
      <c r="AV4" s="952"/>
      <c r="AW4" s="952"/>
      <c r="AX4" s="952"/>
      <c r="AY4" s="952"/>
      <c r="AZ4" s="952"/>
      <c r="BA4" s="952"/>
      <c r="BB4" s="953"/>
      <c r="BC4" s="828"/>
    </row>
    <row r="5" spans="1:55" s="41" customFormat="1" ht="12.95" customHeight="1">
      <c r="A5" s="828"/>
      <c r="B5" s="951"/>
      <c r="C5" s="952"/>
      <c r="D5" s="952"/>
      <c r="E5" s="952"/>
      <c r="F5" s="952"/>
      <c r="G5" s="952"/>
      <c r="H5" s="952"/>
      <c r="I5" s="952"/>
      <c r="J5" s="952"/>
      <c r="K5" s="952"/>
      <c r="L5" s="952"/>
      <c r="M5" s="952"/>
      <c r="N5" s="952"/>
      <c r="O5" s="952"/>
      <c r="P5" s="952"/>
      <c r="Q5" s="952"/>
      <c r="R5" s="952"/>
      <c r="S5" s="952"/>
      <c r="T5" s="952"/>
      <c r="U5" s="952"/>
      <c r="V5" s="952"/>
      <c r="W5" s="952"/>
      <c r="X5" s="952"/>
      <c r="Y5" s="952"/>
      <c r="Z5" s="952"/>
      <c r="AA5" s="952"/>
      <c r="AB5" s="952"/>
      <c r="AC5" s="952"/>
      <c r="AD5" s="952"/>
      <c r="AE5" s="952"/>
      <c r="AF5" s="952"/>
      <c r="AG5" s="952"/>
      <c r="AH5" s="952"/>
      <c r="AI5" s="952"/>
      <c r="AJ5" s="952"/>
      <c r="AK5" s="952"/>
      <c r="AL5" s="952"/>
      <c r="AM5" s="952"/>
      <c r="AN5" s="952"/>
      <c r="AO5" s="952"/>
      <c r="AP5" s="952"/>
      <c r="AQ5" s="952"/>
      <c r="AR5" s="952"/>
      <c r="AS5" s="952"/>
      <c r="AT5" s="952"/>
      <c r="AU5" s="952"/>
      <c r="AV5" s="952"/>
      <c r="AW5" s="952"/>
      <c r="AX5" s="952"/>
      <c r="AY5" s="952"/>
      <c r="AZ5" s="952"/>
      <c r="BA5" s="952"/>
      <c r="BB5" s="953"/>
      <c r="BC5" s="828"/>
    </row>
    <row r="6" spans="1:55" s="41" customFormat="1" ht="12.95" customHeight="1">
      <c r="A6" s="828"/>
      <c r="B6" s="951"/>
      <c r="C6" s="952"/>
      <c r="D6" s="952"/>
      <c r="E6" s="952"/>
      <c r="F6" s="952"/>
      <c r="G6" s="952"/>
      <c r="H6" s="952"/>
      <c r="I6" s="952"/>
      <c r="J6" s="952"/>
      <c r="K6" s="952"/>
      <c r="L6" s="952"/>
      <c r="M6" s="952"/>
      <c r="N6" s="952"/>
      <c r="O6" s="952"/>
      <c r="P6" s="952"/>
      <c r="Q6" s="952"/>
      <c r="R6" s="952"/>
      <c r="S6" s="952"/>
      <c r="T6" s="952"/>
      <c r="U6" s="952"/>
      <c r="V6" s="952"/>
      <c r="W6" s="952"/>
      <c r="X6" s="952"/>
      <c r="Y6" s="952"/>
      <c r="Z6" s="952"/>
      <c r="AA6" s="952"/>
      <c r="AB6" s="952"/>
      <c r="AC6" s="952"/>
      <c r="AD6" s="952"/>
      <c r="AE6" s="952"/>
      <c r="AF6" s="952"/>
      <c r="AG6" s="952"/>
      <c r="AH6" s="952"/>
      <c r="AI6" s="952"/>
      <c r="AJ6" s="952"/>
      <c r="AK6" s="952"/>
      <c r="AL6" s="952"/>
      <c r="AM6" s="952"/>
      <c r="AN6" s="952"/>
      <c r="AO6" s="952"/>
      <c r="AP6" s="952"/>
      <c r="AQ6" s="952"/>
      <c r="AR6" s="952"/>
      <c r="AS6" s="952"/>
      <c r="AT6" s="952"/>
      <c r="AU6" s="952"/>
      <c r="AV6" s="952"/>
      <c r="AW6" s="952"/>
      <c r="AX6" s="952"/>
      <c r="AY6" s="952"/>
      <c r="AZ6" s="952"/>
      <c r="BA6" s="952"/>
      <c r="BB6" s="953"/>
      <c r="BC6" s="828"/>
    </row>
    <row r="7" spans="1:55" s="41" customFormat="1" ht="12.95" customHeight="1">
      <c r="A7" s="828"/>
      <c r="B7" s="506"/>
      <c r="C7" s="948" t="s">
        <v>509</v>
      </c>
      <c r="D7" s="948"/>
      <c r="E7" s="948"/>
      <c r="F7" s="948"/>
      <c r="G7" s="948"/>
      <c r="H7" s="948"/>
      <c r="I7" s="948"/>
      <c r="J7" s="948"/>
      <c r="K7" s="948"/>
      <c r="L7" s="948"/>
      <c r="M7" s="948"/>
      <c r="N7" s="948"/>
      <c r="O7" s="948"/>
      <c r="P7" s="948"/>
      <c r="Q7" s="948"/>
      <c r="R7" s="948"/>
      <c r="S7" s="948"/>
      <c r="T7" s="948"/>
      <c r="U7" s="944" t="s">
        <v>510</v>
      </c>
      <c r="V7" s="944"/>
      <c r="W7" s="944"/>
      <c r="X7" s="944"/>
      <c r="Y7" s="944"/>
      <c r="Z7" s="944"/>
      <c r="AA7" s="944"/>
      <c r="AB7" s="944"/>
      <c r="AC7" s="944"/>
      <c r="AD7" s="944"/>
      <c r="AE7" s="944"/>
      <c r="AF7" s="944"/>
      <c r="AG7" s="944"/>
      <c r="AH7" s="944"/>
      <c r="AI7" s="944"/>
      <c r="AJ7" s="944"/>
      <c r="AK7" s="944"/>
      <c r="AL7" s="944"/>
      <c r="AM7" s="944"/>
      <c r="AN7" s="118"/>
      <c r="AO7" s="944" t="s">
        <v>511</v>
      </c>
      <c r="AP7" s="944"/>
      <c r="AQ7" s="944"/>
      <c r="AR7" s="944"/>
      <c r="AS7" s="944"/>
      <c r="AT7" s="944"/>
      <c r="AU7" s="944"/>
      <c r="AV7" s="944"/>
      <c r="AW7" s="949" t="s">
        <v>512</v>
      </c>
      <c r="AX7" s="949"/>
      <c r="AY7" s="949"/>
      <c r="AZ7" s="949"/>
      <c r="BA7" s="949"/>
      <c r="BB7" s="950"/>
      <c r="BC7" s="828"/>
    </row>
    <row r="8" spans="1:55" s="41" customFormat="1" ht="16.899999999999999" customHeight="1">
      <c r="A8" s="828"/>
      <c r="B8" s="506"/>
      <c r="C8" s="948"/>
      <c r="D8" s="948"/>
      <c r="E8" s="948"/>
      <c r="F8" s="948"/>
      <c r="G8" s="948"/>
      <c r="H8" s="948"/>
      <c r="I8" s="948"/>
      <c r="J8" s="948"/>
      <c r="K8" s="948"/>
      <c r="L8" s="948"/>
      <c r="M8" s="948"/>
      <c r="N8" s="948"/>
      <c r="O8" s="948"/>
      <c r="P8" s="948"/>
      <c r="Q8" s="948"/>
      <c r="R8" s="948"/>
      <c r="S8" s="948"/>
      <c r="T8" s="948"/>
      <c r="U8" s="944"/>
      <c r="V8" s="944"/>
      <c r="W8" s="944"/>
      <c r="X8" s="944"/>
      <c r="Y8" s="944"/>
      <c r="Z8" s="944"/>
      <c r="AA8" s="944"/>
      <c r="AB8" s="944"/>
      <c r="AC8" s="944"/>
      <c r="AD8" s="944"/>
      <c r="AE8" s="944"/>
      <c r="AF8" s="944"/>
      <c r="AG8" s="944"/>
      <c r="AH8" s="944"/>
      <c r="AI8" s="944"/>
      <c r="AJ8" s="944"/>
      <c r="AK8" s="944"/>
      <c r="AL8" s="944"/>
      <c r="AM8" s="944"/>
      <c r="AN8" s="118"/>
      <c r="AO8" s="944"/>
      <c r="AP8" s="944"/>
      <c r="AQ8" s="944"/>
      <c r="AR8" s="944"/>
      <c r="AS8" s="944"/>
      <c r="AT8" s="944"/>
      <c r="AU8" s="944"/>
      <c r="AV8" s="944"/>
      <c r="AW8" s="949"/>
      <c r="AX8" s="949"/>
      <c r="AY8" s="949"/>
      <c r="AZ8" s="949"/>
      <c r="BA8" s="949"/>
      <c r="BB8" s="950"/>
      <c r="BC8" s="828"/>
    </row>
    <row r="9" spans="1:55" s="41" customFormat="1" ht="12.95" customHeight="1">
      <c r="A9" s="828"/>
      <c r="B9" s="954" t="s">
        <v>513</v>
      </c>
      <c r="C9" s="955"/>
      <c r="D9" s="955"/>
      <c r="E9" s="955"/>
      <c r="F9" s="955"/>
      <c r="G9" s="914" t="s">
        <v>514</v>
      </c>
      <c r="H9" s="914"/>
      <c r="I9" s="914"/>
      <c r="J9" s="914"/>
      <c r="K9" s="914"/>
      <c r="L9" s="914"/>
      <c r="M9" s="914"/>
      <c r="N9" s="914"/>
      <c r="O9" s="914"/>
      <c r="P9" s="914"/>
      <c r="Q9" s="914"/>
      <c r="R9" s="914"/>
      <c r="S9" s="914"/>
      <c r="T9" s="914"/>
      <c r="U9" s="472"/>
      <c r="V9" s="472"/>
      <c r="W9" s="472"/>
      <c r="X9" s="472"/>
      <c r="Y9" s="472"/>
      <c r="Z9" s="472"/>
      <c r="AA9" s="164" t="s">
        <v>515</v>
      </c>
      <c r="AB9" s="921" t="s">
        <v>516</v>
      </c>
      <c r="AC9" s="922"/>
      <c r="AD9" s="922"/>
      <c r="AE9" s="922"/>
      <c r="AF9" s="922"/>
      <c r="AG9" s="922"/>
      <c r="AH9" s="922"/>
      <c r="AI9" s="922"/>
      <c r="AJ9" s="922"/>
      <c r="AK9" s="922"/>
      <c r="AL9" s="923"/>
      <c r="AM9" s="118"/>
      <c r="AN9" s="118"/>
      <c r="AO9"/>
      <c r="AP9" s="473" t="s">
        <v>517</v>
      </c>
      <c r="AQ9" s="205" t="s">
        <v>0</v>
      </c>
      <c r="AR9" s="439"/>
      <c r="AS9" s="118"/>
      <c r="AT9" s="118"/>
      <c r="AU9" s="118"/>
      <c r="AV9"/>
      <c r="AW9"/>
      <c r="AX9"/>
      <c r="AY9"/>
      <c r="AZ9"/>
      <c r="BA9"/>
      <c r="BB9" s="471"/>
      <c r="BC9" s="828"/>
    </row>
    <row r="10" spans="1:55" s="41" customFormat="1" ht="12.95" customHeight="1">
      <c r="A10" s="828"/>
      <c r="B10" s="954"/>
      <c r="C10" s="955"/>
      <c r="D10" s="955"/>
      <c r="E10" s="955"/>
      <c r="F10" s="955"/>
      <c r="G10" s="914"/>
      <c r="H10" s="914"/>
      <c r="I10" s="914"/>
      <c r="J10" s="914"/>
      <c r="K10" s="914"/>
      <c r="L10" s="914"/>
      <c r="M10" s="914"/>
      <c r="N10" s="914"/>
      <c r="O10" s="914"/>
      <c r="P10" s="914"/>
      <c r="Q10" s="914"/>
      <c r="R10" s="914"/>
      <c r="S10" s="914"/>
      <c r="T10" s="914"/>
      <c r="U10" s="472"/>
      <c r="V10" s="472"/>
      <c r="W10" s="472"/>
      <c r="X10" s="472"/>
      <c r="Y10" s="472"/>
      <c r="Z10" s="472"/>
      <c r="AA10" s="164" t="s">
        <v>518</v>
      </c>
      <c r="AB10" s="921" t="s">
        <v>519</v>
      </c>
      <c r="AC10" s="922"/>
      <c r="AD10" s="922"/>
      <c r="AE10" s="922"/>
      <c r="AF10" s="922"/>
      <c r="AG10" s="922"/>
      <c r="AH10" s="922"/>
      <c r="AI10" s="922"/>
      <c r="AJ10" s="922"/>
      <c r="AK10" s="922"/>
      <c r="AL10" s="923"/>
      <c r="AM10" s="118"/>
      <c r="AN10" s="118"/>
      <c r="AO10"/>
      <c r="AP10" s="473" t="s">
        <v>520</v>
      </c>
      <c r="AQ10" s="205" t="s">
        <v>521</v>
      </c>
      <c r="AR10" s="118"/>
      <c r="AS10" s="118"/>
      <c r="AT10" s="118"/>
      <c r="AU10" s="118"/>
      <c r="AV10"/>
      <c r="AW10"/>
      <c r="AX10"/>
      <c r="AY10"/>
      <c r="AZ10"/>
      <c r="BA10"/>
      <c r="BB10" s="471"/>
      <c r="BC10" s="828"/>
    </row>
    <row r="11" spans="1:55" s="41" customFormat="1" ht="12.95" customHeight="1">
      <c r="A11" s="828"/>
      <c r="B11" s="954"/>
      <c r="C11" s="955"/>
      <c r="D11" s="955"/>
      <c r="E11" s="955"/>
      <c r="F11" s="955"/>
      <c r="G11" s="914"/>
      <c r="H11" s="914"/>
      <c r="I11" s="914"/>
      <c r="J11" s="914"/>
      <c r="K11" s="914"/>
      <c r="L11" s="914"/>
      <c r="M11" s="914"/>
      <c r="N11" s="914"/>
      <c r="O11" s="914"/>
      <c r="P11" s="914"/>
      <c r="Q11" s="914"/>
      <c r="R11" s="914"/>
      <c r="S11" s="914"/>
      <c r="T11" s="914"/>
      <c r="U11" s="472"/>
      <c r="V11" s="472"/>
      <c r="W11" s="472"/>
      <c r="X11" s="472"/>
      <c r="Y11" s="472"/>
      <c r="Z11" s="472"/>
      <c r="AA11" s="164" t="s">
        <v>522</v>
      </c>
      <c r="AB11" s="945" t="s">
        <v>523</v>
      </c>
      <c r="AC11" s="946"/>
      <c r="AD11" s="946"/>
      <c r="AE11" s="946"/>
      <c r="AF11" s="946"/>
      <c r="AG11" s="946"/>
      <c r="AH11" s="946"/>
      <c r="AI11" s="946"/>
      <c r="AJ11" s="946"/>
      <c r="AK11" s="946"/>
      <c r="AL11" s="947"/>
      <c r="AM11" s="118"/>
      <c r="AN11" s="118"/>
      <c r="AO11"/>
      <c r="AP11" s="473" t="s">
        <v>524</v>
      </c>
      <c r="AQ11" s="205" t="s">
        <v>95</v>
      </c>
      <c r="AR11" s="118"/>
      <c r="AS11" s="118"/>
      <c r="AT11" s="118"/>
      <c r="AU11" s="118"/>
      <c r="AV11"/>
      <c r="AW11"/>
      <c r="AX11"/>
      <c r="AY11"/>
      <c r="AZ11"/>
      <c r="BA11"/>
      <c r="BB11" s="471"/>
      <c r="BC11" s="828"/>
    </row>
    <row r="12" spans="1:55" s="41" customFormat="1" ht="12.95" customHeight="1">
      <c r="A12" s="828"/>
      <c r="B12" s="954" t="s">
        <v>525</v>
      </c>
      <c r="C12" s="955"/>
      <c r="D12" s="955"/>
      <c r="E12" s="955"/>
      <c r="F12" s="955"/>
      <c r="G12" s="914" t="s">
        <v>526</v>
      </c>
      <c r="H12" s="914"/>
      <c r="I12" s="914"/>
      <c r="J12" s="914"/>
      <c r="K12" s="914"/>
      <c r="L12" s="914"/>
      <c r="M12" s="914"/>
      <c r="N12" s="914"/>
      <c r="O12" s="914"/>
      <c r="P12" s="914"/>
      <c r="Q12" s="914"/>
      <c r="R12" s="914"/>
      <c r="S12" s="914"/>
      <c r="T12" s="914"/>
      <c r="U12" s="472"/>
      <c r="V12" s="472"/>
      <c r="W12" s="472"/>
      <c r="X12" s="472"/>
      <c r="Y12" s="472"/>
      <c r="Z12" s="472"/>
      <c r="AA12" s="164" t="s">
        <v>527</v>
      </c>
      <c r="AB12" s="919" t="s">
        <v>528</v>
      </c>
      <c r="AC12" s="917"/>
      <c r="AD12" s="917"/>
      <c r="AE12" s="917"/>
      <c r="AF12" s="917"/>
      <c r="AG12" s="917"/>
      <c r="AH12" s="920"/>
      <c r="AI12" s="917"/>
      <c r="AJ12" s="917"/>
      <c r="AK12" s="917"/>
      <c r="AL12" s="918"/>
      <c r="AM12" s="118"/>
      <c r="AN12" s="118"/>
      <c r="AO12"/>
      <c r="AP12" s="473" t="s">
        <v>529</v>
      </c>
      <c r="AQ12" s="205" t="s">
        <v>530</v>
      </c>
      <c r="AR12" s="118"/>
      <c r="AS12" s="118"/>
      <c r="AT12"/>
      <c r="AU12"/>
      <c r="AV12"/>
      <c r="AW12"/>
      <c r="AX12"/>
      <c r="AY12"/>
      <c r="AZ12"/>
      <c r="BA12"/>
      <c r="BB12" s="471"/>
      <c r="BC12" s="828"/>
    </row>
    <row r="13" spans="1:55" s="41" customFormat="1" ht="12.95" customHeight="1">
      <c r="A13" s="828"/>
      <c r="B13" s="954"/>
      <c r="C13" s="955"/>
      <c r="D13" s="955"/>
      <c r="E13" s="955"/>
      <c r="F13" s="955"/>
      <c r="G13" s="914"/>
      <c r="H13" s="914"/>
      <c r="I13" s="914"/>
      <c r="J13" s="914"/>
      <c r="K13" s="914"/>
      <c r="L13" s="914"/>
      <c r="M13" s="914"/>
      <c r="N13" s="914"/>
      <c r="O13" s="914"/>
      <c r="P13" s="914"/>
      <c r="Q13" s="914"/>
      <c r="R13" s="914"/>
      <c r="S13" s="914"/>
      <c r="T13" s="914"/>
      <c r="U13" s="472"/>
      <c r="V13" s="472"/>
      <c r="W13" s="472"/>
      <c r="X13" s="472"/>
      <c r="Y13" s="472"/>
      <c r="Z13" s="472"/>
      <c r="AA13" s="164" t="s">
        <v>531</v>
      </c>
      <c r="AB13" s="921" t="s">
        <v>532</v>
      </c>
      <c r="AC13" s="922"/>
      <c r="AD13" s="922"/>
      <c r="AE13" s="922"/>
      <c r="AF13" s="922"/>
      <c r="AG13" s="922"/>
      <c r="AH13" s="922"/>
      <c r="AI13" s="922"/>
      <c r="AJ13" s="922"/>
      <c r="AK13" s="922"/>
      <c r="AL13" s="923"/>
      <c r="AM13" s="118"/>
      <c r="AN13" s="118"/>
      <c r="AO13"/>
      <c r="AP13" s="473" t="s">
        <v>533</v>
      </c>
      <c r="AQ13" s="205" t="s">
        <v>141</v>
      </c>
      <c r="AR13" s="118"/>
      <c r="AS13" s="118"/>
      <c r="AT13"/>
      <c r="AU13"/>
      <c r="AV13"/>
      <c r="AW13"/>
      <c r="AX13"/>
      <c r="AY13"/>
      <c r="AZ13" s="118"/>
      <c r="BA13" s="118"/>
      <c r="BB13" s="469"/>
      <c r="BC13" s="828"/>
    </row>
    <row r="14" spans="1:55" s="41" customFormat="1" ht="12.95" customHeight="1">
      <c r="A14" s="828"/>
      <c r="B14" s="954"/>
      <c r="C14" s="955"/>
      <c r="D14" s="955"/>
      <c r="E14" s="955"/>
      <c r="F14" s="955"/>
      <c r="G14" s="914"/>
      <c r="H14" s="914"/>
      <c r="I14" s="914"/>
      <c r="J14" s="914"/>
      <c r="K14" s="914"/>
      <c r="L14" s="914"/>
      <c r="M14" s="914"/>
      <c r="N14" s="914"/>
      <c r="O14" s="914"/>
      <c r="P14" s="914"/>
      <c r="Q14" s="914"/>
      <c r="R14" s="914"/>
      <c r="S14" s="914"/>
      <c r="T14" s="914"/>
      <c r="U14" s="472"/>
      <c r="V14" s="472"/>
      <c r="W14" s="472"/>
      <c r="X14" s="472"/>
      <c r="Y14" s="472"/>
      <c r="Z14" s="472"/>
      <c r="AA14" s="164" t="s">
        <v>534</v>
      </c>
      <c r="AB14" s="934" t="s">
        <v>535</v>
      </c>
      <c r="AC14" s="935"/>
      <c r="AD14" s="935"/>
      <c r="AE14" s="935"/>
      <c r="AF14" s="935"/>
      <c r="AG14" s="935"/>
      <c r="AH14" s="935"/>
      <c r="AI14" s="935"/>
      <c r="AJ14" s="935"/>
      <c r="AK14" s="935"/>
      <c r="AL14" s="936"/>
      <c r="AM14" s="118"/>
      <c r="AN14" s="118"/>
      <c r="AO14"/>
      <c r="AP14" s="473" t="s">
        <v>536</v>
      </c>
      <c r="AQ14" s="205" t="s">
        <v>537</v>
      </c>
      <c r="AR14" s="118"/>
      <c r="AS14" s="118"/>
      <c r="AT14"/>
      <c r="AU14"/>
      <c r="AV14"/>
      <c r="AW14"/>
      <c r="AX14"/>
      <c r="AY14"/>
      <c r="AZ14" s="118"/>
      <c r="BA14" s="118"/>
      <c r="BB14" s="469"/>
      <c r="BC14" s="828"/>
    </row>
    <row r="15" spans="1:55" s="41" customFormat="1" ht="12.95" customHeight="1">
      <c r="A15" s="828"/>
      <c r="B15" s="915" t="s">
        <v>538</v>
      </c>
      <c r="C15" s="916"/>
      <c r="D15" s="916"/>
      <c r="E15" s="916"/>
      <c r="F15" s="916"/>
      <c r="G15" s="914" t="s">
        <v>539</v>
      </c>
      <c r="H15" s="914"/>
      <c r="I15" s="914"/>
      <c r="J15" s="914"/>
      <c r="K15" s="914"/>
      <c r="L15" s="914"/>
      <c r="M15" s="914"/>
      <c r="N15" s="914"/>
      <c r="O15" s="914"/>
      <c r="P15" s="914"/>
      <c r="Q15" s="914"/>
      <c r="R15" s="914"/>
      <c r="S15" s="914"/>
      <c r="T15" s="914"/>
      <c r="U15" s="472"/>
      <c r="V15" s="472"/>
      <c r="W15" s="472"/>
      <c r="X15" s="472"/>
      <c r="Y15" s="472"/>
      <c r="Z15" s="472"/>
      <c r="AA15" s="484" t="s">
        <v>540</v>
      </c>
      <c r="AB15" s="924"/>
      <c r="AC15" s="924"/>
      <c r="AD15" s="924"/>
      <c r="AE15" s="924"/>
      <c r="AF15" s="924"/>
      <c r="AG15" s="924"/>
      <c r="AH15" s="924"/>
      <c r="AI15" s="924"/>
      <c r="AJ15" s="924"/>
      <c r="AK15" s="924"/>
      <c r="AL15" s="924"/>
      <c r="AM15" s="118"/>
      <c r="AN15" s="118"/>
      <c r="AO15"/>
      <c r="AP15" s="473" t="s">
        <v>541</v>
      </c>
      <c r="AQ15" s="205" t="s">
        <v>164</v>
      </c>
      <c r="AR15" s="118"/>
      <c r="AS15" s="118"/>
      <c r="AT15"/>
      <c r="AU15"/>
      <c r="AV15"/>
      <c r="AW15"/>
      <c r="AX15"/>
      <c r="AY15"/>
      <c r="AZ15" s="118"/>
      <c r="BA15" s="118"/>
      <c r="BB15" s="469"/>
      <c r="BC15" s="828"/>
    </row>
    <row r="16" spans="1:55" s="41" customFormat="1" ht="12.95" customHeight="1">
      <c r="A16" s="828"/>
      <c r="B16" s="915"/>
      <c r="C16" s="916"/>
      <c r="D16" s="916"/>
      <c r="E16" s="916"/>
      <c r="F16" s="916"/>
      <c r="G16" s="914"/>
      <c r="H16" s="914"/>
      <c r="I16" s="914"/>
      <c r="J16" s="914"/>
      <c r="K16" s="914"/>
      <c r="L16" s="914"/>
      <c r="M16" s="914"/>
      <c r="N16" s="914"/>
      <c r="O16" s="914"/>
      <c r="P16" s="914"/>
      <c r="Q16" s="914"/>
      <c r="R16" s="914"/>
      <c r="S16" s="914"/>
      <c r="T16" s="914"/>
      <c r="U16" s="472"/>
      <c r="V16" s="472"/>
      <c r="W16" s="472"/>
      <c r="X16" s="472"/>
      <c r="Y16" s="472"/>
      <c r="Z16" s="472"/>
      <c r="AA16" s="164" t="s">
        <v>542</v>
      </c>
      <c r="AB16" s="925" t="s">
        <v>543</v>
      </c>
      <c r="AC16" s="926"/>
      <c r="AD16" s="926"/>
      <c r="AE16" s="926"/>
      <c r="AF16" s="926"/>
      <c r="AG16" s="926"/>
      <c r="AH16" s="926"/>
      <c r="AI16" s="926"/>
      <c r="AJ16" s="926"/>
      <c r="AK16" s="926"/>
      <c r="AL16" s="927"/>
      <c r="AM16" s="118"/>
      <c r="AN16" s="118"/>
      <c r="AO16"/>
      <c r="AP16" s="474" t="s">
        <v>544</v>
      </c>
      <c r="AQ16" s="205" t="s">
        <v>207</v>
      </c>
      <c r="AR16" s="118"/>
      <c r="AS16" s="118"/>
      <c r="AT16"/>
      <c r="AU16"/>
      <c r="AV16"/>
      <c r="AW16"/>
      <c r="AX16"/>
      <c r="AY16" s="118"/>
      <c r="AZ16" s="118"/>
      <c r="BA16" s="118"/>
      <c r="BB16" s="469"/>
      <c r="BC16" s="828"/>
    </row>
    <row r="17" spans="1:55" s="41" customFormat="1" ht="12.95" customHeight="1">
      <c r="A17" s="828"/>
      <c r="B17" s="915"/>
      <c r="C17" s="916"/>
      <c r="D17" s="916"/>
      <c r="E17" s="916"/>
      <c r="F17" s="916"/>
      <c r="G17" s="914"/>
      <c r="H17" s="914"/>
      <c r="I17" s="914"/>
      <c r="J17" s="914"/>
      <c r="K17" s="914"/>
      <c r="L17" s="914"/>
      <c r="M17" s="914"/>
      <c r="N17" s="914"/>
      <c r="O17" s="914"/>
      <c r="P17" s="914"/>
      <c r="Q17" s="914"/>
      <c r="R17" s="914"/>
      <c r="S17" s="914"/>
      <c r="T17" s="914"/>
      <c r="U17" s="472"/>
      <c r="V17" s="472"/>
      <c r="W17" s="472"/>
      <c r="X17" s="472"/>
      <c r="Y17" s="472"/>
      <c r="Z17" s="472"/>
      <c r="AA17" s="164" t="s">
        <v>545</v>
      </c>
      <c r="AB17" s="931">
        <v>45352</v>
      </c>
      <c r="AC17" s="932"/>
      <c r="AD17" s="932"/>
      <c r="AE17" s="932"/>
      <c r="AF17" s="932"/>
      <c r="AG17" s="932"/>
      <c r="AH17" s="932"/>
      <c r="AI17" s="932"/>
      <c r="AJ17" s="932"/>
      <c r="AK17" s="932"/>
      <c r="AL17" s="933"/>
      <c r="AM17" s="118"/>
      <c r="AN17" s="118"/>
      <c r="AO17"/>
      <c r="AP17" s="474" t="s">
        <v>546</v>
      </c>
      <c r="AQ17" s="205" t="s">
        <v>224</v>
      </c>
      <c r="AR17" s="118"/>
      <c r="AS17" s="118"/>
      <c r="AT17"/>
      <c r="AU17"/>
      <c r="AV17"/>
      <c r="AW17"/>
      <c r="AX17"/>
      <c r="AY17" s="118"/>
      <c r="AZ17" s="118"/>
      <c r="BA17" s="118"/>
      <c r="BB17" s="469"/>
      <c r="BC17" s="828"/>
    </row>
    <row r="18" spans="1:55" s="41" customFormat="1" ht="12.95" customHeight="1">
      <c r="A18" s="828"/>
      <c r="B18" s="915" t="s">
        <v>547</v>
      </c>
      <c r="C18" s="916"/>
      <c r="D18" s="916"/>
      <c r="E18" s="916"/>
      <c r="F18" s="916"/>
      <c r="G18" s="914" t="s">
        <v>548</v>
      </c>
      <c r="H18" s="914"/>
      <c r="I18" s="914"/>
      <c r="J18" s="914"/>
      <c r="K18" s="914"/>
      <c r="L18" s="914"/>
      <c r="M18" s="914"/>
      <c r="N18" s="914"/>
      <c r="O18" s="914"/>
      <c r="P18" s="914"/>
      <c r="Q18" s="914"/>
      <c r="R18" s="914"/>
      <c r="S18" s="914"/>
      <c r="T18" s="914"/>
      <c r="U18" s="472"/>
      <c r="V18" s="472"/>
      <c r="W18" s="472"/>
      <c r="X18" s="472"/>
      <c r="Y18" s="472"/>
      <c r="Z18" s="472"/>
      <c r="AA18" s="164" t="s">
        <v>549</v>
      </c>
      <c r="AB18" s="921">
        <v>2023</v>
      </c>
      <c r="AC18" s="922"/>
      <c r="AD18" s="922"/>
      <c r="AE18" s="922"/>
      <c r="AF18" s="922"/>
      <c r="AG18" s="922"/>
      <c r="AH18" s="922"/>
      <c r="AI18" s="922"/>
      <c r="AJ18" s="922"/>
      <c r="AK18" s="922"/>
      <c r="AL18" s="923"/>
      <c r="AM18" s="118"/>
      <c r="AN18" s="118"/>
      <c r="AO18"/>
      <c r="AP18" s="473" t="s">
        <v>550</v>
      </c>
      <c r="AQ18" s="205" t="s">
        <v>248</v>
      </c>
      <c r="AR18" s="118"/>
      <c r="AS18" s="118"/>
      <c r="AT18"/>
      <c r="AU18"/>
      <c r="AV18"/>
      <c r="AW18"/>
      <c r="AX18"/>
      <c r="AY18" s="118"/>
      <c r="AZ18" s="118"/>
      <c r="BA18" s="118"/>
      <c r="BB18" s="469"/>
      <c r="BC18" s="828"/>
    </row>
    <row r="19" spans="1:55" s="41" customFormat="1" ht="12.95" customHeight="1">
      <c r="A19" s="828"/>
      <c r="B19" s="915"/>
      <c r="C19" s="916"/>
      <c r="D19" s="916"/>
      <c r="E19" s="916"/>
      <c r="F19" s="916"/>
      <c r="G19" s="914"/>
      <c r="H19" s="914"/>
      <c r="I19" s="914"/>
      <c r="J19" s="914"/>
      <c r="K19" s="914"/>
      <c r="L19" s="914"/>
      <c r="M19" s="914"/>
      <c r="N19" s="914"/>
      <c r="O19" s="914"/>
      <c r="P19" s="914"/>
      <c r="Q19" s="914"/>
      <c r="R19" s="914"/>
      <c r="S19" s="914"/>
      <c r="T19" s="914"/>
      <c r="U19" s="472"/>
      <c r="V19" s="472"/>
      <c r="W19" s="472"/>
      <c r="X19" s="472"/>
      <c r="Y19" s="472"/>
      <c r="Z19" s="472"/>
      <c r="AA19" s="164" t="s">
        <v>551</v>
      </c>
      <c r="AB19" s="921" t="s">
        <v>552</v>
      </c>
      <c r="AC19" s="922"/>
      <c r="AD19" s="922"/>
      <c r="AE19" s="922"/>
      <c r="AF19" s="923"/>
      <c r="AG19" s="475" t="s">
        <v>553</v>
      </c>
      <c r="AH19" s="472"/>
      <c r="AI19" s="472"/>
      <c r="AJ19" s="476"/>
      <c r="AK19" s="476"/>
      <c r="AL19" s="476"/>
      <c r="AM19" s="118"/>
      <c r="AN19" s="118"/>
      <c r="AO19"/>
      <c r="AP19" s="473" t="s">
        <v>554</v>
      </c>
      <c r="AQ19" s="205" t="s">
        <v>351</v>
      </c>
      <c r="AR19" s="118"/>
      <c r="AS19" s="118"/>
      <c r="AT19"/>
      <c r="AU19"/>
      <c r="AV19"/>
      <c r="AW19" s="164"/>
      <c r="AX19"/>
      <c r="AY19" s="118"/>
      <c r="AZ19" s="118"/>
      <c r="BA19" s="118"/>
      <c r="BB19" s="469"/>
      <c r="BC19" s="828"/>
    </row>
    <row r="20" spans="1:55" s="41" customFormat="1" ht="12.95" customHeight="1">
      <c r="A20" s="828"/>
      <c r="B20" s="915"/>
      <c r="C20" s="916"/>
      <c r="D20" s="916"/>
      <c r="E20" s="916"/>
      <c r="F20" s="916"/>
      <c r="G20" s="914"/>
      <c r="H20" s="914"/>
      <c r="I20" s="914"/>
      <c r="J20" s="914"/>
      <c r="K20" s="914"/>
      <c r="L20" s="914"/>
      <c r="M20" s="914"/>
      <c r="N20" s="914"/>
      <c r="O20" s="914"/>
      <c r="P20" s="914"/>
      <c r="Q20" s="914"/>
      <c r="R20" s="914"/>
      <c r="S20" s="914"/>
      <c r="T20" s="914"/>
      <c r="U20" s="472"/>
      <c r="V20" s="472"/>
      <c r="W20" s="472"/>
      <c r="X20" s="472"/>
      <c r="Y20" s="472"/>
      <c r="Z20" s="472"/>
      <c r="AA20" s="164" t="s">
        <v>555</v>
      </c>
      <c r="AB20" s="931">
        <v>44927</v>
      </c>
      <c r="AC20" s="932"/>
      <c r="AD20" s="932"/>
      <c r="AE20" s="932"/>
      <c r="AF20" s="932"/>
      <c r="AG20" s="932"/>
      <c r="AH20" s="932"/>
      <c r="AI20" s="932"/>
      <c r="AJ20" s="932"/>
      <c r="AK20" s="932"/>
      <c r="AL20" s="933"/>
      <c r="AM20" s="118"/>
      <c r="AN20" s="118"/>
      <c r="AO20"/>
      <c r="AP20" s="473" t="s">
        <v>556</v>
      </c>
      <c r="AQ20" s="205" t="s">
        <v>290</v>
      </c>
      <c r="AR20" s="118"/>
      <c r="AS20" s="118"/>
      <c r="AT20"/>
      <c r="AU20"/>
      <c r="AV20"/>
      <c r="AW20" s="164"/>
      <c r="AX20"/>
      <c r="AY20" s="118"/>
      <c r="AZ20" s="118"/>
      <c r="BA20" s="118"/>
      <c r="BB20" s="469"/>
      <c r="BC20" s="828"/>
    </row>
    <row r="21" spans="1:55" s="41" customFormat="1" ht="12.95" customHeight="1">
      <c r="A21" s="828"/>
      <c r="B21" s="915" t="s">
        <v>557</v>
      </c>
      <c r="C21" s="916"/>
      <c r="D21" s="916"/>
      <c r="E21" s="916"/>
      <c r="F21" s="916"/>
      <c r="G21" s="914" t="s">
        <v>558</v>
      </c>
      <c r="H21" s="914"/>
      <c r="I21" s="914"/>
      <c r="J21" s="914"/>
      <c r="K21" s="914"/>
      <c r="L21" s="914"/>
      <c r="M21" s="914"/>
      <c r="N21" s="914"/>
      <c r="O21" s="914"/>
      <c r="P21" s="914"/>
      <c r="Q21" s="914"/>
      <c r="R21" s="914"/>
      <c r="S21" s="914"/>
      <c r="T21" s="914"/>
      <c r="U21" s="472"/>
      <c r="V21" s="472"/>
      <c r="W21" s="472"/>
      <c r="X21" s="472"/>
      <c r="Y21" s="472"/>
      <c r="Z21" s="472"/>
      <c r="AA21" s="164" t="s">
        <v>559</v>
      </c>
      <c r="AB21" s="937">
        <v>45291</v>
      </c>
      <c r="AC21" s="938"/>
      <c r="AD21" s="938"/>
      <c r="AE21" s="938"/>
      <c r="AF21" s="938"/>
      <c r="AG21" s="938"/>
      <c r="AH21" s="938"/>
      <c r="AI21" s="938"/>
      <c r="AJ21" s="938"/>
      <c r="AK21" s="938"/>
      <c r="AL21" s="939"/>
      <c r="AM21" s="118"/>
      <c r="AN21" s="118"/>
      <c r="AO21"/>
      <c r="AP21" s="473" t="s">
        <v>560</v>
      </c>
      <c r="AQ21" s="205" t="s">
        <v>274</v>
      </c>
      <c r="AR21" s="118"/>
      <c r="AS21" s="118"/>
      <c r="AT21"/>
      <c r="AU21"/>
      <c r="AV21"/>
      <c r="AW21" s="164"/>
      <c r="AX21"/>
      <c r="AY21" s="118"/>
      <c r="AZ21" s="118"/>
      <c r="BA21" s="118"/>
      <c r="BB21" s="469"/>
      <c r="BC21" s="828"/>
    </row>
    <row r="22" spans="1:55" s="41" customFormat="1" ht="12.95" customHeight="1">
      <c r="A22" s="828"/>
      <c r="B22" s="915"/>
      <c r="C22" s="916"/>
      <c r="D22" s="916"/>
      <c r="E22" s="916"/>
      <c r="F22" s="916"/>
      <c r="G22" s="914"/>
      <c r="H22" s="914"/>
      <c r="I22" s="914"/>
      <c r="J22" s="914"/>
      <c r="K22" s="914"/>
      <c r="L22" s="914"/>
      <c r="M22" s="914"/>
      <c r="N22" s="914"/>
      <c r="O22" s="914"/>
      <c r="P22" s="914"/>
      <c r="Q22" s="914"/>
      <c r="R22" s="914"/>
      <c r="S22" s="914"/>
      <c r="T22" s="914"/>
      <c r="U22" s="472"/>
      <c r="V22" s="472"/>
      <c r="W22" s="472"/>
      <c r="X22" s="472"/>
      <c r="Y22" s="472"/>
      <c r="Z22" s="472"/>
      <c r="AA22" s="164" t="s">
        <v>561</v>
      </c>
      <c r="AB22" s="928" t="s">
        <v>562</v>
      </c>
      <c r="AC22" s="929"/>
      <c r="AD22" s="929"/>
      <c r="AE22" s="929"/>
      <c r="AF22" s="929"/>
      <c r="AG22" s="929"/>
      <c r="AH22" s="929"/>
      <c r="AI22" s="929"/>
      <c r="AJ22" s="929"/>
      <c r="AK22" s="929"/>
      <c r="AL22" s="930"/>
      <c r="AM22" s="118"/>
      <c r="AN22" s="118"/>
      <c r="AO22"/>
      <c r="AP22" s="473" t="s">
        <v>563</v>
      </c>
      <c r="AQ22" s="205" t="s">
        <v>564</v>
      </c>
      <c r="AR22" s="118"/>
      <c r="AS22" s="118"/>
      <c r="AT22"/>
      <c r="AU22"/>
      <c r="AV22"/>
      <c r="AW22" s="164"/>
      <c r="AX22"/>
      <c r="AY22" s="118"/>
      <c r="AZ22" s="118"/>
      <c r="BA22" s="118"/>
      <c r="BB22" s="469"/>
      <c r="BC22" s="828"/>
    </row>
    <row r="23" spans="1:55" s="41" customFormat="1" ht="12.95" customHeight="1">
      <c r="A23" s="828"/>
      <c r="B23" s="915"/>
      <c r="C23" s="916"/>
      <c r="D23" s="916"/>
      <c r="E23" s="916"/>
      <c r="F23" s="916"/>
      <c r="G23" s="914"/>
      <c r="H23" s="914"/>
      <c r="I23" s="914"/>
      <c r="J23" s="914"/>
      <c r="K23" s="914"/>
      <c r="L23" s="914"/>
      <c r="M23" s="914"/>
      <c r="N23" s="914"/>
      <c r="O23" s="914"/>
      <c r="P23" s="914"/>
      <c r="Q23" s="914"/>
      <c r="R23" s="914"/>
      <c r="S23" s="914"/>
      <c r="T23" s="914"/>
      <c r="U23" s="472"/>
      <c r="V23" s="118"/>
      <c r="W23" s="118"/>
      <c r="X23" s="118"/>
      <c r="Y23" s="118"/>
      <c r="Z23" s="118"/>
      <c r="AA23" s="164" t="s">
        <v>565</v>
      </c>
      <c r="AB23" s="972" t="s">
        <v>566</v>
      </c>
      <c r="AC23" s="973"/>
      <c r="AD23" s="973"/>
      <c r="AE23" s="973"/>
      <c r="AF23" s="974"/>
      <c r="AG23" s="975"/>
      <c r="AH23" s="975"/>
      <c r="AI23" s="975"/>
      <c r="AJ23" s="975"/>
      <c r="AK23" s="975"/>
      <c r="AL23" s="975"/>
      <c r="AM23" s="118"/>
      <c r="AN23" s="118"/>
      <c r="AO23"/>
      <c r="AP23" s="473" t="s">
        <v>567</v>
      </c>
      <c r="AQ23" s="205" t="s">
        <v>568</v>
      </c>
      <c r="AR23" s="118"/>
      <c r="AS23" s="118"/>
      <c r="AT23" s="118"/>
      <c r="AU23" s="118"/>
      <c r="AV23" s="118"/>
      <c r="AW23" s="118"/>
      <c r="AX23" s="118"/>
      <c r="AY23" s="118"/>
      <c r="AZ23" s="118"/>
      <c r="BA23" s="118"/>
      <c r="BB23" s="469"/>
      <c r="BC23" s="828"/>
    </row>
    <row r="24" spans="1:55" s="41" customFormat="1" ht="12.95" customHeight="1">
      <c r="A24" s="828"/>
      <c r="B24" s="915" t="s">
        <v>569</v>
      </c>
      <c r="C24" s="916"/>
      <c r="D24" s="916"/>
      <c r="E24" s="916"/>
      <c r="F24" s="916"/>
      <c r="G24" s="914" t="s">
        <v>570</v>
      </c>
      <c r="H24" s="914"/>
      <c r="I24" s="914"/>
      <c r="J24" s="914"/>
      <c r="K24" s="914"/>
      <c r="L24" s="914"/>
      <c r="M24" s="914"/>
      <c r="N24" s="914"/>
      <c r="O24" s="914"/>
      <c r="P24" s="914"/>
      <c r="Q24" s="914"/>
      <c r="R24" s="914"/>
      <c r="S24" s="914"/>
      <c r="T24" s="914"/>
      <c r="U24" s="472"/>
      <c r="V24" s="118"/>
      <c r="W24" s="118"/>
      <c r="X24" s="118"/>
      <c r="Y24" s="118"/>
      <c r="Z24" s="118"/>
      <c r="AA24" s="164" t="s">
        <v>571</v>
      </c>
      <c r="AB24" s="976" t="s">
        <v>572</v>
      </c>
      <c r="AC24" s="977"/>
      <c r="AD24" s="977"/>
      <c r="AE24" s="977"/>
      <c r="AF24" s="978"/>
      <c r="AG24" s="979"/>
      <c r="AH24" s="980"/>
      <c r="AI24" s="980"/>
      <c r="AJ24" s="980"/>
      <c r="AK24" s="980"/>
      <c r="AL24" s="980"/>
      <c r="AM24" s="118"/>
      <c r="AN24" s="118"/>
      <c r="AO24"/>
      <c r="AP24" s="473" t="s">
        <v>573</v>
      </c>
      <c r="AQ24" s="205" t="s">
        <v>574</v>
      </c>
      <c r="AR24" s="118"/>
      <c r="AS24" s="118"/>
      <c r="AT24" s="118"/>
      <c r="AU24" s="118"/>
      <c r="AV24" s="118"/>
      <c r="AW24" s="118"/>
      <c r="AX24" s="118"/>
      <c r="AY24" s="118"/>
      <c r="AZ24" s="118"/>
      <c r="BA24" s="118"/>
      <c r="BB24" s="469"/>
      <c r="BC24" s="828"/>
    </row>
    <row r="25" spans="1:55" s="41" customFormat="1" ht="12.95" customHeight="1">
      <c r="A25" s="828"/>
      <c r="B25" s="915"/>
      <c r="C25" s="916"/>
      <c r="D25" s="916"/>
      <c r="E25" s="916"/>
      <c r="F25" s="916"/>
      <c r="G25" s="914"/>
      <c r="H25" s="914"/>
      <c r="I25" s="914"/>
      <c r="J25" s="914"/>
      <c r="K25" s="914"/>
      <c r="L25" s="914"/>
      <c r="M25" s="914"/>
      <c r="N25" s="914"/>
      <c r="O25" s="914"/>
      <c r="P25" s="914"/>
      <c r="Q25" s="914"/>
      <c r="R25" s="914"/>
      <c r="S25" s="914"/>
      <c r="T25" s="914"/>
      <c r="U25" s="472"/>
      <c r="V25" s="472"/>
      <c r="W25" s="472"/>
      <c r="X25" s="472"/>
      <c r="Y25" s="472"/>
      <c r="Z25" s="472"/>
      <c r="AA25" s="164" t="s">
        <v>575</v>
      </c>
      <c r="AB25" s="976" t="s">
        <v>576</v>
      </c>
      <c r="AC25" s="977"/>
      <c r="AD25" s="977"/>
      <c r="AE25" s="977"/>
      <c r="AF25" s="977"/>
      <c r="AG25" s="977"/>
      <c r="AH25" s="977"/>
      <c r="AI25" s="977"/>
      <c r="AJ25" s="977"/>
      <c r="AK25" s="977"/>
      <c r="AL25" s="983"/>
      <c r="AM25" s="118"/>
      <c r="AN25" s="118"/>
      <c r="AO25"/>
      <c r="AP25" s="473" t="s">
        <v>577</v>
      </c>
      <c r="AQ25" s="205" t="s">
        <v>429</v>
      </c>
      <c r="AR25" s="118"/>
      <c r="AS25" s="118"/>
      <c r="AT25" s="118"/>
      <c r="AU25" s="118"/>
      <c r="AV25" s="118"/>
      <c r="AW25" s="118"/>
      <c r="AX25" s="118"/>
      <c r="AY25" s="118"/>
      <c r="AZ25" s="118"/>
      <c r="BA25" s="118"/>
      <c r="BB25" s="469"/>
      <c r="BC25" s="828"/>
    </row>
    <row r="26" spans="1:55" s="41" customFormat="1" ht="12.95" customHeight="1">
      <c r="A26" s="828"/>
      <c r="B26" s="915"/>
      <c r="C26" s="916"/>
      <c r="D26" s="916"/>
      <c r="E26" s="916"/>
      <c r="F26" s="916"/>
      <c r="G26" s="914"/>
      <c r="H26" s="914"/>
      <c r="I26" s="914"/>
      <c r="J26" s="914"/>
      <c r="K26" s="914"/>
      <c r="L26" s="914"/>
      <c r="M26" s="914"/>
      <c r="N26" s="914"/>
      <c r="O26" s="914"/>
      <c r="P26" s="914"/>
      <c r="Q26" s="914"/>
      <c r="R26" s="914"/>
      <c r="S26" s="914"/>
      <c r="T26" s="914"/>
      <c r="U26" s="472"/>
      <c r="V26" s="472"/>
      <c r="W26" s="472"/>
      <c r="X26" s="472"/>
      <c r="Y26" s="472"/>
      <c r="Z26" s="472"/>
      <c r="AA26" s="477" t="s">
        <v>578</v>
      </c>
      <c r="AB26" s="976" t="s">
        <v>3</v>
      </c>
      <c r="AC26" s="977"/>
      <c r="AD26" s="977"/>
      <c r="AE26" s="977"/>
      <c r="AF26" s="977"/>
      <c r="AG26" s="977"/>
      <c r="AH26" s="977"/>
      <c r="AI26" s="977"/>
      <c r="AJ26" s="977"/>
      <c r="AK26" s="977"/>
      <c r="AL26" s="983"/>
      <c r="AM26" s="118"/>
      <c r="AN26" s="118"/>
      <c r="AO26"/>
      <c r="AP26" s="473" t="s">
        <v>579</v>
      </c>
      <c r="AQ26" s="205" t="s">
        <v>462</v>
      </c>
      <c r="AR26" s="118"/>
      <c r="AS26" s="118"/>
      <c r="AT26" s="118"/>
      <c r="AU26" s="118"/>
      <c r="AV26" s="118"/>
      <c r="AW26" s="118"/>
      <c r="AX26" s="118"/>
      <c r="AY26" s="118"/>
      <c r="AZ26" s="118"/>
      <c r="BA26" s="118"/>
      <c r="BB26" s="469"/>
      <c r="BC26" s="828"/>
    </row>
    <row r="27" spans="1:55" s="41" customFormat="1" ht="12.95" customHeight="1">
      <c r="A27" s="828"/>
      <c r="B27" s="915" t="s">
        <v>580</v>
      </c>
      <c r="C27" s="916"/>
      <c r="D27" s="916"/>
      <c r="E27" s="916"/>
      <c r="F27" s="916"/>
      <c r="G27" s="914" t="s">
        <v>581</v>
      </c>
      <c r="H27" s="914"/>
      <c r="I27" s="914"/>
      <c r="J27" s="914"/>
      <c r="K27" s="914"/>
      <c r="L27" s="914"/>
      <c r="M27" s="914"/>
      <c r="N27" s="914"/>
      <c r="O27" s="914"/>
      <c r="P27" s="914"/>
      <c r="Q27" s="914"/>
      <c r="R27" s="914"/>
      <c r="S27" s="914"/>
      <c r="T27" s="914"/>
      <c r="U27" s="472"/>
      <c r="V27" s="118"/>
      <c r="W27" s="118"/>
      <c r="X27" s="118"/>
      <c r="Y27" s="118"/>
      <c r="Z27" s="118"/>
      <c r="AA27" s="477" t="s">
        <v>582</v>
      </c>
      <c r="AB27" s="976" t="s">
        <v>3</v>
      </c>
      <c r="AC27" s="977"/>
      <c r="AD27" s="977"/>
      <c r="AE27" s="977"/>
      <c r="AF27" s="977"/>
      <c r="AG27" s="977"/>
      <c r="AH27" s="977"/>
      <c r="AI27" s="977"/>
      <c r="AJ27" s="977"/>
      <c r="AK27" s="977"/>
      <c r="AL27" s="983"/>
      <c r="AM27" s="118"/>
      <c r="AN27" s="118"/>
      <c r="AO27"/>
      <c r="AP27" s="473" t="s">
        <v>583</v>
      </c>
      <c r="AQ27" s="205" t="s">
        <v>481</v>
      </c>
      <c r="AR27" s="118"/>
      <c r="AS27" s="118"/>
      <c r="AT27" s="118"/>
      <c r="AU27" s="118"/>
      <c r="AV27" s="118"/>
      <c r="AW27" s="118"/>
      <c r="AX27" s="118"/>
      <c r="AY27" s="118"/>
      <c r="AZ27" s="118"/>
      <c r="BA27" s="118"/>
      <c r="BB27" s="469"/>
      <c r="BC27" s="828"/>
    </row>
    <row r="28" spans="1:55" s="41" customFormat="1" ht="12.95" customHeight="1">
      <c r="A28" s="828"/>
      <c r="B28" s="915"/>
      <c r="C28" s="916"/>
      <c r="D28" s="916"/>
      <c r="E28" s="916"/>
      <c r="F28" s="916"/>
      <c r="G28" s="914"/>
      <c r="H28" s="914"/>
      <c r="I28" s="914"/>
      <c r="J28" s="914"/>
      <c r="K28" s="914"/>
      <c r="L28" s="914"/>
      <c r="M28" s="914"/>
      <c r="N28" s="914"/>
      <c r="O28" s="914"/>
      <c r="P28" s="914"/>
      <c r="Q28" s="914"/>
      <c r="R28" s="914"/>
      <c r="S28" s="914"/>
      <c r="T28" s="914"/>
      <c r="U28" s="503"/>
      <c r="V28" s="472"/>
      <c r="W28" s="472"/>
      <c r="X28" s="472"/>
      <c r="Y28" s="472"/>
      <c r="Z28" s="472"/>
      <c r="AA28" s="118"/>
      <c r="AB28" s="470"/>
      <c r="AC28" s="470"/>
      <c r="AD28" s="470"/>
      <c r="AE28" s="470"/>
      <c r="AF28" s="470"/>
      <c r="AG28" s="470"/>
      <c r="AH28" s="164" t="s">
        <v>584</v>
      </c>
      <c r="AI28" s="985">
        <v>44567</v>
      </c>
      <c r="AJ28" s="986"/>
      <c r="AK28" s="986"/>
      <c r="AL28" s="987"/>
      <c r="AM28" s="500"/>
      <c r="AN28" s="500"/>
      <c r="AO28" s="500"/>
      <c r="AP28" s="500"/>
      <c r="AQ28" s="500"/>
      <c r="AR28" s="500"/>
      <c r="AS28" s="500"/>
      <c r="AT28" s="500"/>
      <c r="AU28" s="500"/>
      <c r="AV28" s="500"/>
      <c r="AW28" s="500"/>
      <c r="AX28" s="500"/>
      <c r="AY28" s="500"/>
      <c r="AZ28" s="500"/>
      <c r="BA28" s="500"/>
      <c r="BB28" s="469"/>
      <c r="BC28" s="828"/>
    </row>
    <row r="29" spans="1:55" s="41" customFormat="1" ht="12.95" customHeight="1">
      <c r="A29" s="828"/>
      <c r="B29" s="915"/>
      <c r="C29" s="916"/>
      <c r="D29" s="916"/>
      <c r="E29" s="916"/>
      <c r="F29" s="916"/>
      <c r="G29" s="914"/>
      <c r="H29" s="914"/>
      <c r="I29" s="914"/>
      <c r="J29" s="914"/>
      <c r="K29" s="914"/>
      <c r="L29" s="914"/>
      <c r="M29" s="914"/>
      <c r="N29" s="914"/>
      <c r="O29" s="914"/>
      <c r="P29" s="914"/>
      <c r="Q29" s="914"/>
      <c r="R29" s="914"/>
      <c r="S29" s="914"/>
      <c r="T29" s="914"/>
      <c r="U29" s="503"/>
      <c r="V29" s="503"/>
      <c r="W29" s="118"/>
      <c r="X29" s="118"/>
      <c r="Y29" s="503"/>
      <c r="Z29" s="503"/>
      <c r="AA29" s="494"/>
      <c r="AB29" s="494"/>
      <c r="AC29" s="494"/>
      <c r="AD29" s="494"/>
      <c r="AE29" s="494"/>
      <c r="AF29" s="494"/>
      <c r="AG29" s="470"/>
      <c r="AH29" s="470"/>
      <c r="AI29" s="500"/>
      <c r="AJ29" s="500"/>
      <c r="AK29" s="500"/>
      <c r="AL29" s="500"/>
      <c r="AM29" s="500"/>
      <c r="AN29" s="500"/>
      <c r="AO29" s="500"/>
      <c r="AP29" s="500"/>
      <c r="AQ29" s="500"/>
      <c r="AR29" s="500"/>
      <c r="AS29" s="500"/>
      <c r="AT29" s="500"/>
      <c r="AU29" s="500"/>
      <c r="AV29" s="500"/>
      <c r="AW29" s="500"/>
      <c r="AX29" s="500"/>
      <c r="AY29" s="500"/>
      <c r="AZ29" s="500"/>
      <c r="BA29" s="500"/>
      <c r="BB29" s="469"/>
      <c r="BC29" s="828"/>
    </row>
    <row r="30" spans="1:55" s="41" customFormat="1" ht="12.95" customHeight="1">
      <c r="A30" s="828"/>
      <c r="B30" s="915" t="s">
        <v>585</v>
      </c>
      <c r="C30" s="916"/>
      <c r="D30" s="916"/>
      <c r="E30" s="916"/>
      <c r="F30" s="916"/>
      <c r="G30" s="914" t="s">
        <v>586</v>
      </c>
      <c r="H30" s="914"/>
      <c r="I30" s="914"/>
      <c r="J30" s="914"/>
      <c r="K30" s="914"/>
      <c r="L30" s="914"/>
      <c r="M30" s="914"/>
      <c r="N30" s="914"/>
      <c r="O30" s="914"/>
      <c r="P30" s="914"/>
      <c r="Q30" s="914"/>
      <c r="R30" s="914"/>
      <c r="S30" s="914"/>
      <c r="T30" s="914"/>
      <c r="U30" s="503"/>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469"/>
      <c r="BC30" s="828"/>
    </row>
    <row r="31" spans="1:55" s="41" customFormat="1" ht="12.95" customHeight="1">
      <c r="A31" s="828"/>
      <c r="B31" s="915"/>
      <c r="C31" s="916"/>
      <c r="D31" s="916"/>
      <c r="E31" s="916"/>
      <c r="F31" s="916"/>
      <c r="G31" s="914"/>
      <c r="H31" s="914"/>
      <c r="I31" s="914"/>
      <c r="J31" s="914"/>
      <c r="K31" s="914"/>
      <c r="L31" s="914"/>
      <c r="M31" s="914"/>
      <c r="N31" s="914"/>
      <c r="O31" s="914"/>
      <c r="P31" s="914"/>
      <c r="Q31" s="914"/>
      <c r="R31" s="914"/>
      <c r="S31" s="914"/>
      <c r="T31" s="914"/>
      <c r="U31" s="503"/>
      <c r="V31" s="503"/>
      <c r="W31" s="118"/>
      <c r="X31" s="118"/>
      <c r="Y31" s="507" t="s">
        <v>587</v>
      </c>
      <c r="Z31" s="503"/>
      <c r="AA31" s="118"/>
      <c r="AB31" s="118"/>
      <c r="AC31" s="830"/>
      <c r="AD31" s="522" t="s">
        <v>588</v>
      </c>
      <c r="AE31" s="516"/>
      <c r="AF31" s="517"/>
      <c r="AG31" s="518"/>
      <c r="AH31" s="519"/>
      <c r="AI31" s="520"/>
      <c r="AJ31" s="520"/>
      <c r="AK31" s="520"/>
      <c r="AL31" s="522" t="s">
        <v>589</v>
      </c>
      <c r="AM31" s="521"/>
      <c r="AN31" s="521"/>
      <c r="AO31" s="521"/>
      <c r="AP31" s="520"/>
      <c r="AQ31" s="520"/>
      <c r="AR31" s="520"/>
      <c r="AS31" s="520"/>
      <c r="AT31" s="830"/>
      <c r="AU31" s="515" t="s">
        <v>590</v>
      </c>
      <c r="AV31" s="529"/>
      <c r="AW31" s="530"/>
      <c r="AX31" s="531"/>
      <c r="AY31" s="500"/>
      <c r="AZ31" s="500"/>
      <c r="BA31" s="500"/>
      <c r="BB31" s="469"/>
      <c r="BC31" s="828"/>
    </row>
    <row r="32" spans="1:55" s="41" customFormat="1" ht="12.95" customHeight="1">
      <c r="A32" s="828"/>
      <c r="B32" s="915"/>
      <c r="C32" s="916"/>
      <c r="D32" s="916"/>
      <c r="E32" s="916"/>
      <c r="F32" s="916"/>
      <c r="G32" s="914"/>
      <c r="H32" s="914"/>
      <c r="I32" s="914"/>
      <c r="J32" s="914"/>
      <c r="K32" s="914"/>
      <c r="L32" s="914"/>
      <c r="M32" s="914"/>
      <c r="N32" s="914"/>
      <c r="O32" s="914"/>
      <c r="P32" s="914"/>
      <c r="Q32" s="914"/>
      <c r="R32" s="914"/>
      <c r="S32" s="914"/>
      <c r="T32" s="914"/>
      <c r="U32" s="503"/>
      <c r="V32" s="503"/>
      <c r="W32" s="503"/>
      <c r="X32" s="503"/>
      <c r="Y32" s="503"/>
      <c r="Z32" s="503"/>
      <c r="AA32" s="118"/>
      <c r="AB32" s="118"/>
      <c r="AC32" s="118"/>
      <c r="AD32" s="118"/>
      <c r="AE32" s="494"/>
      <c r="AF32" s="494"/>
      <c r="AG32" s="470"/>
      <c r="AH32" s="470"/>
      <c r="AI32" s="501"/>
      <c r="AJ32" s="501"/>
      <c r="AK32" s="501"/>
      <c r="AL32" s="501"/>
      <c r="AM32" s="502"/>
      <c r="AN32" s="502"/>
      <c r="AO32" s="502"/>
      <c r="AP32" s="502"/>
      <c r="AQ32" s="502"/>
      <c r="AR32" s="502"/>
      <c r="AS32" s="502"/>
      <c r="AT32" s="502"/>
      <c r="AU32" s="502"/>
      <c r="AV32" s="502"/>
      <c r="AW32" s="502"/>
      <c r="AX32" s="502"/>
      <c r="AY32" s="502"/>
      <c r="AZ32" s="502"/>
      <c r="BA32" s="502"/>
      <c r="BB32" s="469"/>
      <c r="BC32" s="828"/>
    </row>
    <row r="33" spans="1:55" s="41" customFormat="1" ht="12.95" customHeight="1">
      <c r="A33" s="828"/>
      <c r="B33" s="915" t="s">
        <v>591</v>
      </c>
      <c r="C33" s="916"/>
      <c r="D33" s="916"/>
      <c r="E33" s="916"/>
      <c r="F33" s="916"/>
      <c r="G33" s="914" t="s">
        <v>592</v>
      </c>
      <c r="H33" s="914"/>
      <c r="I33" s="914"/>
      <c r="J33" s="914"/>
      <c r="K33" s="914"/>
      <c r="L33" s="914"/>
      <c r="M33" s="914"/>
      <c r="N33" s="914"/>
      <c r="O33" s="914"/>
      <c r="P33" s="914"/>
      <c r="Q33" s="914"/>
      <c r="R33" s="914"/>
      <c r="S33" s="914"/>
      <c r="T33" s="914"/>
      <c r="U33" s="503"/>
      <c r="V33" s="503"/>
      <c r="W33" s="503"/>
      <c r="X33" s="503"/>
      <c r="Y33" s="503"/>
      <c r="Z33" s="503"/>
      <c r="AA33" s="118"/>
      <c r="AB33" s="118"/>
      <c r="AC33" s="118"/>
      <c r="AD33" s="118"/>
      <c r="AE33" s="494"/>
      <c r="AF33" s="494"/>
      <c r="AG33" s="470"/>
      <c r="AH33" s="470"/>
      <c r="AI33" s="501"/>
      <c r="AJ33" s="501"/>
      <c r="AK33" s="501"/>
      <c r="AL33" s="501"/>
      <c r="AM33" s="502"/>
      <c r="AN33" s="502"/>
      <c r="AO33" s="502"/>
      <c r="AP33" s="502"/>
      <c r="AQ33" s="502"/>
      <c r="AR33" s="502"/>
      <c r="AS33" s="502"/>
      <c r="AT33" s="502"/>
      <c r="AU33" s="502"/>
      <c r="AV33" s="502"/>
      <c r="AW33" s="502"/>
      <c r="AX33" s="502"/>
      <c r="AY33" s="502"/>
      <c r="AZ33" s="502"/>
      <c r="BA33" s="502"/>
      <c r="BB33" s="469"/>
      <c r="BC33" s="828"/>
    </row>
    <row r="34" spans="1:55" s="41" customFormat="1" ht="12.95" customHeight="1">
      <c r="A34" s="828"/>
      <c r="B34" s="915"/>
      <c r="C34" s="916"/>
      <c r="D34" s="916"/>
      <c r="E34" s="916"/>
      <c r="F34" s="916"/>
      <c r="G34" s="914"/>
      <c r="H34" s="914"/>
      <c r="I34" s="914"/>
      <c r="J34" s="914"/>
      <c r="K34" s="914"/>
      <c r="L34" s="914"/>
      <c r="M34" s="914"/>
      <c r="N34" s="914"/>
      <c r="O34" s="914"/>
      <c r="P34" s="914"/>
      <c r="Q34" s="914"/>
      <c r="R34" s="914"/>
      <c r="S34" s="914"/>
      <c r="T34" s="914"/>
      <c r="U34" s="799"/>
      <c r="V34" s="503"/>
      <c r="W34" s="118"/>
      <c r="X34" s="526"/>
      <c r="Y34" s="526"/>
      <c r="Z34" s="118"/>
      <c r="AA34" s="766" t="s">
        <v>593</v>
      </c>
      <c r="AB34" s="956" t="s">
        <v>525</v>
      </c>
      <c r="AC34" s="956"/>
      <c r="AD34" s="956"/>
      <c r="AE34" s="956"/>
      <c r="AF34" s="494"/>
      <c r="AG34" s="494"/>
      <c r="AH34" s="494"/>
      <c r="AI34" s="494"/>
      <c r="AJ34" s="501"/>
      <c r="AK34" s="501"/>
      <c r="AL34" s="118"/>
      <c r="AM34" s="526"/>
      <c r="AN34" s="526"/>
      <c r="AO34" s="526"/>
      <c r="AP34" s="118"/>
      <c r="AQ34" s="118"/>
      <c r="AR34" s="766" t="s">
        <v>593</v>
      </c>
      <c r="AS34" s="956" t="s">
        <v>538</v>
      </c>
      <c r="AT34" s="956"/>
      <c r="AU34" s="956"/>
      <c r="AV34" s="956"/>
      <c r="AW34" s="956"/>
      <c r="AX34" s="956"/>
      <c r="AY34" s="956"/>
      <c r="AZ34" s="956"/>
      <c r="BA34" s="502"/>
      <c r="BB34" s="469"/>
      <c r="BC34" s="828"/>
    </row>
    <row r="35" spans="1:55" s="41" customFormat="1" ht="12.95" customHeight="1">
      <c r="A35" s="828"/>
      <c r="B35" s="915"/>
      <c r="C35" s="916"/>
      <c r="D35" s="916"/>
      <c r="E35" s="916"/>
      <c r="F35" s="916"/>
      <c r="G35" s="914"/>
      <c r="H35" s="914"/>
      <c r="I35" s="914"/>
      <c r="J35" s="914"/>
      <c r="K35" s="914"/>
      <c r="L35" s="914"/>
      <c r="M35" s="914"/>
      <c r="N35" s="914"/>
      <c r="O35" s="914"/>
      <c r="P35" s="914"/>
      <c r="Q35" s="914"/>
      <c r="R35" s="914"/>
      <c r="S35" s="914"/>
      <c r="T35" s="914"/>
      <c r="U35" s="799"/>
      <c r="V35" s="503"/>
      <c r="W35" s="503"/>
      <c r="X35" s="503"/>
      <c r="Y35" s="503"/>
      <c r="Z35" s="494"/>
      <c r="AA35" s="494"/>
      <c r="AB35" s="494"/>
      <c r="AC35" s="494"/>
      <c r="AD35" s="494"/>
      <c r="AE35" s="494"/>
      <c r="AF35" s="470"/>
      <c r="AG35" s="470"/>
      <c r="AH35" s="470"/>
      <c r="AI35" s="501"/>
      <c r="AJ35" s="501"/>
      <c r="AK35" s="501"/>
      <c r="AL35" s="501"/>
      <c r="AM35" s="502"/>
      <c r="AN35" s="502"/>
      <c r="AO35" s="502"/>
      <c r="AP35" s="502"/>
      <c r="AQ35" s="502"/>
      <c r="AR35" s="502"/>
      <c r="AS35" s="502"/>
      <c r="AT35" s="502"/>
      <c r="AU35" s="502"/>
      <c r="AV35" s="502"/>
      <c r="AW35" s="502"/>
      <c r="AX35" s="502"/>
      <c r="AY35" s="502"/>
      <c r="AZ35" s="502"/>
      <c r="BA35" s="502"/>
      <c r="BB35" s="469"/>
      <c r="BC35" s="828"/>
    </row>
    <row r="36" spans="1:55" s="41" customFormat="1" ht="12.95" customHeight="1">
      <c r="A36" s="828"/>
      <c r="B36" s="915" t="s">
        <v>594</v>
      </c>
      <c r="C36" s="916"/>
      <c r="D36" s="916"/>
      <c r="E36" s="916"/>
      <c r="F36" s="916"/>
      <c r="G36" s="914" t="s">
        <v>595</v>
      </c>
      <c r="H36" s="914"/>
      <c r="I36" s="914"/>
      <c r="J36" s="914"/>
      <c r="K36" s="914"/>
      <c r="L36" s="914"/>
      <c r="M36" s="914"/>
      <c r="N36" s="914"/>
      <c r="O36" s="914"/>
      <c r="P36" s="914"/>
      <c r="Q36" s="914"/>
      <c r="R36" s="914"/>
      <c r="S36" s="914"/>
      <c r="T36" s="914"/>
      <c r="U36" s="799"/>
      <c r="V36" s="961" t="s">
        <v>596</v>
      </c>
      <c r="W36" s="961"/>
      <c r="X36" s="961"/>
      <c r="Y36" s="961"/>
      <c r="Z36" s="961"/>
      <c r="AA36" s="961"/>
      <c r="AB36" s="961"/>
      <c r="AC36" s="961"/>
      <c r="AD36" s="961"/>
      <c r="AE36" s="961"/>
      <c r="AF36" s="961"/>
      <c r="AG36" s="801"/>
      <c r="AH36" s="984" t="s">
        <v>597</v>
      </c>
      <c r="AI36" s="984"/>
      <c r="AJ36" s="984"/>
      <c r="AK36" s="984"/>
      <c r="AL36" s="984"/>
      <c r="AM36" s="984"/>
      <c r="AN36" s="984"/>
      <c r="AO36" s="984"/>
      <c r="AP36" s="984"/>
      <c r="AQ36" s="984"/>
      <c r="AR36" s="984"/>
      <c r="AS36" s="984"/>
      <c r="AT36" s="984"/>
      <c r="AU36" s="984"/>
      <c r="AV36" s="984"/>
      <c r="AW36" s="984"/>
      <c r="AX36" s="984"/>
      <c r="AY36" s="984"/>
      <c r="AZ36" s="984"/>
      <c r="BA36" s="984"/>
      <c r="BB36" s="469"/>
      <c r="BC36" s="828"/>
    </row>
    <row r="37" spans="1:55" s="41" customFormat="1" ht="12.95" customHeight="1">
      <c r="A37" s="828"/>
      <c r="B37" s="915"/>
      <c r="C37" s="916"/>
      <c r="D37" s="916"/>
      <c r="E37" s="916"/>
      <c r="F37" s="916"/>
      <c r="G37" s="914"/>
      <c r="H37" s="914"/>
      <c r="I37" s="914"/>
      <c r="J37" s="914"/>
      <c r="K37" s="914"/>
      <c r="L37" s="914"/>
      <c r="M37" s="914"/>
      <c r="N37" s="914"/>
      <c r="O37" s="914"/>
      <c r="P37" s="914"/>
      <c r="Q37" s="914"/>
      <c r="R37" s="914"/>
      <c r="S37" s="914"/>
      <c r="T37" s="914"/>
      <c r="U37" s="799"/>
      <c r="V37" s="961" t="s">
        <v>598</v>
      </c>
      <c r="W37" s="961"/>
      <c r="X37" s="961"/>
      <c r="Y37" s="961"/>
      <c r="Z37" s="961"/>
      <c r="AA37" s="961"/>
      <c r="AB37" s="961"/>
      <c r="AC37" s="961"/>
      <c r="AD37" s="961"/>
      <c r="AE37" s="961"/>
      <c r="AF37" s="961"/>
      <c r="AG37" s="801"/>
      <c r="AH37" s="984"/>
      <c r="AI37" s="984"/>
      <c r="AJ37" s="984"/>
      <c r="AK37" s="984"/>
      <c r="AL37" s="984"/>
      <c r="AM37" s="984"/>
      <c r="AN37" s="984"/>
      <c r="AO37" s="984"/>
      <c r="AP37" s="984"/>
      <c r="AQ37" s="984"/>
      <c r="AR37" s="984"/>
      <c r="AS37" s="984"/>
      <c r="AT37" s="984"/>
      <c r="AU37" s="984"/>
      <c r="AV37" s="984"/>
      <c r="AW37" s="984"/>
      <c r="AX37" s="984"/>
      <c r="AY37" s="984"/>
      <c r="AZ37" s="984"/>
      <c r="BA37" s="984"/>
      <c r="BB37" s="469"/>
      <c r="BC37" s="828"/>
    </row>
    <row r="38" spans="1:55" s="41" customFormat="1" ht="12.95" customHeight="1">
      <c r="A38" s="828"/>
      <c r="B38" s="915"/>
      <c r="C38" s="916"/>
      <c r="D38" s="916"/>
      <c r="E38" s="916"/>
      <c r="F38" s="916"/>
      <c r="G38" s="914"/>
      <c r="H38" s="914"/>
      <c r="I38" s="914"/>
      <c r="J38" s="914"/>
      <c r="K38" s="914"/>
      <c r="L38" s="914"/>
      <c r="M38" s="914"/>
      <c r="N38" s="914"/>
      <c r="O38" s="914"/>
      <c r="P38" s="914"/>
      <c r="Q38" s="914"/>
      <c r="R38" s="914"/>
      <c r="S38" s="914"/>
      <c r="T38" s="914"/>
      <c r="U38" s="799"/>
      <c r="V38" s="510"/>
      <c r="W38" s="510"/>
      <c r="X38" s="962" t="s">
        <v>599</v>
      </c>
      <c r="Y38" s="962"/>
      <c r="Z38" s="962"/>
      <c r="AA38" s="962"/>
      <c r="AB38" s="962"/>
      <c r="AC38" s="962"/>
      <c r="AD38" s="962"/>
      <c r="AE38" s="510"/>
      <c r="AF38" s="510"/>
      <c r="AG38" s="801"/>
      <c r="AH38" s="801"/>
      <c r="AI38" s="801"/>
      <c r="AJ38" s="801"/>
      <c r="AK38" s="510"/>
      <c r="AL38" s="509"/>
      <c r="AM38" s="501"/>
      <c r="AN38" s="511"/>
      <c r="AO38" s="800"/>
      <c r="AP38" s="800"/>
      <c r="AQ38" s="800"/>
      <c r="AR38" s="800"/>
      <c r="AS38" s="800"/>
      <c r="AT38" s="800"/>
      <c r="AU38" s="800"/>
      <c r="AV38" s="800"/>
      <c r="AW38" s="800"/>
      <c r="AX38" s="510"/>
      <c r="AY38" s="510"/>
      <c r="AZ38" s="512"/>
      <c r="BA38" s="502"/>
      <c r="BB38" s="469"/>
      <c r="BC38" s="828"/>
    </row>
    <row r="39" spans="1:55" s="41" customFormat="1" ht="12.95" customHeight="1">
      <c r="A39" s="828"/>
      <c r="B39" s="915" t="s">
        <v>600</v>
      </c>
      <c r="C39" s="916"/>
      <c r="D39" s="916"/>
      <c r="E39" s="916"/>
      <c r="F39" s="916"/>
      <c r="G39" s="914" t="s">
        <v>601</v>
      </c>
      <c r="H39" s="914"/>
      <c r="I39" s="914"/>
      <c r="J39" s="914"/>
      <c r="K39" s="914"/>
      <c r="L39" s="914"/>
      <c r="M39" s="914"/>
      <c r="N39" s="914"/>
      <c r="O39" s="914"/>
      <c r="P39" s="914"/>
      <c r="Q39" s="914"/>
      <c r="R39" s="914"/>
      <c r="S39" s="914"/>
      <c r="T39" s="914"/>
      <c r="U39" s="799"/>
      <c r="V39" s="510"/>
      <c r="W39" s="963">
        <v>0.01</v>
      </c>
      <c r="X39" s="963"/>
      <c r="Y39" s="963"/>
      <c r="Z39" s="964" t="s">
        <v>602</v>
      </c>
      <c r="AA39" s="965"/>
      <c r="AB39" s="966"/>
      <c r="AC39" s="508" t="s">
        <v>603</v>
      </c>
      <c r="AD39" s="510"/>
      <c r="AE39" s="510"/>
      <c r="AF39" s="510"/>
      <c r="AG39" s="510"/>
      <c r="AH39" s="510"/>
      <c r="AI39" s="510"/>
      <c r="AJ39" s="510"/>
      <c r="AK39" s="510"/>
      <c r="AL39" s="509"/>
      <c r="AM39" s="501"/>
      <c r="AN39" s="511"/>
      <c r="AO39" s="957"/>
      <c r="AP39" s="957"/>
      <c r="AQ39" s="957"/>
      <c r="AR39" s="957"/>
      <c r="AS39" s="957"/>
      <c r="AT39" s="957"/>
      <c r="AU39" s="957"/>
      <c r="AV39" s="957"/>
      <c r="AW39" s="957"/>
      <c r="AX39" s="510"/>
      <c r="AY39" s="510"/>
      <c r="AZ39" s="513"/>
      <c r="BA39" s="502"/>
      <c r="BB39" s="469"/>
      <c r="BC39" s="828"/>
    </row>
    <row r="40" spans="1:55" s="41" customFormat="1" ht="12.95" customHeight="1">
      <c r="A40" s="828"/>
      <c r="B40" s="915"/>
      <c r="C40" s="916"/>
      <c r="D40" s="916"/>
      <c r="E40" s="916"/>
      <c r="F40" s="916"/>
      <c r="G40" s="914"/>
      <c r="H40" s="914"/>
      <c r="I40" s="914"/>
      <c r="J40" s="914"/>
      <c r="K40" s="914"/>
      <c r="L40" s="914"/>
      <c r="M40" s="914"/>
      <c r="N40" s="914"/>
      <c r="O40" s="914"/>
      <c r="P40" s="914"/>
      <c r="Q40" s="914"/>
      <c r="R40" s="914"/>
      <c r="S40" s="914"/>
      <c r="T40" s="914"/>
      <c r="U40" s="799"/>
      <c r="V40" s="510"/>
      <c r="W40" s="510"/>
      <c r="X40" s="510"/>
      <c r="Y40" s="510"/>
      <c r="Z40" s="964" t="s">
        <v>604</v>
      </c>
      <c r="AA40" s="965"/>
      <c r="AB40" s="966"/>
      <c r="AC40" s="981" t="s">
        <v>605</v>
      </c>
      <c r="AD40" s="982"/>
      <c r="AE40" s="982"/>
      <c r="AF40" s="510"/>
      <c r="AG40" s="510"/>
      <c r="AH40" s="510"/>
      <c r="AI40" s="510"/>
      <c r="AJ40" s="510"/>
      <c r="AK40" s="510"/>
      <c r="AL40" s="509"/>
      <c r="AM40" s="501"/>
      <c r="AN40" s="514"/>
      <c r="AO40" s="957"/>
      <c r="AP40" s="957"/>
      <c r="AQ40" s="957"/>
      <c r="AR40" s="957"/>
      <c r="AS40" s="957"/>
      <c r="AT40" s="957"/>
      <c r="AU40" s="957"/>
      <c r="AV40" s="957"/>
      <c r="AW40" s="957"/>
      <c r="AX40" s="510"/>
      <c r="AY40" s="510"/>
      <c r="AZ40" s="513"/>
      <c r="BA40" s="502"/>
      <c r="BB40" s="469"/>
      <c r="BC40" s="828"/>
    </row>
    <row r="41" spans="1:55" s="41" customFormat="1" ht="12.95" customHeight="1">
      <c r="A41" s="828"/>
      <c r="B41" s="915"/>
      <c r="C41" s="916"/>
      <c r="D41" s="916"/>
      <c r="E41" s="916"/>
      <c r="F41" s="916"/>
      <c r="G41" s="914"/>
      <c r="H41" s="914"/>
      <c r="I41" s="914"/>
      <c r="J41" s="914"/>
      <c r="K41" s="914"/>
      <c r="L41" s="914"/>
      <c r="M41" s="914"/>
      <c r="N41" s="914"/>
      <c r="O41" s="914"/>
      <c r="P41" s="914"/>
      <c r="Q41" s="914"/>
      <c r="R41" s="914"/>
      <c r="S41" s="914"/>
      <c r="T41" s="914"/>
      <c r="U41" s="799"/>
      <c r="V41" s="510"/>
      <c r="W41" s="510"/>
      <c r="X41" s="510"/>
      <c r="Y41" s="510"/>
      <c r="Z41" s="510"/>
      <c r="AA41" s="510"/>
      <c r="AB41" s="510"/>
      <c r="AC41" s="510"/>
      <c r="AD41" s="510"/>
      <c r="AE41" s="510"/>
      <c r="AF41" s="510"/>
      <c r="AG41" s="510"/>
      <c r="AH41" s="510"/>
      <c r="AI41" s="510"/>
      <c r="AJ41" s="510"/>
      <c r="AK41" s="510"/>
      <c r="AL41" s="509"/>
      <c r="AM41" s="501"/>
      <c r="AN41" s="514"/>
      <c r="AO41" s="800"/>
      <c r="AP41" s="800"/>
      <c r="AQ41" s="800"/>
      <c r="AR41" s="800"/>
      <c r="AS41" s="800"/>
      <c r="AT41" s="800"/>
      <c r="AU41" s="800"/>
      <c r="AV41" s="800"/>
      <c r="AW41" s="800"/>
      <c r="AX41" s="510"/>
      <c r="AY41" s="510"/>
      <c r="AZ41" s="513"/>
      <c r="BA41" s="502"/>
      <c r="BB41" s="469"/>
      <c r="BC41" s="828"/>
    </row>
    <row r="42" spans="1:55" s="41" customFormat="1" ht="12.95" customHeight="1">
      <c r="A42" s="828"/>
      <c r="B42" s="478"/>
      <c r="C42" s="118"/>
      <c r="D42" s="118"/>
      <c r="E42" s="118"/>
      <c r="F42" s="118"/>
      <c r="G42" s="118"/>
      <c r="H42" s="118"/>
      <c r="I42" s="118"/>
      <c r="J42" s="118"/>
      <c r="K42" s="118"/>
      <c r="L42" s="118"/>
      <c r="M42" s="118"/>
      <c r="N42" s="118"/>
      <c r="O42" s="118"/>
      <c r="P42" s="118"/>
      <c r="Q42" s="118"/>
      <c r="R42" s="118"/>
      <c r="S42" s="118"/>
      <c r="T42" s="118"/>
      <c r="U42" s="799"/>
      <c r="V42" s="961" t="s">
        <v>606</v>
      </c>
      <c r="W42" s="961"/>
      <c r="X42" s="961"/>
      <c r="Y42" s="961"/>
      <c r="Z42" s="961"/>
      <c r="AA42" s="961"/>
      <c r="AB42" s="961"/>
      <c r="AC42" s="961"/>
      <c r="AD42" s="961"/>
      <c r="AE42" s="961"/>
      <c r="AF42" s="961"/>
      <c r="AG42" s="510"/>
      <c r="AH42" s="957" t="s">
        <v>607</v>
      </c>
      <c r="AI42" s="957"/>
      <c r="AJ42" s="957"/>
      <c r="AK42" s="957"/>
      <c r="AL42" s="957"/>
      <c r="AM42" s="957"/>
      <c r="AN42" s="957"/>
      <c r="AO42" s="957"/>
      <c r="AP42" s="957"/>
      <c r="AQ42" s="957"/>
      <c r="AR42" s="957"/>
      <c r="AS42" s="957"/>
      <c r="AT42" s="957"/>
      <c r="AU42" s="957"/>
      <c r="AV42" s="957"/>
      <c r="AW42" s="957"/>
      <c r="AX42" s="118"/>
      <c r="AY42" s="118"/>
      <c r="AZ42" s="118"/>
      <c r="BA42" s="118"/>
      <c r="BB42" s="469"/>
      <c r="BC42" s="828"/>
    </row>
    <row r="43" spans="1:55" s="41" customFormat="1" ht="12.95" customHeight="1">
      <c r="A43" s="828"/>
      <c r="B43" s="478"/>
      <c r="C43" s="118"/>
      <c r="D43" s="118"/>
      <c r="E43" s="118"/>
      <c r="F43" s="118"/>
      <c r="G43" s="118"/>
      <c r="H43" s="118"/>
      <c r="I43" s="118"/>
      <c r="J43" s="118"/>
      <c r="K43" s="118"/>
      <c r="L43" s="118"/>
      <c r="M43" s="118"/>
      <c r="N43" s="118"/>
      <c r="O43" s="118"/>
      <c r="P43" s="118"/>
      <c r="Q43" s="118"/>
      <c r="R43" s="118"/>
      <c r="S43" s="118"/>
      <c r="T43" s="118"/>
      <c r="U43" s="799"/>
      <c r="V43" s="961" t="s">
        <v>608</v>
      </c>
      <c r="W43" s="961"/>
      <c r="X43" s="961"/>
      <c r="Y43" s="961"/>
      <c r="Z43" s="961"/>
      <c r="AA43" s="961"/>
      <c r="AB43" s="961"/>
      <c r="AC43" s="961"/>
      <c r="AD43" s="961"/>
      <c r="AE43" s="961"/>
      <c r="AF43" s="961"/>
      <c r="AG43" s="801"/>
      <c r="AH43" s="957"/>
      <c r="AI43" s="957"/>
      <c r="AJ43" s="957"/>
      <c r="AK43" s="957"/>
      <c r="AL43" s="957"/>
      <c r="AM43" s="957"/>
      <c r="AN43" s="957"/>
      <c r="AO43" s="957"/>
      <c r="AP43" s="957"/>
      <c r="AQ43" s="957"/>
      <c r="AR43" s="957"/>
      <c r="AS43" s="957"/>
      <c r="AT43" s="957"/>
      <c r="AU43" s="957"/>
      <c r="AV43" s="957"/>
      <c r="AW43" s="957"/>
      <c r="AX43" s="958"/>
      <c r="AY43" s="959"/>
      <c r="AZ43" s="960"/>
      <c r="BA43" s="502"/>
      <c r="BB43" s="469"/>
      <c r="BC43" s="828"/>
    </row>
    <row r="44" spans="1:55" s="41" customFormat="1" ht="12.95" customHeight="1">
      <c r="A44" s="828"/>
      <c r="B44" s="478"/>
      <c r="C44" s="149" t="s">
        <v>609</v>
      </c>
      <c r="D44" s="504"/>
      <c r="E44" s="504"/>
      <c r="F44" s="118"/>
      <c r="G44" s="118"/>
      <c r="H44" s="118"/>
      <c r="I44" s="118"/>
      <c r="J44" s="118"/>
      <c r="K44" s="118"/>
      <c r="L44" s="118"/>
      <c r="M44" s="118"/>
      <c r="N44" s="118"/>
      <c r="O44" s="118"/>
      <c r="P44" s="118"/>
      <c r="Q44" s="118"/>
      <c r="R44" s="118"/>
      <c r="S44" s="118"/>
      <c r="T44" s="118"/>
      <c r="U44" s="799"/>
      <c r="V44" s="510"/>
      <c r="W44" s="510"/>
      <c r="X44" s="962" t="s">
        <v>599</v>
      </c>
      <c r="Y44" s="962"/>
      <c r="Z44" s="962"/>
      <c r="AA44" s="962"/>
      <c r="AB44" s="962"/>
      <c r="AC44" s="962"/>
      <c r="AD44" s="962"/>
      <c r="AE44" s="510"/>
      <c r="AF44" s="510"/>
      <c r="AG44" s="801"/>
      <c r="AH44" s="957"/>
      <c r="AI44" s="957"/>
      <c r="AJ44" s="957"/>
      <c r="AK44" s="957"/>
      <c r="AL44" s="957"/>
      <c r="AM44" s="957"/>
      <c r="AN44" s="957"/>
      <c r="AO44" s="957"/>
      <c r="AP44" s="957"/>
      <c r="AQ44" s="957"/>
      <c r="AR44" s="957"/>
      <c r="AS44" s="957"/>
      <c r="AT44" s="957"/>
      <c r="AU44" s="957"/>
      <c r="AV44" s="957"/>
      <c r="AW44" s="957"/>
      <c r="AX44" s="800"/>
      <c r="AY44" s="800"/>
      <c r="AZ44" s="800"/>
      <c r="BA44" s="502"/>
      <c r="BB44" s="469"/>
      <c r="BC44" s="828"/>
    </row>
    <row r="45" spans="1:55" s="41" customFormat="1" ht="12.95" customHeight="1">
      <c r="A45" s="828"/>
      <c r="B45" s="478"/>
      <c r="C45" s="645" t="s">
        <v>610</v>
      </c>
      <c r="D45" s="504"/>
      <c r="E45" s="504"/>
      <c r="F45" s="504"/>
      <c r="G45" s="504"/>
      <c r="H45" s="504"/>
      <c r="I45" s="504"/>
      <c r="J45" s="504"/>
      <c r="K45" s="504"/>
      <c r="L45" s="504"/>
      <c r="M45" s="504"/>
      <c r="N45" s="504"/>
      <c r="O45" s="504"/>
      <c r="P45" s="504"/>
      <c r="Q45" s="504"/>
      <c r="R45" s="504"/>
      <c r="S45" s="504"/>
      <c r="T45" s="504"/>
      <c r="U45" s="504"/>
      <c r="V45" s="510"/>
      <c r="W45" s="969">
        <v>2.5000000000000001E-3</v>
      </c>
      <c r="X45" s="970"/>
      <c r="Y45" s="971"/>
      <c r="Z45" s="965" t="s">
        <v>611</v>
      </c>
      <c r="AA45" s="965"/>
      <c r="AB45" s="966"/>
      <c r="AC45" s="508" t="s">
        <v>603</v>
      </c>
      <c r="AD45" s="510"/>
      <c r="AE45" s="510"/>
      <c r="AF45" s="510"/>
      <c r="AG45" s="801"/>
      <c r="AH45" s="801"/>
      <c r="AI45" s="968" t="s">
        <v>612</v>
      </c>
      <c r="AJ45" s="968"/>
      <c r="AK45" s="968"/>
      <c r="AL45" s="968"/>
      <c r="AM45" s="968"/>
      <c r="AN45" s="968"/>
      <c r="AO45" s="968"/>
      <c r="AP45" s="968"/>
      <c r="AQ45" s="968"/>
      <c r="AR45" s="968"/>
      <c r="AS45" s="968"/>
      <c r="AT45" s="968"/>
      <c r="AU45" s="968"/>
      <c r="AV45" s="968"/>
      <c r="AW45" s="968"/>
      <c r="AX45" s="502"/>
      <c r="AY45" s="502"/>
      <c r="AZ45" s="502"/>
      <c r="BA45" s="502"/>
      <c r="BB45" s="469"/>
      <c r="BC45" s="828"/>
    </row>
    <row r="46" spans="1:55" s="41" customFormat="1" ht="12.95" customHeight="1">
      <c r="A46" s="828"/>
      <c r="B46" s="478"/>
      <c r="C46" s="505" t="s">
        <v>613</v>
      </c>
      <c r="D46" s="505"/>
      <c r="E46" s="505"/>
      <c r="F46" s="504"/>
      <c r="G46" s="504"/>
      <c r="H46" s="504"/>
      <c r="I46" s="504"/>
      <c r="J46" s="504"/>
      <c r="K46" s="504"/>
      <c r="L46" s="504"/>
      <c r="M46" s="504"/>
      <c r="N46" s="504"/>
      <c r="O46" s="504"/>
      <c r="P46" s="504"/>
      <c r="Q46" s="504"/>
      <c r="R46" s="504"/>
      <c r="S46" s="504"/>
      <c r="T46" s="504"/>
      <c r="U46" s="504"/>
      <c r="V46" s="510"/>
      <c r="W46" s="510"/>
      <c r="X46" s="510"/>
      <c r="Y46" s="510"/>
      <c r="Z46" s="964" t="s">
        <v>614</v>
      </c>
      <c r="AA46" s="965"/>
      <c r="AB46" s="966"/>
      <c r="AC46" s="981" t="s">
        <v>615</v>
      </c>
      <c r="AD46" s="982"/>
      <c r="AE46" s="982"/>
      <c r="AF46" s="510"/>
      <c r="AG46" s="510"/>
      <c r="AH46" s="510"/>
      <c r="AI46" s="968"/>
      <c r="AJ46" s="968"/>
      <c r="AK46" s="968"/>
      <c r="AL46" s="968"/>
      <c r="AM46" s="968"/>
      <c r="AN46" s="968"/>
      <c r="AO46" s="968"/>
      <c r="AP46" s="968"/>
      <c r="AQ46" s="968"/>
      <c r="AR46" s="968"/>
      <c r="AS46" s="968"/>
      <c r="AT46" s="968"/>
      <c r="AU46" s="968"/>
      <c r="AV46" s="968"/>
      <c r="AW46" s="968"/>
      <c r="AX46" s="967">
        <v>7</v>
      </c>
      <c r="AY46" s="967"/>
      <c r="AZ46" s="967"/>
      <c r="BA46" s="502"/>
      <c r="BB46" s="469"/>
      <c r="BC46" s="828"/>
    </row>
    <row r="47" spans="1:55" s="41" customFormat="1" ht="12.95" customHeight="1">
      <c r="A47" s="828"/>
      <c r="B47" s="478"/>
      <c r="C47" s="646" t="s">
        <v>616</v>
      </c>
      <c r="D47" s="505"/>
      <c r="E47" s="505"/>
      <c r="F47" s="504"/>
      <c r="G47" s="504"/>
      <c r="H47" s="504"/>
      <c r="I47" s="504"/>
      <c r="J47" s="504"/>
      <c r="K47" s="504"/>
      <c r="L47" s="504"/>
      <c r="M47" s="504"/>
      <c r="N47" s="504"/>
      <c r="O47" s="504"/>
      <c r="P47" s="504"/>
      <c r="Q47" s="504"/>
      <c r="R47" s="504"/>
      <c r="S47" s="504"/>
      <c r="T47" s="504"/>
      <c r="U47" s="504"/>
      <c r="V47" s="510"/>
      <c r="W47" s="510"/>
      <c r="X47" s="510"/>
      <c r="Y47" s="510"/>
      <c r="Z47" s="510"/>
      <c r="AA47" s="510"/>
      <c r="AB47" s="510"/>
      <c r="AC47" s="510"/>
      <c r="AD47" s="510"/>
      <c r="AE47" s="118"/>
      <c r="AF47" s="648"/>
      <c r="AG47" s="510"/>
      <c r="AH47" s="510"/>
      <c r="AI47" s="968"/>
      <c r="AJ47" s="968"/>
      <c r="AK47" s="968"/>
      <c r="AL47" s="968"/>
      <c r="AM47" s="968"/>
      <c r="AN47" s="968"/>
      <c r="AO47" s="968"/>
      <c r="AP47" s="968"/>
      <c r="AQ47" s="968"/>
      <c r="AR47" s="968"/>
      <c r="AS47" s="968"/>
      <c r="AT47" s="968"/>
      <c r="AU47" s="968"/>
      <c r="AV47" s="968"/>
      <c r="AW47" s="968"/>
      <c r="AX47" s="802"/>
      <c r="AY47" s="802"/>
      <c r="AZ47" s="802"/>
      <c r="BA47" s="502"/>
      <c r="BB47" s="469"/>
      <c r="BC47" s="828"/>
    </row>
    <row r="48" spans="1:55" s="41" customFormat="1" ht="12.95" customHeight="1">
      <c r="A48" s="828"/>
      <c r="B48" s="479"/>
      <c r="C48" s="646" t="s">
        <v>617</v>
      </c>
      <c r="D48" s="505"/>
      <c r="E48" s="505"/>
      <c r="F48" s="505"/>
      <c r="G48" s="505"/>
      <c r="H48" s="505"/>
      <c r="I48" s="505"/>
      <c r="J48" s="505"/>
      <c r="K48" s="505"/>
      <c r="L48" s="505"/>
      <c r="M48" s="505"/>
      <c r="N48" s="505"/>
      <c r="O48" s="505"/>
      <c r="P48" s="505"/>
      <c r="Q48" s="505"/>
      <c r="R48" s="505"/>
      <c r="S48" s="505"/>
      <c r="T48" s="505"/>
      <c r="U48" s="503"/>
      <c r="V48" s="503"/>
      <c r="W48" s="503"/>
      <c r="X48" s="503"/>
      <c r="Y48" s="503"/>
      <c r="Z48" s="503"/>
      <c r="AA48" s="494"/>
      <c r="AB48" s="494"/>
      <c r="AC48" s="494"/>
      <c r="AD48" s="957" t="s">
        <v>618</v>
      </c>
      <c r="AE48" s="957"/>
      <c r="AF48" s="957"/>
      <c r="AG48" s="957"/>
      <c r="AH48" s="957"/>
      <c r="AI48" s="957"/>
      <c r="AJ48" s="957"/>
      <c r="AK48" s="957"/>
      <c r="AL48" s="957"/>
      <c r="AM48" s="957"/>
      <c r="AN48" s="957"/>
      <c r="AO48" s="957"/>
      <c r="AP48" s="957"/>
      <c r="AQ48" s="957"/>
      <c r="AR48" s="957"/>
      <c r="AS48" s="957"/>
      <c r="AT48" s="957"/>
      <c r="AU48" s="957"/>
      <c r="AV48" s="957"/>
      <c r="AW48" s="957"/>
      <c r="AX48" s="961" t="s">
        <v>619</v>
      </c>
      <c r="AY48" s="961"/>
      <c r="AZ48" s="961"/>
      <c r="BA48" s="502"/>
      <c r="BB48" s="469"/>
      <c r="BC48" s="828"/>
    </row>
    <row r="49" spans="1:55" s="41" customFormat="1" ht="12.95" customHeight="1">
      <c r="A49" s="828"/>
      <c r="B49" s="479"/>
      <c r="C49" s="647" t="s">
        <v>620</v>
      </c>
      <c r="D49" s="505"/>
      <c r="E49" s="505"/>
      <c r="F49" s="505"/>
      <c r="G49" s="505"/>
      <c r="H49" s="505"/>
      <c r="I49" s="505"/>
      <c r="J49" s="505"/>
      <c r="K49" s="505"/>
      <c r="L49" s="505"/>
      <c r="M49" s="505"/>
      <c r="N49" s="505"/>
      <c r="O49" s="505"/>
      <c r="P49" s="505"/>
      <c r="Q49" s="505"/>
      <c r="R49" s="505"/>
      <c r="S49" s="505"/>
      <c r="T49" s="505"/>
      <c r="U49" s="503"/>
      <c r="V49" s="503"/>
      <c r="W49" s="503"/>
      <c r="X49" s="503"/>
      <c r="Y49" s="503"/>
      <c r="Z49" s="503"/>
      <c r="AA49" s="494"/>
      <c r="AB49" s="494"/>
      <c r="AC49" s="494"/>
      <c r="AD49" s="957"/>
      <c r="AE49" s="957"/>
      <c r="AF49" s="957"/>
      <c r="AG49" s="957"/>
      <c r="AH49" s="957"/>
      <c r="AI49" s="957"/>
      <c r="AJ49" s="957"/>
      <c r="AK49" s="957"/>
      <c r="AL49" s="957"/>
      <c r="AM49" s="957"/>
      <c r="AN49" s="957"/>
      <c r="AO49" s="957"/>
      <c r="AP49" s="957"/>
      <c r="AQ49" s="957"/>
      <c r="AR49" s="957"/>
      <c r="AS49" s="957"/>
      <c r="AT49" s="957"/>
      <c r="AU49" s="957"/>
      <c r="AV49" s="957"/>
      <c r="AW49" s="957"/>
      <c r="AX49" s="961"/>
      <c r="AY49" s="961"/>
      <c r="AZ49" s="961"/>
      <c r="BA49" s="502"/>
      <c r="BB49" s="469"/>
      <c r="BC49" s="828"/>
    </row>
    <row r="50" spans="1:55" s="41" customFormat="1" ht="12.95" customHeight="1">
      <c r="A50" s="828"/>
      <c r="B50" s="479"/>
      <c r="C50" s="646" t="s">
        <v>621</v>
      </c>
      <c r="D50" s="505"/>
      <c r="E50" s="118"/>
      <c r="F50" s="505"/>
      <c r="G50" s="505"/>
      <c r="H50" s="505"/>
      <c r="I50" s="505"/>
      <c r="J50" s="505"/>
      <c r="K50" s="505"/>
      <c r="L50" s="505"/>
      <c r="M50" s="505"/>
      <c r="N50" s="505"/>
      <c r="O50" s="505"/>
      <c r="P50" s="505"/>
      <c r="Q50" s="505"/>
      <c r="R50" s="505"/>
      <c r="S50" s="505"/>
      <c r="T50" s="505"/>
      <c r="U50" s="817"/>
      <c r="V50" s="503"/>
      <c r="W50" s="503"/>
      <c r="X50" s="503"/>
      <c r="Y50" s="503"/>
      <c r="Z50" s="503"/>
      <c r="AA50" s="494"/>
      <c r="AB50" s="494"/>
      <c r="AC50" s="494"/>
      <c r="AD50" s="957"/>
      <c r="AE50" s="957"/>
      <c r="AF50" s="957"/>
      <c r="AG50" s="957"/>
      <c r="AH50" s="957"/>
      <c r="AI50" s="957"/>
      <c r="AJ50" s="957"/>
      <c r="AK50" s="957"/>
      <c r="AL50" s="957"/>
      <c r="AM50" s="957"/>
      <c r="AN50" s="957"/>
      <c r="AO50" s="957"/>
      <c r="AP50" s="957"/>
      <c r="AQ50" s="957"/>
      <c r="AR50" s="957"/>
      <c r="AS50" s="957"/>
      <c r="AT50" s="957"/>
      <c r="AU50" s="957"/>
      <c r="AV50" s="957"/>
      <c r="AW50" s="957"/>
      <c r="AX50" s="961"/>
      <c r="AY50" s="961"/>
      <c r="AZ50" s="961"/>
      <c r="BA50" s="502"/>
      <c r="BB50" s="469"/>
      <c r="BC50" s="828"/>
    </row>
    <row r="51" spans="1:55" s="41" customFormat="1" ht="12.95" customHeight="1">
      <c r="A51" s="828"/>
      <c r="B51" s="479"/>
      <c r="C51" s="646" t="s">
        <v>622</v>
      </c>
      <c r="D51" s="118"/>
      <c r="E51" s="118"/>
      <c r="F51" s="505"/>
      <c r="G51" s="505"/>
      <c r="H51" s="505"/>
      <c r="I51" s="505"/>
      <c r="J51" s="505"/>
      <c r="K51" s="505"/>
      <c r="L51" s="505"/>
      <c r="M51" s="505"/>
      <c r="N51" s="505"/>
      <c r="O51" s="505"/>
      <c r="P51" s="505"/>
      <c r="Q51" s="505"/>
      <c r="R51" s="505"/>
      <c r="S51" s="505"/>
      <c r="T51" s="505"/>
      <c r="U51" s="118"/>
      <c r="V51" s="118"/>
      <c r="W51" s="118"/>
      <c r="X51" s="118"/>
      <c r="Y51" s="118"/>
      <c r="Z51" s="118"/>
      <c r="AA51" s="118"/>
      <c r="AB51" s="118"/>
      <c r="AC51" s="118"/>
      <c r="AD51" s="957"/>
      <c r="AE51" s="957"/>
      <c r="AF51" s="957"/>
      <c r="AG51" s="957"/>
      <c r="AH51" s="957"/>
      <c r="AI51" s="957"/>
      <c r="AJ51" s="957"/>
      <c r="AK51" s="957"/>
      <c r="AL51" s="957"/>
      <c r="AM51" s="957"/>
      <c r="AN51" s="957"/>
      <c r="AO51" s="957"/>
      <c r="AP51" s="957"/>
      <c r="AQ51" s="957"/>
      <c r="AR51" s="957"/>
      <c r="AS51" s="957"/>
      <c r="AT51" s="957"/>
      <c r="AU51" s="957"/>
      <c r="AV51" s="957"/>
      <c r="AW51" s="957"/>
      <c r="AX51" s="961"/>
      <c r="AY51" s="961"/>
      <c r="AZ51" s="961"/>
      <c r="BA51" s="502"/>
      <c r="BB51" s="469"/>
      <c r="BC51" s="828"/>
    </row>
    <row r="52" spans="1:55" s="41" customFormat="1" ht="12.95" customHeight="1">
      <c r="A52" s="828"/>
      <c r="B52" s="479"/>
      <c r="C52" s="505"/>
      <c r="D52" s="505"/>
      <c r="E52" s="505"/>
      <c r="F52" s="505"/>
      <c r="G52" s="505"/>
      <c r="H52" s="505"/>
      <c r="I52" s="505"/>
      <c r="J52" s="505"/>
      <c r="K52" s="505"/>
      <c r="L52" s="505"/>
      <c r="M52" s="505"/>
      <c r="N52" s="505"/>
      <c r="O52" s="505"/>
      <c r="P52" s="505"/>
      <c r="Q52" s="505"/>
      <c r="R52" s="505"/>
      <c r="S52" s="505"/>
      <c r="T52" s="505"/>
      <c r="U52" s="118"/>
      <c r="V52" s="118"/>
      <c r="W52" s="118"/>
      <c r="X52" s="118"/>
      <c r="Y52" s="118"/>
      <c r="Z52" s="118"/>
      <c r="AA52" s="118"/>
      <c r="AB52" s="118"/>
      <c r="AC52" s="118"/>
      <c r="AD52" s="957"/>
      <c r="AE52" s="957"/>
      <c r="AF52" s="957"/>
      <c r="AG52" s="957"/>
      <c r="AH52" s="957"/>
      <c r="AI52" s="957"/>
      <c r="AJ52" s="957"/>
      <c r="AK52" s="957"/>
      <c r="AL52" s="957"/>
      <c r="AM52" s="957"/>
      <c r="AN52" s="957"/>
      <c r="AO52" s="957"/>
      <c r="AP52" s="957"/>
      <c r="AQ52" s="957"/>
      <c r="AR52" s="957"/>
      <c r="AS52" s="957"/>
      <c r="AT52" s="957"/>
      <c r="AU52" s="957"/>
      <c r="AV52" s="957"/>
      <c r="AW52" s="957"/>
      <c r="AX52" s="961"/>
      <c r="AY52" s="961"/>
      <c r="AZ52" s="961"/>
      <c r="BA52" s="118"/>
      <c r="BB52" s="469"/>
      <c r="BC52" s="828"/>
    </row>
    <row r="53" spans="1:55" s="41" customFormat="1" ht="12.95" customHeight="1" thickBot="1">
      <c r="A53" s="828"/>
      <c r="B53" s="480"/>
      <c r="C53" s="481"/>
      <c r="D53" s="481"/>
      <c r="E53" s="481"/>
      <c r="F53" s="481"/>
      <c r="G53" s="481"/>
      <c r="H53" s="481"/>
      <c r="I53" s="481"/>
      <c r="J53" s="481"/>
      <c r="K53" s="481"/>
      <c r="L53" s="481"/>
      <c r="M53" s="481"/>
      <c r="N53" s="481"/>
      <c r="O53" s="481"/>
      <c r="P53" s="481"/>
      <c r="Q53" s="481"/>
      <c r="R53" s="481"/>
      <c r="S53" s="481"/>
      <c r="T53" s="523" t="s">
        <v>623</v>
      </c>
      <c r="U53" s="482" t="s">
        <v>624</v>
      </c>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3"/>
      <c r="BC53" s="828"/>
    </row>
    <row r="54" spans="1:55" ht="13.5" thickTop="1">
      <c r="A54" s="828"/>
      <c r="B54" s="828"/>
      <c r="C54" s="828"/>
      <c r="D54" s="828"/>
      <c r="E54" s="828"/>
      <c r="F54" s="828"/>
      <c r="G54" s="828"/>
      <c r="H54" s="828"/>
      <c r="I54" s="828"/>
      <c r="J54" s="828"/>
      <c r="K54" s="828"/>
      <c r="L54" s="828"/>
      <c r="M54" s="828"/>
      <c r="N54" s="828"/>
      <c r="O54" s="828"/>
      <c r="P54" s="828"/>
      <c r="Q54" s="828"/>
      <c r="R54" s="828"/>
      <c r="S54" s="828"/>
      <c r="T54" s="828"/>
      <c r="U54" s="828"/>
      <c r="V54" s="828"/>
      <c r="W54" s="828"/>
      <c r="X54" s="828"/>
      <c r="Y54" s="828"/>
      <c r="Z54" s="828"/>
      <c r="AA54" s="828"/>
      <c r="AB54" s="828"/>
      <c r="AC54" s="828"/>
      <c r="AD54" s="828"/>
      <c r="AE54" s="828"/>
      <c r="AF54" s="828"/>
      <c r="AG54" s="828"/>
      <c r="AH54" s="828"/>
      <c r="AI54" s="828"/>
      <c r="AJ54" s="828"/>
      <c r="AK54" s="828"/>
      <c r="AL54" s="828"/>
      <c r="AM54" s="828"/>
      <c r="AN54" s="828"/>
      <c r="AO54" s="828"/>
      <c r="AP54" s="828"/>
      <c r="AQ54" s="828"/>
      <c r="AR54" s="828"/>
      <c r="AS54" s="828"/>
      <c r="AT54" s="828"/>
      <c r="AU54" s="828"/>
      <c r="AV54" s="828"/>
      <c r="AW54" s="828"/>
      <c r="AX54" s="828"/>
      <c r="AY54" s="828"/>
      <c r="AZ54" s="828"/>
      <c r="BA54" s="828"/>
      <c r="BB54" s="828"/>
      <c r="BC54" s="828"/>
    </row>
    <row r="56" spans="1:55" hidden="1">
      <c r="A56" s="188"/>
      <c r="B56" s="188"/>
      <c r="C56" s="188"/>
      <c r="D56" s="188"/>
      <c r="E56" s="188"/>
      <c r="F56" s="188"/>
      <c r="G56" s="188"/>
      <c r="H56" s="188"/>
      <c r="I56" s="188"/>
      <c r="J56" s="188"/>
      <c r="K56" s="188"/>
      <c r="L56" s="188"/>
      <c r="M56" s="188"/>
      <c r="N56" s="188"/>
      <c r="O56" s="188"/>
      <c r="P56" s="188"/>
      <c r="Q56" s="188"/>
      <c r="R56" s="188"/>
      <c r="S56" s="188"/>
      <c r="T56" s="188"/>
      <c r="U56" s="188"/>
      <c r="V56" s="188" t="s">
        <v>625</v>
      </c>
      <c r="W56" s="188"/>
      <c r="X56" s="188"/>
      <c r="Y56" s="188"/>
      <c r="Z56" s="188"/>
      <c r="AA56" s="188"/>
      <c r="AB56" s="188"/>
      <c r="AC56" s="188"/>
      <c r="AD56" s="188" t="s">
        <v>625</v>
      </c>
      <c r="AE56" s="188"/>
      <c r="AF56" s="188"/>
      <c r="AG56" s="188"/>
      <c r="AH56" s="188"/>
      <c r="AI56" s="118" t="s">
        <v>626</v>
      </c>
      <c r="AJ56" s="188"/>
      <c r="AK56" s="188"/>
      <c r="AL56" s="188"/>
      <c r="AM56" s="188"/>
      <c r="AN56" s="188"/>
      <c r="AO56" s="188"/>
      <c r="AP56" s="188"/>
      <c r="AQ56" s="188"/>
      <c r="AR56" s="188"/>
      <c r="AS56" s="188"/>
      <c r="AT56" s="188"/>
      <c r="AU56" s="188"/>
      <c r="AV56" s="188"/>
      <c r="AW56" s="188"/>
      <c r="AX56" s="188"/>
      <c r="AY56" s="188"/>
      <c r="AZ56" s="188"/>
      <c r="BA56" s="188"/>
      <c r="BB56" s="188"/>
      <c r="BC56" s="188"/>
    </row>
    <row r="57" spans="1:55" hidden="1">
      <c r="A57" s="188"/>
      <c r="B57" s="188"/>
      <c r="C57" s="188"/>
      <c r="D57" s="188"/>
      <c r="E57" s="188"/>
      <c r="F57" s="188"/>
      <c r="G57" s="188"/>
      <c r="H57" s="188"/>
      <c r="I57" s="188"/>
      <c r="J57" s="188"/>
      <c r="K57" s="188"/>
      <c r="L57" s="188"/>
      <c r="M57" s="188"/>
      <c r="N57" s="188"/>
      <c r="O57" s="188"/>
      <c r="P57" s="188"/>
      <c r="Q57" s="188"/>
      <c r="R57" s="188"/>
      <c r="S57" s="188"/>
      <c r="T57" s="188"/>
      <c r="U57" s="188"/>
      <c r="V57" s="188" t="s">
        <v>566</v>
      </c>
      <c r="W57" s="188"/>
      <c r="X57" s="188"/>
      <c r="Y57" s="188"/>
      <c r="Z57" s="188"/>
      <c r="AA57" s="188"/>
      <c r="AB57" s="188"/>
      <c r="AC57" s="188"/>
      <c r="AD57" s="188" t="s">
        <v>572</v>
      </c>
      <c r="AE57" s="188"/>
      <c r="AF57" s="188"/>
      <c r="AG57" s="188"/>
      <c r="AH57" s="188"/>
      <c r="AI57" s="118" t="s">
        <v>627</v>
      </c>
      <c r="AJ57" s="188"/>
      <c r="AK57" s="188"/>
      <c r="AL57" s="188"/>
      <c r="AM57" s="188"/>
      <c r="AN57" s="188"/>
      <c r="AO57" s="188"/>
      <c r="AP57" s="188"/>
      <c r="AQ57" s="188"/>
      <c r="AR57" s="188"/>
      <c r="AS57" s="188"/>
      <c r="AT57" s="188"/>
      <c r="AU57" s="188"/>
      <c r="AV57" s="188"/>
      <c r="AW57" s="188"/>
      <c r="AX57" s="188"/>
      <c r="AY57" s="188"/>
      <c r="AZ57" s="188"/>
      <c r="BA57" s="188"/>
      <c r="BB57" s="188"/>
      <c r="BC57" s="188"/>
    </row>
    <row r="58" spans="1:55" hidden="1">
      <c r="A58" s="188"/>
      <c r="B58" s="188"/>
      <c r="C58" s="188"/>
      <c r="D58" s="188"/>
      <c r="E58" s="188"/>
      <c r="F58" s="188"/>
      <c r="G58" s="188"/>
      <c r="H58" s="188"/>
      <c r="I58" s="188"/>
      <c r="J58" s="188"/>
      <c r="K58" s="188"/>
      <c r="L58" s="188"/>
      <c r="M58" s="188"/>
      <c r="N58" s="188"/>
      <c r="O58" s="188"/>
      <c r="P58" s="188"/>
      <c r="Q58" s="188"/>
      <c r="R58" s="188"/>
      <c r="S58" s="188"/>
      <c r="T58" s="188"/>
      <c r="U58" s="188"/>
      <c r="V58" s="188" t="s">
        <v>628</v>
      </c>
      <c r="W58" s="188"/>
      <c r="X58" s="188"/>
      <c r="Y58" s="188"/>
      <c r="Z58" s="188"/>
      <c r="AA58" s="188"/>
      <c r="AB58" s="188"/>
      <c r="AC58" s="188"/>
      <c r="AD58" s="188" t="s">
        <v>629</v>
      </c>
      <c r="AE58" s="188"/>
      <c r="AF58" s="188"/>
      <c r="AG58" s="188"/>
      <c r="AH58" s="188"/>
      <c r="AI58" s="118" t="s">
        <v>630</v>
      </c>
      <c r="AJ58" s="188"/>
      <c r="AK58" s="188"/>
      <c r="AL58" s="188"/>
      <c r="AM58" s="188"/>
      <c r="AN58" s="188"/>
      <c r="AO58" s="188"/>
      <c r="AP58" s="188"/>
      <c r="AQ58" s="188"/>
      <c r="AR58" s="188"/>
      <c r="AS58" s="188"/>
      <c r="AT58" s="188"/>
      <c r="AU58" s="188"/>
      <c r="AV58" s="188"/>
      <c r="AW58" s="188"/>
      <c r="AX58" s="188"/>
      <c r="AY58" s="188"/>
      <c r="AZ58" s="188"/>
      <c r="BA58" s="188"/>
      <c r="BB58" s="188"/>
      <c r="BC58" s="188"/>
    </row>
    <row r="59" spans="1:55" hidden="1">
      <c r="A59" s="188"/>
      <c r="B59" s="188"/>
      <c r="C59" s="188"/>
      <c r="D59" s="188"/>
      <c r="E59" s="188"/>
      <c r="F59" s="188"/>
      <c r="G59" s="188"/>
      <c r="H59" s="188"/>
      <c r="I59" s="188"/>
      <c r="J59" s="188"/>
      <c r="K59" s="188"/>
      <c r="L59" s="188"/>
      <c r="M59" s="188"/>
      <c r="N59" s="188"/>
      <c r="O59" s="188"/>
      <c r="P59" s="188"/>
      <c r="Q59" s="188"/>
      <c r="R59" s="188"/>
      <c r="S59" s="188"/>
      <c r="T59" s="188"/>
      <c r="U59" s="188"/>
      <c r="V59" s="188" t="s">
        <v>631</v>
      </c>
      <c r="W59" s="188"/>
      <c r="X59" s="188"/>
      <c r="Y59" s="188"/>
      <c r="Z59" s="188"/>
      <c r="AA59" s="188"/>
      <c r="AB59" s="188"/>
      <c r="AC59" s="188"/>
      <c r="AD59" s="188" t="s">
        <v>632</v>
      </c>
      <c r="AE59" s="188"/>
      <c r="AF59" s="188"/>
      <c r="AG59" s="188"/>
      <c r="AH59" s="188"/>
      <c r="AI59" s="188" t="s">
        <v>633</v>
      </c>
      <c r="AJ59" s="188"/>
      <c r="AK59" s="188"/>
      <c r="AL59" s="188"/>
      <c r="AM59" s="188"/>
      <c r="AN59" s="188"/>
      <c r="AO59" s="188"/>
      <c r="AP59" s="188"/>
      <c r="AQ59" s="188"/>
      <c r="AR59" s="188"/>
      <c r="AS59" s="188"/>
      <c r="AT59" s="188"/>
      <c r="AU59" s="188"/>
      <c r="AV59" s="188"/>
      <c r="AW59" s="188"/>
      <c r="AX59" s="188"/>
      <c r="AY59" s="188"/>
      <c r="AZ59" s="188"/>
      <c r="BA59" s="188"/>
      <c r="BB59" s="188"/>
      <c r="BC59" s="188"/>
    </row>
    <row r="60" spans="1:55" hidden="1">
      <c r="A60" s="188"/>
      <c r="B60" s="188"/>
      <c r="C60" s="188"/>
      <c r="D60" s="188"/>
      <c r="E60" s="188"/>
      <c r="F60" s="188"/>
      <c r="G60" s="188"/>
      <c r="H60" s="188"/>
      <c r="I60" s="188"/>
      <c r="J60" s="188"/>
      <c r="K60" s="188"/>
      <c r="L60" s="188"/>
      <c r="M60" s="188"/>
      <c r="N60" s="188"/>
      <c r="O60" s="188"/>
      <c r="P60" s="188"/>
      <c r="Q60" s="188"/>
      <c r="R60" s="188"/>
      <c r="S60" s="188"/>
      <c r="T60" s="188"/>
      <c r="U60" s="188"/>
      <c r="V60" s="188" t="s">
        <v>634</v>
      </c>
      <c r="W60" s="188"/>
      <c r="X60" s="188"/>
      <c r="Y60" s="188"/>
      <c r="Z60" s="188"/>
      <c r="AA60" s="188"/>
      <c r="AB60" s="188"/>
      <c r="AC60" s="188"/>
      <c r="AD60" s="188" t="s">
        <v>634</v>
      </c>
      <c r="AE60" s="188"/>
      <c r="AF60" s="188"/>
      <c r="AG60" s="188"/>
      <c r="AH60" s="188"/>
      <c r="AI60" s="188" t="s">
        <v>635</v>
      </c>
      <c r="AJ60" s="188"/>
      <c r="AK60" s="188"/>
      <c r="AL60" s="188"/>
      <c r="AM60" s="188"/>
      <c r="AN60" s="188"/>
      <c r="AO60" s="188"/>
      <c r="AP60" s="188"/>
      <c r="AQ60" s="188"/>
      <c r="AR60" s="188"/>
      <c r="AS60" s="188"/>
      <c r="AT60" s="188"/>
      <c r="AU60" s="188"/>
      <c r="AV60" s="188"/>
      <c r="AW60" s="188"/>
      <c r="AX60" s="188"/>
      <c r="AY60" s="188"/>
      <c r="AZ60" s="188"/>
      <c r="BA60" s="188"/>
      <c r="BB60" s="188"/>
      <c r="BC60" s="188"/>
    </row>
    <row r="61" spans="1:55" hidden="1">
      <c r="A61" s="188"/>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18" t="s">
        <v>636</v>
      </c>
      <c r="AJ61" s="188"/>
      <c r="AK61" s="188"/>
      <c r="AL61" s="188"/>
      <c r="AM61" s="188"/>
      <c r="AN61" s="188"/>
      <c r="AO61" s="188"/>
      <c r="AP61" s="188"/>
      <c r="AQ61" s="188"/>
      <c r="AR61" s="188"/>
      <c r="AS61" s="188"/>
      <c r="AT61" s="188"/>
      <c r="AU61" s="188"/>
      <c r="AV61" s="188"/>
      <c r="AW61" s="188"/>
      <c r="AX61" s="188"/>
      <c r="AY61" s="188"/>
      <c r="AZ61" s="188"/>
      <c r="BA61" s="188"/>
      <c r="BB61" s="188"/>
      <c r="BC61" s="188"/>
    </row>
    <row r="62" spans="1:55" hidden="1">
      <c r="A62" s="188"/>
      <c r="B62" s="188"/>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18" t="s">
        <v>637</v>
      </c>
      <c r="AJ62" s="188"/>
      <c r="AK62" s="188"/>
      <c r="AL62" s="188"/>
      <c r="AM62" s="188"/>
      <c r="AN62" s="188"/>
      <c r="AO62" s="188"/>
      <c r="AP62" s="188"/>
      <c r="AQ62" s="188"/>
      <c r="AR62" s="188"/>
      <c r="AS62" s="188"/>
      <c r="AT62" s="188"/>
      <c r="AU62" s="188"/>
      <c r="AV62" s="188"/>
      <c r="AW62" s="188"/>
      <c r="AX62" s="188"/>
      <c r="AY62" s="188"/>
      <c r="AZ62" s="188"/>
      <c r="BA62" s="188"/>
      <c r="BB62" s="188"/>
      <c r="BC62" s="188"/>
    </row>
    <row r="63" spans="1:55" hidden="1">
      <c r="A63" s="188"/>
      <c r="B63" s="188"/>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t="s">
        <v>638</v>
      </c>
      <c r="AJ63" s="188"/>
      <c r="AK63" s="188"/>
      <c r="AL63" s="188"/>
      <c r="AM63" s="188"/>
      <c r="AN63" s="188"/>
      <c r="AO63" s="188"/>
      <c r="AP63" s="188"/>
      <c r="AQ63" s="188"/>
      <c r="AR63" s="188"/>
      <c r="AS63" s="188"/>
      <c r="AT63" s="188"/>
      <c r="AU63" s="188"/>
      <c r="AV63" s="188"/>
      <c r="AW63" s="188"/>
      <c r="AX63" s="188"/>
      <c r="AY63" s="188"/>
      <c r="AZ63" s="188"/>
      <c r="BA63" s="188"/>
      <c r="BB63" s="188"/>
      <c r="BC63" s="188"/>
    </row>
    <row r="64" spans="1:55" hidden="1">
      <c r="A64" s="188"/>
      <c r="B64" s="188"/>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18" t="s">
        <v>639</v>
      </c>
      <c r="AJ64" s="188"/>
      <c r="AK64" s="188"/>
      <c r="AL64" s="188"/>
      <c r="AM64" s="188"/>
      <c r="AN64" s="188"/>
      <c r="AO64" s="188"/>
      <c r="AP64" s="188"/>
      <c r="AQ64" s="188"/>
      <c r="AR64" s="188"/>
      <c r="AS64" s="188"/>
      <c r="AT64" s="188"/>
      <c r="AU64" s="188"/>
      <c r="AV64" s="188"/>
      <c r="AW64" s="188"/>
      <c r="AX64" s="188"/>
      <c r="AY64" s="188"/>
      <c r="AZ64" s="188"/>
      <c r="BA64" s="188"/>
      <c r="BB64" s="188"/>
      <c r="BC64" s="188"/>
    </row>
    <row r="65" spans="35:35" hidden="1">
      <c r="AI65" s="118" t="s">
        <v>640</v>
      </c>
    </row>
    <row r="66" spans="35:35" hidden="1">
      <c r="AI66" s="188" t="s">
        <v>641</v>
      </c>
    </row>
    <row r="67" spans="35:35" hidden="1">
      <c r="AI67" s="118" t="s">
        <v>642</v>
      </c>
    </row>
    <row r="68" spans="35:35" hidden="1">
      <c r="AI68" s="118" t="s">
        <v>643</v>
      </c>
    </row>
    <row r="69" spans="35:35" hidden="1">
      <c r="AI69" s="118" t="s">
        <v>644</v>
      </c>
    </row>
    <row r="70" spans="35:35" hidden="1">
      <c r="AI70" s="118" t="s">
        <v>645</v>
      </c>
    </row>
    <row r="71" spans="35:35" hidden="1">
      <c r="AI71" s="118" t="s">
        <v>646</v>
      </c>
    </row>
    <row r="72" spans="35:35" hidden="1">
      <c r="AI72" s="188" t="s">
        <v>647</v>
      </c>
    </row>
    <row r="73" spans="35:35" hidden="1">
      <c r="AI73" s="118" t="s">
        <v>648</v>
      </c>
    </row>
    <row r="74" spans="35:35" hidden="1">
      <c r="AI74" s="118" t="s">
        <v>649</v>
      </c>
    </row>
    <row r="75" spans="35:35" hidden="1">
      <c r="AI75" s="118" t="s">
        <v>650</v>
      </c>
    </row>
    <row r="76" spans="35:35" hidden="1">
      <c r="AI76" s="118" t="s">
        <v>651</v>
      </c>
    </row>
    <row r="77" spans="35:35" hidden="1">
      <c r="AI77" s="188" t="s">
        <v>652</v>
      </c>
    </row>
    <row r="78" spans="35:35" hidden="1">
      <c r="AI78" s="118" t="s">
        <v>653</v>
      </c>
    </row>
    <row r="79" spans="35:35" hidden="1">
      <c r="AI79" s="118" t="s">
        <v>654</v>
      </c>
    </row>
    <row r="80" spans="35:35" hidden="1">
      <c r="AI80" s="118" t="s">
        <v>655</v>
      </c>
    </row>
    <row r="81" spans="35:35" hidden="1">
      <c r="AI81" s="188" t="s">
        <v>656</v>
      </c>
    </row>
    <row r="82" spans="35:35" hidden="1">
      <c r="AI82" s="118" t="s">
        <v>657</v>
      </c>
    </row>
    <row r="83" spans="35:35" hidden="1">
      <c r="AI83" s="118" t="s">
        <v>658</v>
      </c>
    </row>
    <row r="84" spans="35:35" hidden="1">
      <c r="AI84" s="188" t="s">
        <v>659</v>
      </c>
    </row>
    <row r="85" spans="35:35" hidden="1">
      <c r="AI85" s="118" t="s">
        <v>660</v>
      </c>
    </row>
    <row r="86" spans="35:35" hidden="1">
      <c r="AI86" s="118" t="s">
        <v>661</v>
      </c>
    </row>
    <row r="87" spans="35:35" hidden="1">
      <c r="AI87" s="118" t="s">
        <v>662</v>
      </c>
    </row>
    <row r="88" spans="35:35" hidden="1">
      <c r="AI88" s="118" t="s">
        <v>663</v>
      </c>
    </row>
    <row r="89" spans="35:35" hidden="1">
      <c r="AI89" s="118" t="s">
        <v>664</v>
      </c>
    </row>
    <row r="90" spans="35:35" hidden="1">
      <c r="AI90" s="118" t="s">
        <v>665</v>
      </c>
    </row>
    <row r="91" spans="35:35" hidden="1">
      <c r="AI91" s="118" t="s">
        <v>666</v>
      </c>
    </row>
    <row r="92" spans="35:35" hidden="1">
      <c r="AI92" s="118" t="s">
        <v>667</v>
      </c>
    </row>
    <row r="93" spans="35:35" hidden="1">
      <c r="AI93" s="118" t="s">
        <v>668</v>
      </c>
    </row>
    <row r="94" spans="35:35" hidden="1">
      <c r="AI94" s="188" t="s">
        <v>669</v>
      </c>
    </row>
    <row r="95" spans="35:35" hidden="1">
      <c r="AI95" s="118" t="s">
        <v>670</v>
      </c>
    </row>
    <row r="96" spans="35:35" hidden="1">
      <c r="AI96" s="118" t="s">
        <v>671</v>
      </c>
    </row>
    <row r="97" spans="35:35" hidden="1">
      <c r="AI97" s="118" t="s">
        <v>672</v>
      </c>
    </row>
    <row r="98" spans="35:35" hidden="1">
      <c r="AI98" s="118" t="s">
        <v>673</v>
      </c>
    </row>
    <row r="99" spans="35:35" hidden="1">
      <c r="AI99" s="188" t="s">
        <v>674</v>
      </c>
    </row>
    <row r="100" spans="35:35" hidden="1">
      <c r="AI100" s="118" t="s">
        <v>675</v>
      </c>
    </row>
    <row r="101" spans="35:35" hidden="1">
      <c r="AI101" s="118" t="s">
        <v>676</v>
      </c>
    </row>
    <row r="102" spans="35:35" hidden="1">
      <c r="AI102" s="188" t="s">
        <v>677</v>
      </c>
    </row>
    <row r="103" spans="35:35" hidden="1">
      <c r="AI103" s="188" t="s">
        <v>678</v>
      </c>
    </row>
    <row r="104" spans="35:35" hidden="1">
      <c r="AI104" s="188" t="s">
        <v>679</v>
      </c>
    </row>
    <row r="105" spans="35:35" hidden="1">
      <c r="AI105" s="118" t="s">
        <v>680</v>
      </c>
    </row>
    <row r="106" spans="35:35" hidden="1">
      <c r="AI106" s="118" t="s">
        <v>681</v>
      </c>
    </row>
    <row r="107" spans="35:35" hidden="1">
      <c r="AI107" s="188" t="s">
        <v>682</v>
      </c>
    </row>
    <row r="108" spans="35:35" hidden="1">
      <c r="AI108" s="118" t="s">
        <v>683</v>
      </c>
    </row>
    <row r="109" spans="35:35" hidden="1">
      <c r="AI109" s="118" t="s">
        <v>535</v>
      </c>
    </row>
    <row r="110" spans="35:35" hidden="1">
      <c r="AI110" s="188" t="s">
        <v>684</v>
      </c>
    </row>
    <row r="111" spans="35:35" hidden="1">
      <c r="AI111" s="188" t="s">
        <v>685</v>
      </c>
    </row>
    <row r="112" spans="35:35" hidden="1">
      <c r="AI112" s="188" t="s">
        <v>686</v>
      </c>
    </row>
    <row r="113" spans="35:35" hidden="1">
      <c r="AI113" s="118" t="s">
        <v>687</v>
      </c>
    </row>
    <row r="114" spans="35:35" hidden="1">
      <c r="AI114" s="188" t="s">
        <v>688</v>
      </c>
    </row>
    <row r="115" spans="35:35" hidden="1">
      <c r="AI115" s="118" t="s">
        <v>689</v>
      </c>
    </row>
    <row r="116" spans="35:35" hidden="1">
      <c r="AI116" s="118" t="s">
        <v>690</v>
      </c>
    </row>
    <row r="117" spans="35:35" hidden="1">
      <c r="AI117" s="118" t="s">
        <v>691</v>
      </c>
    </row>
    <row r="118" spans="35:35" hidden="1">
      <c r="AI118" s="118" t="s">
        <v>692</v>
      </c>
    </row>
    <row r="119" spans="35:35" hidden="1">
      <c r="AI119" s="118" t="s">
        <v>693</v>
      </c>
    </row>
    <row r="120" spans="35:35" hidden="1">
      <c r="AI120" s="118" t="s">
        <v>694</v>
      </c>
    </row>
    <row r="121" spans="35:35" hidden="1">
      <c r="AI121" s="118" t="s">
        <v>695</v>
      </c>
    </row>
    <row r="122" spans="35:35" hidden="1">
      <c r="AI122" s="118" t="s">
        <v>696</v>
      </c>
    </row>
    <row r="123" spans="35:35" hidden="1">
      <c r="AI123" s="118" t="s">
        <v>697</v>
      </c>
    </row>
    <row r="124" spans="35:35" hidden="1">
      <c r="AI124" s="188" t="s">
        <v>698</v>
      </c>
    </row>
    <row r="125" spans="35:35" hidden="1">
      <c r="AI125" s="118" t="s">
        <v>699</v>
      </c>
    </row>
    <row r="126" spans="35:35" hidden="1">
      <c r="AI126" s="188" t="s">
        <v>700</v>
      </c>
    </row>
    <row r="127" spans="35:35" hidden="1">
      <c r="AI127" s="188" t="s">
        <v>701</v>
      </c>
    </row>
    <row r="128" spans="35:35" hidden="1">
      <c r="AI128" s="188" t="s">
        <v>702</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tabSelected="1" zoomScale="110" zoomScaleNormal="110" workbookViewId="0">
      <pane ySplit="9" topLeftCell="A12" activePane="bottomLeft" state="frozen"/>
      <selection pane="bottomLeft" activeCell="J72" sqref="J72"/>
    </sheetView>
  </sheetViews>
  <sheetFormatPr defaultColWidth="1.140625" defaultRowHeight="12.75" zeroHeight="1"/>
  <cols>
    <col min="1" max="1" width="1.140625" style="41" customWidth="1"/>
    <col min="2" max="2" width="8.28515625" style="453" customWidth="1"/>
    <col min="3" max="3" width="46.140625" style="41" customWidth="1"/>
    <col min="4" max="4" width="3.140625" style="41" customWidth="1"/>
    <col min="5" max="5" width="3.140625" style="411" customWidth="1"/>
    <col min="6" max="6" width="3.5703125" style="43" customWidth="1"/>
    <col min="7" max="7" width="0.5703125" style="41" customWidth="1"/>
    <col min="8" max="8" width="16.140625" style="41" customWidth="1"/>
    <col min="9" max="9" width="0.5703125" style="41" customWidth="1"/>
    <col min="10" max="10" width="12.42578125" style="41" customWidth="1"/>
    <col min="11" max="12" width="3.140625" style="41" customWidth="1"/>
    <col min="13" max="13" width="3.5703125" style="41" customWidth="1"/>
    <col min="14" max="14" width="0.5703125" style="41" customWidth="1"/>
    <col min="15" max="15" width="7.140625" style="41" customWidth="1"/>
    <col min="16" max="16" width="9" style="41" customWidth="1"/>
    <col min="17" max="17" width="8" style="41" customWidth="1"/>
    <col min="18" max="18" width="5.5703125" style="41" customWidth="1"/>
    <col min="19" max="19" width="11.7109375" style="41" customWidth="1"/>
    <col min="20" max="20" width="15.5703125" style="41" customWidth="1"/>
    <col min="21" max="21" width="7.85546875" style="160" customWidth="1"/>
    <col min="22" max="22" width="1.42578125" style="41" customWidth="1"/>
    <col min="23" max="23" width="6.5703125" style="41" hidden="1" customWidth="1"/>
    <col min="24" max="24" width="11.5703125" style="41" hidden="1" customWidth="1"/>
    <col min="25" max="25" width="12.140625" style="41" hidden="1" customWidth="1"/>
    <col min="26" max="26" width="15.140625" style="41" hidden="1" customWidth="1"/>
    <col min="27" max="27" width="10.140625" style="41" hidden="1" customWidth="1"/>
    <col min="28" max="28" width="8.85546875" style="186" hidden="1" customWidth="1"/>
    <col min="29" max="29" width="10.85546875" style="186" hidden="1" customWidth="1"/>
    <col min="30" max="30" width="11.42578125" style="186" hidden="1" customWidth="1"/>
    <col min="31" max="31" width="10.42578125" style="186" hidden="1" customWidth="1"/>
    <col min="32" max="40" width="8.85546875" style="41" hidden="1" customWidth="1"/>
    <col min="41" max="260" width="8.85546875" style="41" customWidth="1"/>
    <col min="261" max="16384" width="1.140625" style="41"/>
  </cols>
  <sheetData>
    <row r="1" spans="1:33" s="42" customFormat="1" ht="6.75" customHeight="1" thickBot="1">
      <c r="A1" s="828"/>
      <c r="B1" s="446"/>
      <c r="C1" s="828"/>
      <c r="D1" s="828"/>
      <c r="E1" s="404"/>
      <c r="F1" s="831"/>
      <c r="G1" s="828"/>
      <c r="H1" s="828"/>
      <c r="I1" s="828"/>
      <c r="J1" s="828"/>
      <c r="K1" s="828"/>
      <c r="L1" s="828"/>
      <c r="M1" s="828"/>
      <c r="N1" s="828"/>
      <c r="O1" s="828"/>
      <c r="P1" s="828"/>
      <c r="Q1" s="828"/>
      <c r="R1" s="828"/>
      <c r="S1" s="828"/>
      <c r="T1" s="828"/>
      <c r="U1" s="157"/>
      <c r="V1" s="828"/>
      <c r="W1" s="188"/>
      <c r="X1" s="188"/>
      <c r="Y1" s="188"/>
      <c r="Z1" s="188"/>
      <c r="AA1" s="188"/>
      <c r="AB1" s="832"/>
      <c r="AC1" s="832"/>
      <c r="AD1" s="832"/>
      <c r="AE1" s="832"/>
      <c r="AF1" s="188"/>
      <c r="AG1" s="188"/>
    </row>
    <row r="2" spans="1:33" ht="42" customHeight="1" thickTop="1">
      <c r="A2" s="828"/>
      <c r="B2" s="989" t="s">
        <v>703</v>
      </c>
      <c r="C2" s="990"/>
      <c r="D2" s="990"/>
      <c r="E2" s="990"/>
      <c r="F2" s="990"/>
      <c r="G2" s="990"/>
      <c r="H2" s="990"/>
      <c r="I2" s="990"/>
      <c r="J2" s="990"/>
      <c r="K2" s="990"/>
      <c r="L2" s="990"/>
      <c r="M2" s="990"/>
      <c r="N2" s="990"/>
      <c r="O2" s="990"/>
      <c r="P2" s="990"/>
      <c r="Q2" s="990"/>
      <c r="R2" s="990"/>
      <c r="S2" s="990"/>
      <c r="T2" s="990"/>
      <c r="U2" s="991"/>
      <c r="V2" s="828"/>
      <c r="W2" s="118"/>
      <c r="X2" s="118"/>
      <c r="Y2" s="118"/>
      <c r="Z2" s="118"/>
      <c r="AA2" s="118"/>
      <c r="AB2" s="206"/>
      <c r="AC2" s="206"/>
      <c r="AD2" s="206"/>
      <c r="AE2" s="206"/>
      <c r="AF2" s="118"/>
      <c r="AG2" s="118"/>
    </row>
    <row r="3" spans="1:33" ht="8.25" customHeight="1">
      <c r="A3" s="828"/>
      <c r="B3" s="447"/>
      <c r="C3" s="197"/>
      <c r="D3" s="47"/>
      <c r="E3" s="405"/>
      <c r="F3" s="198"/>
      <c r="G3" s="47"/>
      <c r="H3" s="118"/>
      <c r="I3" s="118"/>
      <c r="J3" s="118"/>
      <c r="K3" s="118"/>
      <c r="L3" s="118"/>
      <c r="M3" s="118"/>
      <c r="N3" s="118"/>
      <c r="O3" s="118"/>
      <c r="P3" s="118"/>
      <c r="Q3" s="118"/>
      <c r="R3" s="118"/>
      <c r="S3" s="118"/>
      <c r="T3" s="118"/>
      <c r="U3" s="199"/>
      <c r="V3" s="828"/>
      <c r="W3" s="118"/>
      <c r="X3" s="118"/>
      <c r="Y3" s="118"/>
      <c r="Z3" s="118"/>
      <c r="AA3" s="118"/>
      <c r="AB3" s="206"/>
      <c r="AC3" s="206"/>
      <c r="AD3" s="206"/>
      <c r="AE3" s="206"/>
      <c r="AF3" s="118"/>
      <c r="AG3" s="118"/>
    </row>
    <row r="4" spans="1:33">
      <c r="A4" s="828"/>
      <c r="B4" s="447"/>
      <c r="C4" s="200" t="s">
        <v>704</v>
      </c>
      <c r="D4" s="994" t="str">
        <f>IF(ISBLANK('Start Page'!AB9),"&lt;&lt; Please enter system details on the Start Page &gt;&gt;",'Start Page'!AB9&amp;IF(ISBLANK('Start Page'!AM28),"","  ("&amp;'Start Page'!AM28&amp;")"))</f>
        <v>PAW - 520 Yardley</v>
      </c>
      <c r="E4" s="995"/>
      <c r="F4" s="995"/>
      <c r="G4" s="995"/>
      <c r="H4" s="996"/>
      <c r="I4" s="996"/>
      <c r="J4" s="996"/>
      <c r="K4" s="996"/>
      <c r="L4" s="996"/>
      <c r="M4" s="996"/>
      <c r="N4" s="996"/>
      <c r="O4" s="996"/>
      <c r="P4" s="997"/>
      <c r="Q4" s="118"/>
      <c r="R4" s="118"/>
      <c r="S4" s="118"/>
      <c r="T4" s="118"/>
      <c r="U4" s="199"/>
      <c r="V4" s="828"/>
      <c r="W4" s="118"/>
      <c r="X4" s="118"/>
      <c r="Y4" s="118"/>
      <c r="Z4" s="118"/>
      <c r="AA4" s="118"/>
      <c r="AB4" s="206"/>
      <c r="AC4" s="206"/>
      <c r="AD4" s="206"/>
      <c r="AE4" s="206"/>
      <c r="AF4" s="118"/>
      <c r="AG4" s="118"/>
    </row>
    <row r="5" spans="1:33">
      <c r="A5" s="828"/>
      <c r="B5" s="447"/>
      <c r="C5" s="200" t="s">
        <v>705</v>
      </c>
      <c r="D5" s="1007">
        <f>IF(ISBLANK('Start Page'!AB18),"",'Start Page'!AB18)</f>
        <v>2023</v>
      </c>
      <c r="E5" s="1008"/>
      <c r="F5" s="1008"/>
      <c r="G5" s="1009"/>
      <c r="H5" s="1001" t="str">
        <f>IF(ISBLANK('Start Page'!AB20),"",TEXT('Start Page'!AB20,"mmm dd yyyy")&amp;" - "&amp;TEXT('Start Page'!AB21,"mmm dd yyyy"))</f>
        <v>Jan 01 2023 - Dec 31 2023</v>
      </c>
      <c r="I5" s="1002"/>
      <c r="J5" s="1003"/>
      <c r="K5" s="1005" t="str">
        <f>IF(ISBLANK('Start Page'!AB19),"",'Start Page'!AB19)</f>
        <v>Calendar</v>
      </c>
      <c r="L5" s="1002"/>
      <c r="M5" s="1002"/>
      <c r="N5" s="1002"/>
      <c r="O5" s="1002"/>
      <c r="P5" s="1006"/>
      <c r="Q5" s="118"/>
      <c r="R5" s="118"/>
      <c r="S5" s="118"/>
      <c r="T5" s="118"/>
      <c r="U5" s="199"/>
      <c r="V5" s="828"/>
      <c r="W5" s="118"/>
      <c r="X5" s="118"/>
      <c r="Y5" s="118"/>
      <c r="Z5" s="118"/>
      <c r="AA5" s="118"/>
      <c r="AB5" s="206"/>
      <c r="AC5" s="206"/>
      <c r="AD5" s="206"/>
      <c r="AE5" s="206"/>
      <c r="AF5" s="118"/>
      <c r="AG5" s="118"/>
    </row>
    <row r="6" spans="1:33" ht="3.75" customHeight="1">
      <c r="A6" s="828"/>
      <c r="B6" s="447"/>
      <c r="C6" s="201"/>
      <c r="D6" s="47"/>
      <c r="E6" s="405"/>
      <c r="F6" s="198"/>
      <c r="G6" s="47"/>
      <c r="H6" s="118"/>
      <c r="I6" s="118"/>
      <c r="J6" s="118"/>
      <c r="K6" s="118"/>
      <c r="L6" s="118"/>
      <c r="M6" s="118"/>
      <c r="N6" s="118"/>
      <c r="O6" s="118"/>
      <c r="P6" s="118"/>
      <c r="Q6" s="118"/>
      <c r="R6" s="118"/>
      <c r="S6" s="118"/>
      <c r="T6" s="118"/>
      <c r="U6" s="199"/>
      <c r="V6" s="828"/>
      <c r="W6" s="118"/>
      <c r="X6" s="118"/>
      <c r="Y6" s="118"/>
      <c r="Z6" s="118"/>
      <c r="AA6" s="118"/>
      <c r="AB6" s="206"/>
      <c r="AC6" s="206"/>
      <c r="AD6" s="206"/>
      <c r="AE6" s="206"/>
      <c r="AF6" s="118"/>
      <c r="AG6" s="118"/>
    </row>
    <row r="7" spans="1:33" ht="5.25" customHeight="1">
      <c r="A7" s="828"/>
      <c r="B7" s="447"/>
      <c r="C7" s="47"/>
      <c r="D7" s="47"/>
      <c r="E7" s="47"/>
      <c r="F7" s="47"/>
      <c r="G7" s="47"/>
      <c r="H7" s="47"/>
      <c r="I7" s="47"/>
      <c r="J7" s="47"/>
      <c r="K7" s="47"/>
      <c r="L7" s="47"/>
      <c r="M7" s="47"/>
      <c r="N7" s="47"/>
      <c r="O7" s="47"/>
      <c r="P7" s="47"/>
      <c r="Q7" s="47"/>
      <c r="R7" s="47"/>
      <c r="S7" s="47"/>
      <c r="T7" s="47"/>
      <c r="U7" s="199"/>
      <c r="V7" s="828"/>
      <c r="W7" s="118"/>
      <c r="X7" s="118"/>
      <c r="Y7" s="118"/>
      <c r="Z7" s="118"/>
      <c r="AA7" s="118"/>
      <c r="AB7" s="206"/>
      <c r="AC7" s="206"/>
      <c r="AD7" s="206"/>
      <c r="AE7" s="206"/>
      <c r="AF7" s="118"/>
      <c r="AG7" s="118"/>
    </row>
    <row r="8" spans="1:33" ht="12.75" customHeight="1">
      <c r="A8" s="828"/>
      <c r="B8" s="202"/>
      <c r="C8" s="47"/>
      <c r="D8" s="47"/>
      <c r="E8" s="47"/>
      <c r="F8" s="47"/>
      <c r="G8" s="47"/>
      <c r="H8" s="47"/>
      <c r="I8" s="47"/>
      <c r="J8" s="47"/>
      <c r="K8" s="47"/>
      <c r="L8" s="47"/>
      <c r="M8" s="47"/>
      <c r="N8" s="47"/>
      <c r="O8" s="47"/>
      <c r="P8" s="47"/>
      <c r="Q8" s="1028" t="s">
        <v>706</v>
      </c>
      <c r="R8" s="1029"/>
      <c r="S8" s="47"/>
      <c r="T8" s="47"/>
      <c r="U8" s="805"/>
      <c r="V8" s="828"/>
      <c r="W8" s="118"/>
      <c r="X8" s="118"/>
      <c r="Y8" s="118"/>
      <c r="Z8" s="118"/>
      <c r="AA8" s="118"/>
      <c r="AB8" s="206"/>
      <c r="AC8" s="206"/>
      <c r="AD8" s="206"/>
      <c r="AE8" s="206"/>
      <c r="AF8" s="118"/>
      <c r="AG8" s="118"/>
    </row>
    <row r="9" spans="1:33" ht="20.85" customHeight="1">
      <c r="A9" s="828"/>
      <c r="B9" s="202"/>
      <c r="C9" s="205"/>
      <c r="D9" s="47"/>
      <c r="E9" s="47"/>
      <c r="F9" s="47"/>
      <c r="G9" s="47"/>
      <c r="H9" s="118" t="str">
        <f>IF(ISBLANK('Start Page'!AB22),"PLEASE CHOOSE REPORTING UNITS FROM THE START PAGE BEFORE ENTERING DATA","All volumes to be entered as: "&amp;UPPER('Start Page'!$AB$22)&amp;" PER YEAR")</f>
        <v>All volumes to be entered as: MILLION GALLONS (US) PER YEAR</v>
      </c>
      <c r="I9" s="47"/>
      <c r="J9" s="47"/>
      <c r="K9" s="47"/>
      <c r="L9" s="47"/>
      <c r="M9" s="47"/>
      <c r="N9" s="47"/>
      <c r="O9" s="47"/>
      <c r="P9" s="47"/>
      <c r="Q9" s="47"/>
      <c r="R9" s="47"/>
      <c r="S9" s="47"/>
      <c r="T9" s="47"/>
      <c r="U9" s="1000"/>
      <c r="V9" s="828"/>
      <c r="W9" s="118"/>
      <c r="X9" s="118"/>
      <c r="Y9" s="118"/>
      <c r="Z9" s="118"/>
      <c r="AA9" s="118"/>
      <c r="AB9" s="206"/>
      <c r="AC9" s="206"/>
      <c r="AD9" s="206"/>
      <c r="AE9" s="206"/>
      <c r="AF9" s="118"/>
      <c r="AG9" s="118"/>
    </row>
    <row r="10" spans="1:33" ht="3" hidden="1" customHeight="1">
      <c r="A10" s="828"/>
      <c r="B10" s="202"/>
      <c r="C10" s="118"/>
      <c r="D10" s="47"/>
      <c r="E10" s="405"/>
      <c r="F10" s="198"/>
      <c r="G10" s="47"/>
      <c r="H10" s="118"/>
      <c r="I10" s="118"/>
      <c r="J10" s="118"/>
      <c r="K10" s="118"/>
      <c r="L10" s="118"/>
      <c r="M10" s="118"/>
      <c r="N10" s="118"/>
      <c r="O10" s="118"/>
      <c r="P10" s="118"/>
      <c r="Q10" s="118"/>
      <c r="R10" s="118"/>
      <c r="S10" s="388"/>
      <c r="T10" s="388"/>
      <c r="U10" s="1000"/>
      <c r="V10" s="828"/>
      <c r="W10" s="118"/>
      <c r="X10" s="118"/>
      <c r="Y10" s="118"/>
      <c r="Z10" s="118"/>
      <c r="AA10" s="118"/>
      <c r="AB10" s="206"/>
      <c r="AC10" s="206"/>
      <c r="AD10" s="206"/>
      <c r="AE10" s="206"/>
      <c r="AF10" s="118"/>
      <c r="AG10" s="118"/>
    </row>
    <row r="11" spans="1:33" ht="3" hidden="1" customHeight="1">
      <c r="A11" s="828"/>
      <c r="B11" s="202"/>
      <c r="C11" s="118"/>
      <c r="D11" s="47"/>
      <c r="E11" s="405"/>
      <c r="F11" s="198"/>
      <c r="G11" s="47"/>
      <c r="H11" s="118"/>
      <c r="I11" s="118"/>
      <c r="J11" s="118"/>
      <c r="K11" s="118"/>
      <c r="L11" s="118"/>
      <c r="M11" s="118"/>
      <c r="N11" s="118"/>
      <c r="O11" s="118"/>
      <c r="P11" s="118"/>
      <c r="Q11" s="118"/>
      <c r="R11" s="118"/>
      <c r="S11" s="388"/>
      <c r="T11" s="388"/>
      <c r="U11" s="1000"/>
      <c r="V11" s="828"/>
      <c r="W11" s="118"/>
      <c r="X11" s="118"/>
      <c r="Y11" s="118"/>
      <c r="Z11" s="118"/>
      <c r="AA11" s="118"/>
      <c r="AB11" s="206"/>
      <c r="AC11" s="206"/>
      <c r="AD11" s="206"/>
      <c r="AE11" s="206"/>
      <c r="AF11" s="118"/>
      <c r="AG11" s="118"/>
    </row>
    <row r="12" spans="1:33" ht="15.6" customHeight="1" thickBot="1">
      <c r="A12" s="828"/>
      <c r="B12" s="202"/>
      <c r="C12" s="439"/>
      <c r="D12" s="439"/>
      <c r="E12" s="406"/>
      <c r="F12" s="439"/>
      <c r="G12" s="439"/>
      <c r="H12" s="439"/>
      <c r="I12" s="439"/>
      <c r="J12" s="803"/>
      <c r="K12" s="1004" t="s">
        <v>707</v>
      </c>
      <c r="L12" s="1004"/>
      <c r="M12" s="1004"/>
      <c r="N12" s="1004"/>
      <c r="O12" s="1004"/>
      <c r="P12" s="1004"/>
      <c r="Q12" s="1004"/>
      <c r="R12" s="1004"/>
      <c r="S12" s="1004"/>
      <c r="T12" s="1004"/>
      <c r="U12" s="1000"/>
      <c r="V12" s="828"/>
      <c r="W12" s="118"/>
      <c r="X12" s="118"/>
      <c r="Y12" s="75" t="s">
        <v>708</v>
      </c>
      <c r="Z12" s="118"/>
      <c r="AA12" s="118"/>
      <c r="AB12" s="206" t="s">
        <v>709</v>
      </c>
      <c r="AC12" s="206" t="s">
        <v>710</v>
      </c>
      <c r="AD12" s="206" t="s">
        <v>711</v>
      </c>
      <c r="AE12" s="206" t="s">
        <v>712</v>
      </c>
      <c r="AF12" s="118"/>
      <c r="AG12" s="118"/>
    </row>
    <row r="13" spans="1:33">
      <c r="A13" s="828"/>
      <c r="B13" s="202"/>
      <c r="C13" s="47" t="s">
        <v>713</v>
      </c>
      <c r="D13" s="407"/>
      <c r="E13" s="407"/>
      <c r="F13" s="833"/>
      <c r="G13" s="833"/>
      <c r="H13" s="833"/>
      <c r="I13" s="833"/>
      <c r="J13" s="833"/>
      <c r="K13" s="701"/>
      <c r="L13" s="833"/>
      <c r="M13" s="833"/>
      <c r="N13" s="807"/>
      <c r="O13" s="205"/>
      <c r="P13" s="493" t="s">
        <v>599</v>
      </c>
      <c r="Q13" s="205"/>
      <c r="R13" s="205"/>
      <c r="S13" s="388"/>
      <c r="T13" s="388"/>
      <c r="U13" s="1000"/>
      <c r="V13" s="828"/>
      <c r="W13" s="111" t="s">
        <v>714</v>
      </c>
      <c r="X13" s="834"/>
      <c r="Y13" s="112" t="s">
        <v>715</v>
      </c>
      <c r="Z13" s="113" t="s">
        <v>716</v>
      </c>
      <c r="AA13" s="118" t="s">
        <v>717</v>
      </c>
      <c r="AB13" s="206" t="s">
        <v>718</v>
      </c>
      <c r="AC13" s="206" t="s">
        <v>719</v>
      </c>
      <c r="AD13" s="206" t="s">
        <v>720</v>
      </c>
      <c r="AE13" s="206" t="s">
        <v>720</v>
      </c>
      <c r="AF13" s="118"/>
      <c r="AG13" s="205" t="s">
        <v>721</v>
      </c>
    </row>
    <row r="14" spans="1:33" ht="7.9" customHeight="1">
      <c r="A14" s="828"/>
      <c r="B14" s="447"/>
      <c r="C14" s="47"/>
      <c r="D14" s="405"/>
      <c r="E14" s="405"/>
      <c r="F14" s="47"/>
      <c r="G14" s="47"/>
      <c r="H14" s="47"/>
      <c r="I14" s="47"/>
      <c r="J14" s="47"/>
      <c r="K14" s="702"/>
      <c r="L14" s="47"/>
      <c r="M14" s="47"/>
      <c r="N14" s="47"/>
      <c r="O14" s="205"/>
      <c r="P14" s="205"/>
      <c r="Q14" s="205"/>
      <c r="R14" s="205"/>
      <c r="S14" s="205"/>
      <c r="T14" s="205"/>
      <c r="U14" s="444"/>
      <c r="V14" s="828"/>
      <c r="W14" s="383"/>
      <c r="X14" s="835"/>
      <c r="Y14" s="118"/>
      <c r="Z14" s="836"/>
      <c r="AA14" s="118"/>
      <c r="AB14" s="206"/>
      <c r="AC14" s="206"/>
      <c r="AD14" s="206"/>
      <c r="AE14" s="206"/>
      <c r="AF14" s="118"/>
      <c r="AG14" s="118"/>
    </row>
    <row r="15" spans="1:33">
      <c r="A15" s="828"/>
      <c r="B15" s="448" t="s">
        <v>517</v>
      </c>
      <c r="C15" s="806" t="s">
        <v>722</v>
      </c>
      <c r="D15" s="700" t="s">
        <v>723</v>
      </c>
      <c r="E15" s="463" t="s">
        <v>724</v>
      </c>
      <c r="F15" s="390">
        <f>'Interactive Data Grading'!D20</f>
        <v>10</v>
      </c>
      <c r="G15" s="79"/>
      <c r="H15" s="424">
        <v>1006.997</v>
      </c>
      <c r="I15" s="468"/>
      <c r="J15" s="808" t="str">
        <f>IF('Start Page'!$AB$22="million gallons (US)","MG/Yr",IF('Start Page'!$AB$22="Megalitres (thousand cubic metres)","ML/Yr",IF('Start Page'!$AB$22="acre-feet","Acre-ft/Yr","")))</f>
        <v>MG/Yr</v>
      </c>
      <c r="K15" s="703" t="s">
        <v>723</v>
      </c>
      <c r="L15" s="491" t="s">
        <v>724</v>
      </c>
      <c r="M15" s="390">
        <f>'Interactive Data Grading'!D43</f>
        <v>10</v>
      </c>
      <c r="N15" s="808"/>
      <c r="O15" s="386">
        <v>1.01E-2</v>
      </c>
      <c r="P15" s="466" t="s">
        <v>602</v>
      </c>
      <c r="Q15" s="993"/>
      <c r="R15" s="998"/>
      <c r="S15" s="389" t="str">
        <f>IF('Start Page'!$AB$22="million gallons (US)","MG/Yr",IF('Start Page'!$AB$22="Megalitres (thousand cubic metres)","ML/Yr",IF('Start Page'!$AB$22="acre-feet","acre-ft/yr","")))</f>
        <v>MG/Yr</v>
      </c>
      <c r="T15" s="804" t="s">
        <v>725</v>
      </c>
      <c r="U15" s="445" t="s">
        <v>520</v>
      </c>
      <c r="V15" s="828"/>
      <c r="W15" s="383">
        <f>IF(P15="percent",1,2)</f>
        <v>1</v>
      </c>
      <c r="X15" s="837">
        <f>IF(H15&gt;0,IF(W15=1,O15*H15,Q15),0)</f>
        <v>10.170669699999999</v>
      </c>
      <c r="Y15" s="84">
        <f>$Y$19/$Y$18*H15</f>
        <v>32.443196076861277</v>
      </c>
      <c r="Z15" s="114">
        <f>$Y$19/$Y$18*ABS(X15)</f>
        <v>0.32767628037629887</v>
      </c>
      <c r="AA15" s="754">
        <f>IF(W15=1,input_VOS-input_VOS/(1+O15*AB15),Q15*AB15)</f>
        <v>10.068973071973119</v>
      </c>
      <c r="AB15" s="838">
        <f>IF(OR(T15="",T15="Select….."),0,IF(T15="Under-registration",-1,1))</f>
        <v>1</v>
      </c>
      <c r="AC15" s="206" t="str">
        <f>IF(OR(H15&lt;=0,AND(H15&gt;0,OR(AND(W15=1,O15=0),AND(W15=2,Q15=0)))),"no","yes")</f>
        <v>yes</v>
      </c>
      <c r="AD15" s="206" t="str">
        <f>IF(OR(T15="select…..",T15=""),"no","yes")</f>
        <v>yes</v>
      </c>
      <c r="AE15" s="206" t="str">
        <f>IF(AND(AC15="yes",AD15="no"),"yes","no")</f>
        <v>no</v>
      </c>
      <c r="AF15" s="205">
        <f>IF(AE15="yes",1,0)</f>
        <v>0</v>
      </c>
      <c r="AG15" s="754">
        <f>input_VOS-AA15</f>
        <v>996.92802692802684</v>
      </c>
    </row>
    <row r="16" spans="1:33">
      <c r="A16" s="828"/>
      <c r="B16" s="448" t="s">
        <v>524</v>
      </c>
      <c r="C16" s="806" t="s">
        <v>726</v>
      </c>
      <c r="D16" s="700" t="s">
        <v>723</v>
      </c>
      <c r="E16" s="463" t="s">
        <v>724</v>
      </c>
      <c r="F16" s="390" t="str">
        <f>'Interactive Data Grading'!D74</f>
        <v>n/a</v>
      </c>
      <c r="G16" s="79"/>
      <c r="H16" s="423">
        <v>0</v>
      </c>
      <c r="I16" s="468"/>
      <c r="J16" s="808" t="str">
        <f>IF('Start Page'!$AB$22="million gallons (US)","MG/Yr",IF('Start Page'!$AB$22="Megalitres (thousand cubic metres)","ML/Yr",IF('Start Page'!$AB$22="acre-feet","Acre-ft/Yr","")))</f>
        <v>MG/Yr</v>
      </c>
      <c r="K16" s="703" t="s">
        <v>723</v>
      </c>
      <c r="L16" s="491" t="s">
        <v>724</v>
      </c>
      <c r="M16" s="390" t="str">
        <f>'Interactive Data Grading'!D96</f>
        <v>n/a</v>
      </c>
      <c r="N16" s="808"/>
      <c r="O16" s="386"/>
      <c r="P16" s="466" t="s">
        <v>602</v>
      </c>
      <c r="Q16" s="993"/>
      <c r="R16" s="998"/>
      <c r="S16" s="389" t="str">
        <f>IF('Start Page'!$AB$22="million gallons (US)","MG/Yr",IF('Start Page'!$AB$22="Megalitres (thousand cubic metres)","ML/Yr",IF('Start Page'!$AB$22="acre-feet","acre-ft/yr","")))</f>
        <v>MG/Yr</v>
      </c>
      <c r="T16" s="804" t="s">
        <v>727</v>
      </c>
      <c r="U16" s="445" t="s">
        <v>529</v>
      </c>
      <c r="V16" s="828"/>
      <c r="W16" s="383">
        <f t="shared" ref="W16:W17" si="0">IF(P16="percent",1,2)</f>
        <v>1</v>
      </c>
      <c r="X16" s="837">
        <f>IF(H16&gt;0,IF(W16=1,O16*H16,Q16),0)</f>
        <v>0</v>
      </c>
      <c r="Y16" s="84">
        <f>$Y$19/$Y$18*H16</f>
        <v>0</v>
      </c>
      <c r="Z16" s="114">
        <f>$Y$19/$Y$18*ABS(X16)</f>
        <v>0</v>
      </c>
      <c r="AA16" s="754">
        <f>IF(W16=1,input_WI-input_WI/(1+O16*AB16),Q16*AB16)</f>
        <v>0</v>
      </c>
      <c r="AB16" s="838">
        <f t="shared" ref="AB16:AB17" si="1">IF(OR(T16="",T16="Select….."),0,IF(T16="Under-registration",-1,1))</f>
        <v>0</v>
      </c>
      <c r="AC16" s="206" t="str">
        <f t="shared" ref="AC16:AC17" si="2">IF(OR(H16&lt;=0,AND(H16&gt;0,OR(AND(W16=1,O16=0),AND(W16=2,Q16=0)))),"no","yes")</f>
        <v>no</v>
      </c>
      <c r="AD16" s="206" t="str">
        <f>IF(OR(T16="select…..",T16=""),"no","yes")</f>
        <v>no</v>
      </c>
      <c r="AE16" s="206" t="str">
        <f t="shared" ref="AE16:AE17" si="3">IF(AND(AC16="yes",AD16="no"),"yes","no")</f>
        <v>no</v>
      </c>
      <c r="AF16" s="205">
        <f t="shared" ref="AF16:AF17" si="4">IF(AE16="yes",1,0)</f>
        <v>0</v>
      </c>
      <c r="AG16" s="754">
        <f>input_WI-AA16</f>
        <v>0</v>
      </c>
    </row>
    <row r="17" spans="1:33" ht="13.35" customHeight="1">
      <c r="A17" s="828"/>
      <c r="B17" s="448" t="s">
        <v>533</v>
      </c>
      <c r="C17" s="806" t="s">
        <v>728</v>
      </c>
      <c r="D17" s="700" t="s">
        <v>723</v>
      </c>
      <c r="E17" s="463" t="s">
        <v>724</v>
      </c>
      <c r="F17" s="390">
        <f>'Interactive Data Grading'!D127</f>
        <v>6</v>
      </c>
      <c r="G17" s="79"/>
      <c r="H17" s="254">
        <v>67.866</v>
      </c>
      <c r="I17" s="468"/>
      <c r="J17" s="808" t="str">
        <f>IF('Start Page'!$AB$22="million gallons (US)","MG/Yr",IF('Start Page'!$AB$22="Megalitres (thousand cubic metres)","ML/Yr",IF('Start Page'!$AB$22="acre-feet","Acre-ft/Yr","")))</f>
        <v>MG/Yr</v>
      </c>
      <c r="K17" s="703" t="s">
        <v>723</v>
      </c>
      <c r="L17" s="491" t="s">
        <v>724</v>
      </c>
      <c r="M17" s="390">
        <f>'Interactive Data Grading'!D150</f>
        <v>4</v>
      </c>
      <c r="N17" s="808"/>
      <c r="O17" s="386">
        <v>1.95E-2</v>
      </c>
      <c r="P17" s="466" t="s">
        <v>602</v>
      </c>
      <c r="Q17" s="993"/>
      <c r="R17" s="998"/>
      <c r="S17" s="389" t="str">
        <f>IF('Start Page'!$AB$22="million gallons (US)","MG/Yr",IF('Start Page'!$AB$22="Megalitres (thousand cubic metres)","ML/Yr",IF('Start Page'!$AB$22="acre-feet","acre-ft/yr","")))</f>
        <v>MG/Yr</v>
      </c>
      <c r="T17" s="804" t="s">
        <v>729</v>
      </c>
      <c r="U17" s="445" t="s">
        <v>536</v>
      </c>
      <c r="V17" s="828"/>
      <c r="W17" s="383">
        <f t="shared" si="0"/>
        <v>1</v>
      </c>
      <c r="X17" s="837">
        <f>IF(H17&gt;0,IF(W17=1,O17*H17,Q17),0)</f>
        <v>1.3233870000000001</v>
      </c>
      <c r="Y17" s="84">
        <f>$Y$19/$Y$18*H17</f>
        <v>2.186491066956771</v>
      </c>
      <c r="Z17" s="114">
        <f>$Y$19/$Y$18*ABS(X17)</f>
        <v>4.2636575805657037E-2</v>
      </c>
      <c r="AA17" s="754">
        <f>IF(W17=1,input_WE-input_WE/(1+O17*AB17),Q17*AB17)</f>
        <v>-1.3497062723100441</v>
      </c>
      <c r="AB17" s="838">
        <f t="shared" si="1"/>
        <v>-1</v>
      </c>
      <c r="AC17" s="206" t="str">
        <f t="shared" si="2"/>
        <v>yes</v>
      </c>
      <c r="AD17" s="206" t="str">
        <f>IF(OR(T17="select…..",T17=""),"no","yes")</f>
        <v>yes</v>
      </c>
      <c r="AE17" s="206" t="str">
        <f t="shared" si="3"/>
        <v>no</v>
      </c>
      <c r="AF17" s="205">
        <f t="shared" si="4"/>
        <v>0</v>
      </c>
      <c r="AG17" s="754">
        <f>input_WE-AA17</f>
        <v>69.215706272310044</v>
      </c>
    </row>
    <row r="18" spans="1:33" ht="14.45" customHeight="1">
      <c r="A18" s="828"/>
      <c r="B18" s="447"/>
      <c r="C18" s="118"/>
      <c r="D18" s="118"/>
      <c r="E18" s="118"/>
      <c r="F18" s="118"/>
      <c r="G18" s="79"/>
      <c r="H18" s="839"/>
      <c r="I18" s="468"/>
      <c r="J18" s="205"/>
      <c r="K18" s="205"/>
      <c r="L18" s="205"/>
      <c r="M18" s="118"/>
      <c r="N18" s="205"/>
      <c r="O18" s="118"/>
      <c r="P18" s="206"/>
      <c r="Q18" s="118"/>
      <c r="R18" s="118"/>
      <c r="S18" s="118"/>
      <c r="T18" s="1031" t="s">
        <v>730</v>
      </c>
      <c r="U18" s="444"/>
      <c r="V18" s="828"/>
      <c r="W18" s="383"/>
      <c r="X18" s="385"/>
      <c r="Y18" s="84">
        <f>H15+H16+H17+IF(H15&gt;0,ABS(X15),0)+IF(H16&gt;0,ABS(X16),0)+IF(H17&gt;0,(ABS(X17)),)</f>
        <v>1086.3570566999999</v>
      </c>
      <c r="Z18" s="115"/>
      <c r="AA18" s="118"/>
      <c r="AB18" s="206"/>
      <c r="AC18" s="206"/>
      <c r="AD18" s="206"/>
      <c r="AE18" s="206"/>
      <c r="AF18" s="205">
        <f>SUM(AF15:AF17)</f>
        <v>0</v>
      </c>
      <c r="AG18" s="118" t="s">
        <v>731</v>
      </c>
    </row>
    <row r="19" spans="1:33" ht="13.5" thickBot="1">
      <c r="A19" s="828"/>
      <c r="B19" s="447"/>
      <c r="C19" s="1034" t="s">
        <v>732</v>
      </c>
      <c r="D19" s="1034"/>
      <c r="E19" s="1034"/>
      <c r="F19" s="1034"/>
      <c r="G19" s="205"/>
      <c r="H19" s="727">
        <f>IF(AF18&gt;0,"Select under/over",IF(H15&gt;0,IF(W15=1,H15/(1+O15*AB15),H15-Q15*AB15),0)+IF(H16&gt;0,IF(W16=1,H16/(1+O16*AB16),H16-Q16*AB16),0)-IF(H17&gt;0,IF(W17=1,H17/(1+O17*AB17),H17-Q17*AB17),0))</f>
        <v>927.71232065571678</v>
      </c>
      <c r="I19" s="840"/>
      <c r="J19" s="808" t="str">
        <f>IF('Start Page'!$AB$22="million gallons (US)","MG/Yr",IF('Start Page'!$AB$22="Megalitres (thousand cubic metres)","ML/Yr",IF('Start Page'!$AB$22="acre-feet","Acre-ft/Yr","")))</f>
        <v>MG/Yr</v>
      </c>
      <c r="K19" s="525" t="str">
        <f>IF(H19="Select under/over","----------------&gt;----------------&gt;----------------&gt;----------------&gt;----------------&gt;","")</f>
        <v/>
      </c>
      <c r="L19" s="808"/>
      <c r="M19" s="118"/>
      <c r="N19" s="808"/>
      <c r="O19" s="255"/>
      <c r="P19" s="205"/>
      <c r="Q19" s="205"/>
      <c r="R19" s="118"/>
      <c r="S19" s="118"/>
      <c r="T19" s="1031"/>
      <c r="U19" s="805"/>
      <c r="V19" s="828"/>
      <c r="W19" s="841"/>
      <c r="X19" s="842"/>
      <c r="Y19" s="842">
        <f>'M36 Refs'!AE121</f>
        <v>35</v>
      </c>
      <c r="Z19" s="117" t="s">
        <v>733</v>
      </c>
      <c r="AA19" s="118"/>
      <c r="AB19" s="206"/>
      <c r="AC19" s="206"/>
      <c r="AD19" s="206"/>
      <c r="AE19" s="206"/>
      <c r="AF19" s="118"/>
      <c r="AG19" s="118"/>
    </row>
    <row r="20" spans="1:33" ht="5.25" customHeight="1">
      <c r="A20" s="828"/>
      <c r="B20" s="447"/>
      <c r="C20" s="79"/>
      <c r="D20" s="79"/>
      <c r="E20" s="408"/>
      <c r="F20" s="209"/>
      <c r="G20" s="79"/>
      <c r="H20" s="118"/>
      <c r="I20" s="118"/>
      <c r="J20" s="118"/>
      <c r="K20" s="118"/>
      <c r="L20" s="118"/>
      <c r="M20" s="118"/>
      <c r="N20" s="118"/>
      <c r="O20" s="205"/>
      <c r="P20" s="205"/>
      <c r="Q20" s="205"/>
      <c r="R20" s="118"/>
      <c r="S20" s="118"/>
      <c r="T20" s="1031"/>
      <c r="U20" s="199"/>
      <c r="V20" s="828"/>
      <c r="W20" s="118"/>
      <c r="X20" s="118"/>
      <c r="Y20" s="118"/>
      <c r="Z20" s="118"/>
      <c r="AA20" s="118"/>
      <c r="AB20" s="206"/>
      <c r="AC20" s="206"/>
      <c r="AD20" s="206"/>
      <c r="AE20" s="206"/>
      <c r="AF20" s="118"/>
      <c r="AG20" s="118"/>
    </row>
    <row r="21" spans="1:33" ht="6" customHeight="1">
      <c r="A21" s="828"/>
      <c r="B21" s="447"/>
      <c r="C21" s="434"/>
      <c r="D21" s="434"/>
      <c r="E21" s="435"/>
      <c r="F21" s="437" t="s">
        <v>734</v>
      </c>
      <c r="G21" s="434"/>
      <c r="H21" s="843"/>
      <c r="I21" s="843"/>
      <c r="J21" s="843"/>
      <c r="K21" s="843"/>
      <c r="L21" s="843"/>
      <c r="M21" s="843"/>
      <c r="N21" s="843"/>
      <c r="O21" s="844"/>
      <c r="P21" s="844"/>
      <c r="Q21" s="844"/>
      <c r="R21" s="843"/>
      <c r="S21" s="118"/>
      <c r="T21" s="1031"/>
      <c r="U21" s="199"/>
      <c r="V21" s="828"/>
      <c r="W21" s="118"/>
      <c r="X21" s="118"/>
      <c r="Y21" s="118"/>
      <c r="Z21" s="118"/>
      <c r="AA21" s="118"/>
      <c r="AB21" s="206"/>
      <c r="AC21" s="206"/>
      <c r="AD21" s="206"/>
      <c r="AE21" s="206"/>
      <c r="AF21" s="118"/>
      <c r="AG21" s="118"/>
    </row>
    <row r="22" spans="1:33" ht="13.5" thickBot="1">
      <c r="A22" s="828"/>
      <c r="B22" s="447"/>
      <c r="C22" s="47" t="s">
        <v>735</v>
      </c>
      <c r="D22" s="405"/>
      <c r="E22" s="405"/>
      <c r="F22" s="210"/>
      <c r="G22" s="47"/>
      <c r="H22" s="47"/>
      <c r="I22" s="47"/>
      <c r="J22" s="47"/>
      <c r="K22" s="47"/>
      <c r="L22" s="47"/>
      <c r="M22" s="47"/>
      <c r="N22" s="47"/>
      <c r="O22" s="47"/>
      <c r="P22" s="47"/>
      <c r="Q22" s="47"/>
      <c r="R22" s="47"/>
      <c r="S22" s="47"/>
      <c r="T22" s="1031"/>
      <c r="U22" s="199"/>
      <c r="V22" s="828"/>
      <c r="W22" s="118"/>
      <c r="X22" s="118"/>
      <c r="Y22" s="118"/>
      <c r="Z22" s="118"/>
      <c r="AA22" s="118"/>
      <c r="AB22" s="206"/>
      <c r="AC22" s="206"/>
      <c r="AD22" s="206"/>
      <c r="AE22" s="206"/>
      <c r="AF22" s="118"/>
      <c r="AG22" s="118"/>
    </row>
    <row r="23" spans="1:33">
      <c r="A23" s="828"/>
      <c r="B23" s="448" t="s">
        <v>541</v>
      </c>
      <c r="C23" s="806" t="s">
        <v>736</v>
      </c>
      <c r="D23" s="700" t="s">
        <v>723</v>
      </c>
      <c r="E23" s="463" t="s">
        <v>724</v>
      </c>
      <c r="F23" s="390">
        <f>'Interactive Data Grading'!D177</f>
        <v>9</v>
      </c>
      <c r="G23" s="79"/>
      <c r="H23" s="254">
        <v>752.62800000000004</v>
      </c>
      <c r="I23" s="468"/>
      <c r="J23" s="808" t="str">
        <f>IF('Start Page'!$AB$22="million gallons (US)","MG/Yr",IF('Start Page'!$AB$22="Megalitres (thousand cubic metres)","ML/Yr",IF('Start Page'!$AB$22="acre-feet","Acre-ft/Yr","")))</f>
        <v>MG/Yr</v>
      </c>
      <c r="K23" s="808"/>
      <c r="L23" s="808"/>
      <c r="M23" s="808"/>
      <c r="N23" s="808"/>
      <c r="O23" s="118"/>
      <c r="P23" s="118"/>
      <c r="Q23" s="118"/>
      <c r="R23" s="118"/>
      <c r="S23" s="118"/>
      <c r="T23" s="1031"/>
      <c r="U23" s="199"/>
      <c r="V23" s="828"/>
      <c r="W23" s="845"/>
      <c r="X23" s="834"/>
      <c r="Y23" s="116">
        <f>IFERROR($Y$26/$Y$25*H23,7)</f>
        <v>13.92784659371047</v>
      </c>
      <c r="Z23" s="846"/>
      <c r="AA23" s="118" t="s">
        <v>737</v>
      </c>
      <c r="AB23" s="206"/>
      <c r="AC23" s="206"/>
      <c r="AD23" s="206"/>
      <c r="AE23" s="206"/>
      <c r="AF23" s="118"/>
      <c r="AG23" s="118"/>
    </row>
    <row r="24" spans="1:33">
      <c r="A24" s="828"/>
      <c r="B24" s="448" t="s">
        <v>544</v>
      </c>
      <c r="C24" s="806" t="s">
        <v>738</v>
      </c>
      <c r="D24" s="700" t="s">
        <v>723</v>
      </c>
      <c r="E24" s="463" t="s">
        <v>724</v>
      </c>
      <c r="F24" s="390" t="str">
        <f>'Interactive Data Grading'!D200</f>
        <v>n/a</v>
      </c>
      <c r="G24" s="79"/>
      <c r="H24" s="254">
        <v>0</v>
      </c>
      <c r="I24" s="468"/>
      <c r="J24" s="808" t="str">
        <f>IF('Start Page'!$AB$22="million gallons (US)","MG/Yr",IF('Start Page'!$AB$22="Megalitres (thousand cubic metres)","ML/Yr",IF('Start Page'!$AB$22="acre-feet","Acre-ft/Yr","")))</f>
        <v>MG/Yr</v>
      </c>
      <c r="K24" s="808"/>
      <c r="L24" s="808"/>
      <c r="M24" s="808"/>
      <c r="N24" s="808"/>
      <c r="O24" s="118"/>
      <c r="P24" s="118"/>
      <c r="Q24" s="164"/>
      <c r="R24" s="164"/>
      <c r="S24" s="164"/>
      <c r="T24" s="164"/>
      <c r="U24" s="199"/>
      <c r="V24" s="828"/>
      <c r="W24" s="383"/>
      <c r="X24" s="118"/>
      <c r="Y24" s="84">
        <f>IFERROR($Y$26/$Y$25*H25,7)</f>
        <v>7.2153406289530972E-2</v>
      </c>
      <c r="Z24" s="836"/>
      <c r="AA24" s="118"/>
      <c r="AB24" s="206"/>
      <c r="AC24" s="206"/>
      <c r="AD24" s="206"/>
      <c r="AE24" s="206"/>
      <c r="AF24" s="118"/>
      <c r="AG24" s="118"/>
    </row>
    <row r="25" spans="1:33" ht="13.35" customHeight="1">
      <c r="A25" s="828"/>
      <c r="B25" s="448" t="s">
        <v>546</v>
      </c>
      <c r="C25" s="806" t="s">
        <v>739</v>
      </c>
      <c r="D25" s="700" t="s">
        <v>723</v>
      </c>
      <c r="E25" s="463" t="s">
        <v>724</v>
      </c>
      <c r="F25" s="390">
        <f>'Interactive Data Grading'!D224</f>
        <v>10</v>
      </c>
      <c r="G25" s="79"/>
      <c r="H25" s="395">
        <v>3.899</v>
      </c>
      <c r="I25" s="468"/>
      <c r="J25" s="808" t="str">
        <f>IF('Start Page'!$AB$22="million gallons (US)","MG/Yr",IF('Start Page'!$AB$22="Megalitres (thousand cubic metres)","ML/Yr",IF('Start Page'!$AB$22="acre-feet","Acre-ft/Yr","")))</f>
        <v>MG/Yr</v>
      </c>
      <c r="K25" s="808"/>
      <c r="L25" s="808"/>
      <c r="M25" s="808"/>
      <c r="N25" s="808"/>
      <c r="O25" s="205"/>
      <c r="P25" s="811" t="s">
        <v>599</v>
      </c>
      <c r="Q25" s="205"/>
      <c r="R25" s="118"/>
      <c r="S25" s="118"/>
      <c r="T25" s="118"/>
      <c r="U25" s="199"/>
      <c r="V25" s="828"/>
      <c r="W25" s="383"/>
      <c r="X25" s="118"/>
      <c r="Y25" s="754">
        <f>H23+H25</f>
        <v>756.52700000000004</v>
      </c>
      <c r="Z25" s="836"/>
      <c r="AA25" s="118"/>
      <c r="AB25" s="206"/>
      <c r="AC25" s="206"/>
      <c r="AD25" s="206"/>
      <c r="AE25" s="206"/>
      <c r="AF25" s="439" t="s">
        <v>740</v>
      </c>
      <c r="AG25" s="118"/>
    </row>
    <row r="26" spans="1:33" ht="15" customHeight="1" thickBot="1">
      <c r="A26" s="828"/>
      <c r="B26" s="448" t="s">
        <v>550</v>
      </c>
      <c r="C26" s="806" t="s">
        <v>741</v>
      </c>
      <c r="D26" s="700" t="s">
        <v>723</v>
      </c>
      <c r="E26" s="463" t="s">
        <v>724</v>
      </c>
      <c r="F26" s="390">
        <f>'Interactive Data Grading'!D247</f>
        <v>10</v>
      </c>
      <c r="G26" s="79"/>
      <c r="H26" s="727">
        <f>IF(OR(W26=1,AND(W26=2,Q26=0)),O26*SUM(H23:H24),Q26)</f>
        <v>11.961</v>
      </c>
      <c r="I26" s="468"/>
      <c r="J26" s="808" t="str">
        <f>IF('Start Page'!$AB$22="million gallons (US)","MG/Yr",IF('Start Page'!$AB$22="Megalitres (thousand cubic metres)","ML/Yr",IF('Start Page'!$AB$22="acre-feet","Acre-ft/Yr","")))</f>
        <v>MG/Yr</v>
      </c>
      <c r="K26" s="808"/>
      <c r="L26" s="808"/>
      <c r="M26" s="808"/>
      <c r="N26" s="808"/>
      <c r="O26" s="391">
        <v>2.5000000000000001E-3</v>
      </c>
      <c r="P26" s="524" t="s">
        <v>614</v>
      </c>
      <c r="Q26" s="993">
        <v>11.961</v>
      </c>
      <c r="R26" s="993"/>
      <c r="S26" s="389" t="str">
        <f>IF('Start Page'!$AB$22="million gallons (US)","MG/Yr",IF('Start Page'!$AB$22="Megalitres (thousand cubic metres)","ML/Yr",IF('Start Page'!$AB$22="acre-feet","acre-ft/yr","")))</f>
        <v>MG/Yr</v>
      </c>
      <c r="T26" s="195"/>
      <c r="U26" s="199"/>
      <c r="V26" s="828"/>
      <c r="W26" s="384">
        <f>IF(P26="default",1,2)</f>
        <v>2</v>
      </c>
      <c r="X26" s="847"/>
      <c r="Y26" s="847">
        <f>8+6</f>
        <v>14</v>
      </c>
      <c r="Z26" s="117" t="s">
        <v>733</v>
      </c>
      <c r="AA26" s="118" t="s">
        <v>742</v>
      </c>
      <c r="AB26" s="206"/>
      <c r="AC26" s="206"/>
      <c r="AD26" s="206"/>
      <c r="AE26" s="206"/>
      <c r="AF26" s="118"/>
      <c r="AG26" s="118"/>
    </row>
    <row r="27" spans="1:33" ht="2.25" customHeight="1">
      <c r="A27" s="828"/>
      <c r="B27" s="448"/>
      <c r="C27" s="164"/>
      <c r="D27" s="164"/>
      <c r="E27" s="409"/>
      <c r="F27" s="152"/>
      <c r="G27" s="152"/>
      <c r="H27" s="152"/>
      <c r="I27" s="152"/>
      <c r="J27" s="808"/>
      <c r="K27" s="808"/>
      <c r="L27" s="808"/>
      <c r="M27" s="808"/>
      <c r="N27" s="808"/>
      <c r="O27" s="808"/>
      <c r="P27" s="808"/>
      <c r="Q27" s="808">
        <v>24061</v>
      </c>
      <c r="R27" s="808"/>
      <c r="S27" s="808"/>
      <c r="T27" s="808"/>
      <c r="U27" s="199"/>
      <c r="V27" s="828"/>
      <c r="W27" s="118"/>
      <c r="X27" s="118"/>
      <c r="Y27" s="118"/>
      <c r="Z27" s="118"/>
      <c r="AA27" s="118"/>
      <c r="AB27" s="206"/>
      <c r="AC27" s="206"/>
      <c r="AD27" s="206"/>
      <c r="AE27" s="206"/>
      <c r="AF27" s="118"/>
      <c r="AG27" s="118"/>
    </row>
    <row r="28" spans="1:33" ht="15" customHeight="1">
      <c r="A28" s="828"/>
      <c r="B28" s="448"/>
      <c r="C28" s="443" t="str">
        <f>IF(W26=1,"                Default option selected for Unbilled Unmetered, with automatic data grading of 3",IF(W26=2,IF(Q26&gt;0.0025*SUM(H23:H24),"",IF(Q26=0,"Enter a positive value, otherwise a default of 0.25% x (BMAC+BUAC) is applied with grading of 3",""))))</f>
        <v/>
      </c>
      <c r="D28" s="443"/>
      <c r="E28" s="443"/>
      <c r="F28" s="443"/>
      <c r="G28" s="443"/>
      <c r="H28" s="443"/>
      <c r="I28" s="443"/>
      <c r="J28" s="211"/>
      <c r="K28" s="211"/>
      <c r="L28" s="211"/>
      <c r="M28" s="144"/>
      <c r="N28" s="144"/>
      <c r="O28" s="144"/>
      <c r="P28" s="808"/>
      <c r="Q28" s="808"/>
      <c r="R28" s="808"/>
      <c r="S28" s="808"/>
      <c r="T28" s="808"/>
      <c r="U28" s="199"/>
      <c r="V28" s="828"/>
      <c r="W28" s="118"/>
      <c r="X28" s="118"/>
      <c r="Y28" s="118"/>
      <c r="Z28" s="118"/>
      <c r="AA28" s="118"/>
      <c r="AB28" s="206"/>
      <c r="AC28" s="206"/>
      <c r="AD28" s="206"/>
      <c r="AE28" s="206"/>
      <c r="AF28" s="118"/>
      <c r="AG28" s="118"/>
    </row>
    <row r="29" spans="1:33" ht="2.25" customHeight="1">
      <c r="A29" s="828"/>
      <c r="B29" s="448"/>
      <c r="C29" s="152"/>
      <c r="D29" s="152"/>
      <c r="E29" s="410"/>
      <c r="F29" s="205"/>
      <c r="G29" s="212"/>
      <c r="H29" s="468"/>
      <c r="I29" s="468"/>
      <c r="J29" s="205"/>
      <c r="K29" s="205"/>
      <c r="L29" s="205"/>
      <c r="M29" s="205"/>
      <c r="N29" s="205"/>
      <c r="O29" s="118"/>
      <c r="P29" s="118"/>
      <c r="Q29" s="206"/>
      <c r="R29" s="118"/>
      <c r="S29" s="118"/>
      <c r="T29" s="118"/>
      <c r="U29" s="199"/>
      <c r="V29" s="828"/>
      <c r="W29" s="118"/>
      <c r="X29" s="118"/>
      <c r="Y29" s="118"/>
      <c r="Z29" s="118"/>
      <c r="AA29" s="118"/>
      <c r="AB29" s="206"/>
      <c r="AC29" s="206"/>
      <c r="AD29" s="206"/>
      <c r="AE29" s="206"/>
      <c r="AF29" s="118"/>
      <c r="AG29" s="118"/>
    </row>
    <row r="30" spans="1:33" ht="15" customHeight="1">
      <c r="A30" s="828"/>
      <c r="B30" s="448"/>
      <c r="C30" s="1011" t="s">
        <v>743</v>
      </c>
      <c r="D30" s="1011"/>
      <c r="E30" s="1011"/>
      <c r="F30" s="1011"/>
      <c r="G30" s="205"/>
      <c r="H30" s="727">
        <f>SUM(H23:H26)</f>
        <v>768.48800000000006</v>
      </c>
      <c r="I30" s="840"/>
      <c r="J30" s="808" t="str">
        <f>IF('Start Page'!$AB$22="million gallons (US)","MG/Yr",IF('Start Page'!$AB$22="Megalitres (thousand cubic metres)","ML/Yr",IF('Start Page'!$AB$22="acre-feet","Acre-ft/Yr","")))</f>
        <v>MG/Yr</v>
      </c>
      <c r="K30" s="808"/>
      <c r="L30" s="808"/>
      <c r="M30" s="808"/>
      <c r="N30" s="808"/>
      <c r="O30" s="118"/>
      <c r="P30" s="118"/>
      <c r="Q30" s="118"/>
      <c r="R30" s="118"/>
      <c r="S30" s="118"/>
      <c r="T30" s="118"/>
      <c r="U30" s="199"/>
      <c r="V30" s="828"/>
      <c r="W30" s="118"/>
      <c r="X30" s="118"/>
      <c r="Y30" s="118"/>
      <c r="Z30" s="118"/>
      <c r="AA30" s="118"/>
      <c r="AB30" s="206"/>
      <c r="AC30" s="206"/>
      <c r="AD30" s="206"/>
      <c r="AE30" s="206"/>
      <c r="AF30" s="118"/>
      <c r="AG30" s="118"/>
    </row>
    <row r="31" spans="1:33" ht="2.25" customHeight="1">
      <c r="A31" s="828"/>
      <c r="B31" s="448"/>
      <c r="C31" s="152"/>
      <c r="D31" s="152"/>
      <c r="E31" s="410"/>
      <c r="F31" s="214"/>
      <c r="G31" s="840"/>
      <c r="H31" s="118"/>
      <c r="I31" s="840"/>
      <c r="J31" s="789"/>
      <c r="K31" s="789"/>
      <c r="L31" s="789"/>
      <c r="M31" s="789"/>
      <c r="N31" s="789"/>
      <c r="O31" s="118"/>
      <c r="P31" s="118"/>
      <c r="Q31" s="215"/>
      <c r="R31" s="118"/>
      <c r="S31" s="118"/>
      <c r="T31" s="118"/>
      <c r="U31" s="199"/>
      <c r="V31" s="828"/>
      <c r="W31" s="118"/>
      <c r="X31" s="118"/>
      <c r="Y31" s="118"/>
      <c r="Z31" s="118"/>
      <c r="AA31" s="118"/>
      <c r="AB31" s="206"/>
      <c r="AC31" s="206"/>
      <c r="AD31" s="206"/>
      <c r="AE31" s="206"/>
      <c r="AF31" s="118"/>
      <c r="AG31" s="118"/>
    </row>
    <row r="32" spans="1:33" ht="15" customHeight="1">
      <c r="A32" s="828"/>
      <c r="B32" s="448"/>
      <c r="C32" s="999" t="str">
        <f>IF(AND(H30&gt;=H19,(H30&lt;&gt;0)),"               Check input values; WATER SUPPLIED should be greater than AUTHORIZED CONSUMPTION","")</f>
        <v/>
      </c>
      <c r="D32" s="999"/>
      <c r="E32" s="999"/>
      <c r="F32" s="999"/>
      <c r="G32" s="999"/>
      <c r="H32" s="999"/>
      <c r="I32" s="999"/>
      <c r="J32" s="999"/>
      <c r="K32" s="999"/>
      <c r="L32" s="999"/>
      <c r="M32" s="999"/>
      <c r="N32" s="999"/>
      <c r="O32" s="999"/>
      <c r="P32" s="118"/>
      <c r="Q32" s="215"/>
      <c r="R32" s="118"/>
      <c r="S32" s="118"/>
      <c r="T32" s="118"/>
      <c r="U32" s="199"/>
      <c r="V32" s="828"/>
      <c r="W32" s="118"/>
      <c r="X32" s="118"/>
      <c r="Y32" s="118"/>
      <c r="Z32" s="118"/>
      <c r="AA32" s="118"/>
      <c r="AB32" s="206"/>
      <c r="AC32" s="206"/>
      <c r="AD32" s="206"/>
      <c r="AE32" s="206"/>
      <c r="AF32" s="118"/>
      <c r="AG32" s="118"/>
    </row>
    <row r="33" spans="1:29" ht="3" customHeight="1">
      <c r="A33" s="828"/>
      <c r="B33" s="448"/>
      <c r="C33" s="79"/>
      <c r="D33" s="79"/>
      <c r="E33" s="408"/>
      <c r="F33" s="213"/>
      <c r="G33" s="79"/>
      <c r="H33" s="118"/>
      <c r="I33" s="118"/>
      <c r="J33" s="118"/>
      <c r="K33" s="118"/>
      <c r="L33" s="118"/>
      <c r="M33" s="118"/>
      <c r="N33" s="118"/>
      <c r="O33" s="205"/>
      <c r="P33" s="205"/>
      <c r="Q33" s="205"/>
      <c r="R33" s="118"/>
      <c r="S33" s="118"/>
      <c r="T33" s="118"/>
      <c r="U33" s="199"/>
      <c r="V33" s="828"/>
      <c r="W33" s="118"/>
      <c r="X33" s="118"/>
      <c r="Y33" s="118"/>
      <c r="Z33" s="118"/>
      <c r="AA33" s="118"/>
      <c r="AB33" s="206"/>
      <c r="AC33" s="206"/>
    </row>
    <row r="34" spans="1:29" ht="6" customHeight="1">
      <c r="A34" s="828"/>
      <c r="B34" s="448"/>
      <c r="C34" s="434"/>
      <c r="D34" s="434"/>
      <c r="E34" s="435"/>
      <c r="F34" s="436"/>
      <c r="G34" s="434"/>
      <c r="H34" s="843"/>
      <c r="I34" s="843"/>
      <c r="J34" s="843"/>
      <c r="K34" s="843"/>
      <c r="L34" s="843"/>
      <c r="M34" s="843"/>
      <c r="N34" s="843"/>
      <c r="O34" s="843"/>
      <c r="P34" s="843"/>
      <c r="Q34" s="843"/>
      <c r="R34" s="843"/>
      <c r="S34" s="118"/>
      <c r="T34" s="118"/>
      <c r="U34" s="199"/>
      <c r="V34" s="828"/>
      <c r="W34" s="118"/>
      <c r="X34" s="118"/>
      <c r="Y34" s="118"/>
      <c r="Z34" s="118"/>
      <c r="AA34" s="118"/>
      <c r="AB34" s="206"/>
      <c r="AC34" s="206"/>
    </row>
    <row r="35" spans="1:29" ht="15" customHeight="1">
      <c r="A35" s="828"/>
      <c r="B35" s="448"/>
      <c r="C35" s="47" t="s">
        <v>744</v>
      </c>
      <c r="D35" s="47"/>
      <c r="E35" s="405"/>
      <c r="F35" s="213"/>
      <c r="G35" s="47"/>
      <c r="H35" s="727">
        <f>IFERROR(H19-H30,"")</f>
        <v>159.22432065571672</v>
      </c>
      <c r="I35" s="118"/>
      <c r="J35" s="808" t="str">
        <f>IF('Start Page'!$AB$22="million gallons (US)","MG/Yr",IF('Start Page'!$AB$22="Megalitres (thousand cubic metres)","ML/Yr",IF('Start Page'!$AB$22="acre-feet","Acre-ft/Yr","")))</f>
        <v>MG/Yr</v>
      </c>
      <c r="K35" s="808"/>
      <c r="L35" s="808"/>
      <c r="M35" s="808"/>
      <c r="N35" s="808"/>
      <c r="O35" s="118"/>
      <c r="P35" s="992"/>
      <c r="Q35" s="118"/>
      <c r="R35" s="118"/>
      <c r="S35" s="118"/>
      <c r="T35" s="118"/>
      <c r="U35" s="199"/>
      <c r="V35" s="828"/>
      <c r="W35" s="118"/>
      <c r="X35" s="118"/>
      <c r="Y35" s="118"/>
      <c r="Z35" s="118"/>
      <c r="AA35" s="118"/>
      <c r="AB35" s="206"/>
      <c r="AC35" s="206"/>
    </row>
    <row r="36" spans="1:29" ht="13.35" customHeight="1">
      <c r="A36" s="828"/>
      <c r="B36" s="448"/>
      <c r="C36" s="216"/>
      <c r="D36" s="205"/>
      <c r="E36" s="405"/>
      <c r="F36" s="213"/>
      <c r="G36" s="47"/>
      <c r="H36" s="118"/>
      <c r="I36" s="118"/>
      <c r="J36" s="118"/>
      <c r="K36" s="118"/>
      <c r="L36" s="118"/>
      <c r="M36" s="118"/>
      <c r="N36" s="118"/>
      <c r="O36" s="118"/>
      <c r="P36" s="992"/>
      <c r="Q36" s="118"/>
      <c r="R36" s="118"/>
      <c r="S36" s="118"/>
      <c r="T36" s="387"/>
      <c r="U36" s="199"/>
      <c r="V36" s="828"/>
      <c r="W36" s="118"/>
      <c r="X36" s="118"/>
      <c r="Y36" s="118"/>
      <c r="Z36" s="118"/>
      <c r="AA36" s="118"/>
      <c r="AB36" s="206"/>
      <c r="AC36" s="206"/>
    </row>
    <row r="37" spans="1:29">
      <c r="A37" s="828"/>
      <c r="B37" s="448"/>
      <c r="C37" s="79" t="s">
        <v>745</v>
      </c>
      <c r="D37" s="118"/>
      <c r="E37" s="410"/>
      <c r="F37" s="213"/>
      <c r="G37" s="152"/>
      <c r="H37" s="118"/>
      <c r="I37" s="118"/>
      <c r="J37" s="789"/>
      <c r="K37" s="789"/>
      <c r="L37" s="789"/>
      <c r="M37" s="789"/>
      <c r="N37" s="789"/>
      <c r="O37" s="205"/>
      <c r="P37" s="118"/>
      <c r="Q37" s="205"/>
      <c r="R37" s="118"/>
      <c r="S37" s="118"/>
      <c r="T37" s="387"/>
      <c r="U37" s="199"/>
      <c r="V37" s="828"/>
      <c r="W37" s="118"/>
      <c r="X37" s="118"/>
      <c r="Y37" s="118"/>
      <c r="Z37" s="118"/>
      <c r="AA37" s="118"/>
      <c r="AB37" s="206"/>
      <c r="AC37" s="206"/>
    </row>
    <row r="38" spans="1:29" ht="16.5" customHeight="1">
      <c r="A38" s="828"/>
      <c r="B38" s="448"/>
      <c r="C38" s="438"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411"/>
      <c r="F38" s="118"/>
      <c r="G38" s="118"/>
      <c r="H38" s="118"/>
      <c r="I38" s="118"/>
      <c r="J38" s="118"/>
      <c r="K38" s="118"/>
      <c r="L38" s="118"/>
      <c r="M38" s="118"/>
      <c r="N38" s="118"/>
      <c r="O38" s="118"/>
      <c r="P38" s="811" t="s">
        <v>599</v>
      </c>
      <c r="Q38" s="468"/>
      <c r="R38" s="118"/>
      <c r="S38" s="118"/>
      <c r="T38" s="387"/>
      <c r="U38" s="199"/>
      <c r="V38" s="828"/>
      <c r="W38" s="385"/>
      <c r="X38" s="118"/>
      <c r="Y38" s="118"/>
      <c r="Z38" s="118"/>
      <c r="AA38" s="118"/>
      <c r="AB38" s="206"/>
      <c r="AC38" s="206"/>
    </row>
    <row r="39" spans="1:29" ht="13.35" customHeight="1">
      <c r="A39" s="828"/>
      <c r="B39" s="448" t="s">
        <v>554</v>
      </c>
      <c r="C39" s="806" t="s">
        <v>746</v>
      </c>
      <c r="D39" s="700" t="s">
        <v>723</v>
      </c>
      <c r="E39" s="463" t="s">
        <v>724</v>
      </c>
      <c r="F39" s="390">
        <f>'Interactive Data Grading'!D271</f>
        <v>3</v>
      </c>
      <c r="G39" s="152"/>
      <c r="H39" s="848">
        <f>IF(OR(W39=1,AND(W39=2,Q39=0)),O39*SUM(H23:H24),Q39)</f>
        <v>1.8815700000000002</v>
      </c>
      <c r="I39" s="728"/>
      <c r="J39" s="808" t="str">
        <f>IF('Start Page'!$AB$22="million gallons (US)","MG/Yr",IF('Start Page'!$AB$22="Megalitres (thousand cubic metres)","ML/Yr",IF('Start Page'!$AB$22="acre-feet","Acre-ft/Yr","")))</f>
        <v>MG/Yr</v>
      </c>
      <c r="K39" s="808"/>
      <c r="L39" s="808"/>
      <c r="M39" s="808"/>
      <c r="N39" s="808"/>
      <c r="O39" s="391">
        <v>2.5000000000000001E-3</v>
      </c>
      <c r="P39" s="467" t="s">
        <v>611</v>
      </c>
      <c r="Q39" s="993"/>
      <c r="R39" s="993"/>
      <c r="S39" s="389" t="str">
        <f>IF('Start Page'!$AB$22="million gallons (US)","MG/Yr",IF('Start Page'!$AB$22="Megalitres (thousand cubic metres)","ML/Yr",IF('Start Page'!$AB$22="acre-feet","acre-ft/yr","")))</f>
        <v>MG/Yr</v>
      </c>
      <c r="T39" s="118"/>
      <c r="U39" s="199"/>
      <c r="V39" s="828"/>
      <c r="W39" s="385">
        <f>IF(P39="default",1,2)</f>
        <v>1</v>
      </c>
      <c r="X39" s="118"/>
      <c r="Y39" s="206">
        <f>IF(OR(AND(W41=1,LEN(O41)&gt;0,O41&gt;10%),AND(W41=2,LEN(Q41)&gt;0,Q41&gt;(10%*SUM(H23,H25)))),1,0)</f>
        <v>0</v>
      </c>
      <c r="Z39" s="118"/>
      <c r="AA39" s="118"/>
      <c r="AB39" s="206"/>
      <c r="AC39" s="206"/>
    </row>
    <row r="40" spans="1:29" ht="14.25" hidden="1" customHeight="1">
      <c r="A40" s="828"/>
      <c r="B40" s="448"/>
      <c r="C40" s="164"/>
      <c r="D40" s="410"/>
      <c r="E40" s="464"/>
      <c r="F40" s="152"/>
      <c r="G40" s="152"/>
      <c r="H40" s="440"/>
      <c r="I40" s="152"/>
      <c r="J40" s="808"/>
      <c r="K40" s="808"/>
      <c r="L40" s="808"/>
      <c r="M40" s="808"/>
      <c r="N40" s="808"/>
      <c r="O40" s="118"/>
      <c r="P40" s="468"/>
      <c r="Q40" s="468"/>
      <c r="R40" s="118"/>
      <c r="S40" s="118"/>
      <c r="T40" s="118"/>
      <c r="U40" s="199"/>
      <c r="V40" s="828"/>
      <c r="W40" s="385"/>
      <c r="X40" s="118"/>
      <c r="Y40" s="118"/>
      <c r="Z40" s="118"/>
      <c r="AA40" s="118"/>
      <c r="AB40" s="206"/>
      <c r="AC40" s="206"/>
    </row>
    <row r="41" spans="1:29" ht="15" customHeight="1">
      <c r="A41" s="828"/>
      <c r="B41" s="448" t="s">
        <v>556</v>
      </c>
      <c r="C41" s="806" t="s">
        <v>747</v>
      </c>
      <c r="D41" s="700" t="s">
        <v>723</v>
      </c>
      <c r="E41" s="463" t="s">
        <v>724</v>
      </c>
      <c r="F41" s="390">
        <f>'Interactive Data Grading'!D300</f>
        <v>4</v>
      </c>
      <c r="G41" s="152"/>
      <c r="H41" s="849">
        <f>IF(OR(T41="Select…..",T41=""),"Select under/over",IF(W41=1,((H23+H25)/(1-(O41*X41)))-(H23+H25),Q41*X41))</f>
        <v>15.43932653061222</v>
      </c>
      <c r="I41" s="728"/>
      <c r="J41" s="808" t="str">
        <f>IF('Start Page'!$AB$22="million gallons (US)","MG/Yr",IF('Start Page'!$AB$22="Megalitres (thousand cubic metres)","ML/Yr",IF('Start Page'!$AB$22="acre-feet","Acre-ft/Yr","")))</f>
        <v>MG/Yr</v>
      </c>
      <c r="K41" s="808"/>
      <c r="L41" s="808"/>
      <c r="M41" s="808"/>
      <c r="N41" s="808"/>
      <c r="O41" s="422">
        <v>0.02</v>
      </c>
      <c r="P41" s="467" t="s">
        <v>602</v>
      </c>
      <c r="Q41" s="993"/>
      <c r="R41" s="993"/>
      <c r="S41" s="389" t="str">
        <f>IF('Start Page'!$AB$22="million gallons (US)","MG/Yr",IF('Start Page'!$AB$22="Megalitres (thousand cubic metres)","ML/Yr",IF('Start Page'!$AB$22="acre-feet","acre-ft/yr","")))</f>
        <v>MG/Yr</v>
      </c>
      <c r="T41" s="492" t="s">
        <v>729</v>
      </c>
      <c r="U41" s="199"/>
      <c r="V41" s="828"/>
      <c r="W41" s="383">
        <f t="shared" ref="W41" si="5">IF(P41="percent",1,2)</f>
        <v>1</v>
      </c>
      <c r="X41" s="206">
        <f>IF(T41="Select…..","",IF(T41="Under-registration",1,-1))</f>
        <v>1</v>
      </c>
      <c r="Y41" s="850">
        <f>IF(AND(OR(LEN(O41)&gt;0,LEN(Q41)&gt;0),T41="Select….."),1,0)</f>
        <v>0</v>
      </c>
      <c r="Z41" s="118"/>
      <c r="AA41" s="118"/>
      <c r="AB41" s="206"/>
      <c r="AC41" s="206"/>
    </row>
    <row r="42" spans="1:29" ht="2.25" hidden="1" customHeight="1">
      <c r="A42" s="118"/>
      <c r="B42" s="448"/>
      <c r="C42" s="118"/>
      <c r="D42" s="411"/>
      <c r="E42" s="465"/>
      <c r="F42" s="851"/>
      <c r="G42" s="118"/>
      <c r="H42" s="754"/>
      <c r="I42" s="118"/>
      <c r="J42" s="118"/>
      <c r="K42" s="118"/>
      <c r="L42" s="118"/>
      <c r="M42" s="118"/>
      <c r="N42" s="118"/>
      <c r="O42" s="118"/>
      <c r="P42" s="118"/>
      <c r="Q42" s="118"/>
      <c r="R42" s="118"/>
      <c r="S42" s="118"/>
      <c r="T42" s="118"/>
      <c r="V42" s="118"/>
      <c r="W42" s="118"/>
      <c r="X42" s="118"/>
      <c r="Y42" s="118"/>
      <c r="Z42" s="118"/>
      <c r="AA42" s="118"/>
      <c r="AB42" s="206"/>
      <c r="AC42" s="206"/>
    </row>
    <row r="43" spans="1:29" ht="15" customHeight="1">
      <c r="A43" s="828"/>
      <c r="B43" s="448" t="s">
        <v>560</v>
      </c>
      <c r="C43" s="806" t="s">
        <v>748</v>
      </c>
      <c r="D43" s="700" t="s">
        <v>723</v>
      </c>
      <c r="E43" s="463" t="s">
        <v>724</v>
      </c>
      <c r="F43" s="390">
        <f>'Interactive Data Grading'!D322</f>
        <v>3</v>
      </c>
      <c r="G43" s="152"/>
      <c r="H43" s="727">
        <f>IF(OR(W43=1,AND(W43=2,Q43=0)),O43*SUM(H23:H24),Q43)</f>
        <v>1.8815700000000002</v>
      </c>
      <c r="I43" s="728"/>
      <c r="J43" s="808" t="str">
        <f>IF('Start Page'!$AB$22="million gallons (US)","MG/Yr",IF('Start Page'!$AB$22="Megalitres (thousand cubic metres)","ML/Yr",IF('Start Page'!$AB$22="acre-feet","Acre-ft/Yr","")))</f>
        <v>MG/Yr</v>
      </c>
      <c r="K43" s="808"/>
      <c r="L43" s="808"/>
      <c r="M43" s="808"/>
      <c r="N43" s="808"/>
      <c r="O43" s="391">
        <v>2.5000000000000001E-3</v>
      </c>
      <c r="P43" s="467" t="s">
        <v>611</v>
      </c>
      <c r="Q43" s="993"/>
      <c r="R43" s="993"/>
      <c r="S43" s="389" t="str">
        <f>IF('Start Page'!$AB$22="million gallons (US)","MG/Yr",IF('Start Page'!$AB$22="Megalitres (thousand cubic metres)","ML/Yr",IF('Start Page'!$AB$22="acre-feet","acre-ft/yr","")))</f>
        <v>MG/Yr</v>
      </c>
      <c r="T43" s="387"/>
      <c r="U43" s="199"/>
      <c r="V43" s="828"/>
      <c r="W43" s="385">
        <f>IF(P43="default",1,2)</f>
        <v>1</v>
      </c>
      <c r="X43" s="118"/>
      <c r="Y43" s="118"/>
      <c r="Z43" s="118"/>
      <c r="AA43" s="118"/>
      <c r="AB43" s="206"/>
      <c r="AC43" s="206"/>
    </row>
    <row r="44" spans="1:29">
      <c r="A44" s="828"/>
      <c r="B44" s="448"/>
      <c r="C44" s="438"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118"/>
      <c r="E44" s="118"/>
      <c r="F44" s="118"/>
      <c r="G44" s="118"/>
      <c r="H44" s="118"/>
      <c r="I44" s="118"/>
      <c r="J44" s="218"/>
      <c r="K44" s="218"/>
      <c r="L44" s="218"/>
      <c r="M44" s="808"/>
      <c r="N44" s="808"/>
      <c r="O44" s="118"/>
      <c r="P44" s="468"/>
      <c r="Q44" s="217"/>
      <c r="R44" s="217"/>
      <c r="S44" s="217"/>
      <c r="T44" s="1032" t="str">
        <f>IF(OR(Y41=1,T41=""),"Select CMI under- or over-registration above",IF(Y39=1,"An aggregate under-registration &gt; 10% of Billed Authorized Consumption has been entered",IF(X41=-1,"Aggregate over-registration of customer metering is unlikely","")))</f>
        <v/>
      </c>
      <c r="U44" s="199"/>
      <c r="V44" s="828"/>
      <c r="W44" s="118"/>
      <c r="X44" s="118"/>
      <c r="Y44" s="118"/>
      <c r="Z44" s="118"/>
      <c r="AA44" s="118"/>
      <c r="AB44" s="206"/>
      <c r="AC44" s="206"/>
    </row>
    <row r="45" spans="1:29" ht="2.25" customHeight="1">
      <c r="A45" s="828"/>
      <c r="B45" s="448"/>
      <c r="C45" s="164"/>
      <c r="D45" s="152"/>
      <c r="E45" s="410"/>
      <c r="F45" s="152"/>
      <c r="G45" s="152"/>
      <c r="H45" s="152"/>
      <c r="I45" s="152"/>
      <c r="J45" s="152"/>
      <c r="K45" s="152"/>
      <c r="L45" s="152"/>
      <c r="M45" s="808"/>
      <c r="N45" s="808"/>
      <c r="O45" s="118"/>
      <c r="P45" s="468"/>
      <c r="Q45" s="217"/>
      <c r="R45" s="217"/>
      <c r="S45" s="217"/>
      <c r="T45" s="1032"/>
      <c r="U45" s="199"/>
      <c r="V45" s="828"/>
      <c r="W45" s="118"/>
      <c r="X45" s="118"/>
      <c r="Y45" s="118"/>
      <c r="Z45" s="118"/>
      <c r="AA45" s="118"/>
      <c r="AB45" s="206"/>
      <c r="AC45" s="206"/>
    </row>
    <row r="46" spans="1:29" ht="14.1" customHeight="1">
      <c r="A46" s="828"/>
      <c r="B46" s="448"/>
      <c r="C46" s="1010" t="s">
        <v>749</v>
      </c>
      <c r="D46" s="1010"/>
      <c r="E46" s="1010"/>
      <c r="F46" s="1010"/>
      <c r="G46" s="164"/>
      <c r="H46" s="727">
        <f t="array" ref="H46">SUM(IF(ISNUMBER(H39:H43),H39:H43))</f>
        <v>19.20246653061222</v>
      </c>
      <c r="I46" s="152"/>
      <c r="J46" s="808" t="str">
        <f>IF('Start Page'!$AB$22="million gallons (US)","MG/Yr",IF('Start Page'!$AB$22="Megalitres (thousand cubic metres)","ML/Yr",IF('Start Page'!$AB$22="acre-feet","Acre-ft/Yr","")))</f>
        <v>MG/Yr</v>
      </c>
      <c r="K46" s="808"/>
      <c r="L46" s="808"/>
      <c r="M46" s="808"/>
      <c r="N46" s="808"/>
      <c r="O46" s="118"/>
      <c r="P46" s="118"/>
      <c r="Q46" s="217"/>
      <c r="R46" s="217"/>
      <c r="S46" s="118"/>
      <c r="T46" s="1032"/>
      <c r="U46" s="199"/>
      <c r="V46" s="828"/>
      <c r="W46" s="118"/>
      <c r="X46" s="118" t="s">
        <v>750</v>
      </c>
      <c r="Y46" s="118"/>
      <c r="Z46" s="118"/>
      <c r="AA46" s="118"/>
      <c r="AB46" s="206"/>
      <c r="AC46" s="206"/>
    </row>
    <row r="47" spans="1:29" ht="2.25" customHeight="1" thickBot="1">
      <c r="A47" s="828"/>
      <c r="B47" s="448"/>
      <c r="C47" s="152"/>
      <c r="D47" s="220"/>
      <c r="E47" s="412"/>
      <c r="F47" s="220"/>
      <c r="G47" s="220"/>
      <c r="H47" s="118"/>
      <c r="I47" s="220"/>
      <c r="J47" s="840"/>
      <c r="K47" s="840"/>
      <c r="L47" s="840"/>
      <c r="M47" s="840"/>
      <c r="N47" s="840"/>
      <c r="O47" s="468"/>
      <c r="P47" s="118"/>
      <c r="Q47" s="217"/>
      <c r="R47" s="217"/>
      <c r="S47" s="809"/>
      <c r="T47" s="1032"/>
      <c r="U47" s="199"/>
      <c r="V47" s="828"/>
      <c r="W47" s="118"/>
      <c r="X47" s="118"/>
      <c r="Y47" s="118"/>
      <c r="Z47" s="118"/>
      <c r="AA47" s="118"/>
      <c r="AB47" s="206"/>
      <c r="AC47" s="206"/>
    </row>
    <row r="48" spans="1:29" ht="18" customHeight="1">
      <c r="A48" s="828"/>
      <c r="B48" s="448"/>
      <c r="C48" s="1033" t="str">
        <f>IF(AND(H46&gt;=H35,(H46&lt;&gt;0)),"Check input values; APPARENT LOSSES should be less than WATER LOSSES","")</f>
        <v/>
      </c>
      <c r="D48" s="1033"/>
      <c r="E48" s="1033"/>
      <c r="F48" s="1033"/>
      <c r="G48" s="1033"/>
      <c r="H48" s="1033"/>
      <c r="I48" s="1033"/>
      <c r="J48" s="1033"/>
      <c r="K48" s="1033"/>
      <c r="L48" s="1033"/>
      <c r="M48" s="1033"/>
      <c r="N48" s="1033"/>
      <c r="O48" s="1033"/>
      <c r="P48" s="118"/>
      <c r="Q48" s="217"/>
      <c r="R48" s="217"/>
      <c r="S48" s="809"/>
      <c r="T48" s="1032"/>
      <c r="U48" s="199"/>
      <c r="V48" s="828"/>
      <c r="W48" s="118"/>
      <c r="X48" s="105" t="s">
        <v>751</v>
      </c>
      <c r="Y48" s="106" t="s">
        <v>752</v>
      </c>
      <c r="Z48" s="118"/>
      <c r="AA48" s="1030"/>
      <c r="AB48" s="1030"/>
      <c r="AC48" s="1030"/>
    </row>
    <row r="49" spans="1:29" ht="2.25" customHeight="1">
      <c r="A49" s="828"/>
      <c r="B49" s="448"/>
      <c r="C49" s="152"/>
      <c r="D49" s="220"/>
      <c r="E49" s="412"/>
      <c r="F49" s="221"/>
      <c r="G49" s="220"/>
      <c r="H49" s="118"/>
      <c r="I49" s="220"/>
      <c r="J49" s="840"/>
      <c r="K49" s="840"/>
      <c r="L49" s="840"/>
      <c r="M49" s="840"/>
      <c r="N49" s="840"/>
      <c r="O49" s="468"/>
      <c r="P49" s="118"/>
      <c r="Q49" s="217"/>
      <c r="R49" s="217"/>
      <c r="S49" s="217"/>
      <c r="T49" s="1032"/>
      <c r="U49" s="199"/>
      <c r="V49" s="828"/>
      <c r="W49" s="118"/>
      <c r="X49" s="852"/>
      <c r="Y49" s="853"/>
      <c r="Z49" s="118"/>
      <c r="AA49" s="1030"/>
      <c r="AB49" s="1030"/>
      <c r="AC49" s="1030"/>
    </row>
    <row r="50" spans="1:29" ht="15" customHeight="1" thickBot="1">
      <c r="A50" s="828"/>
      <c r="B50" s="448"/>
      <c r="C50" s="79" t="s">
        <v>753</v>
      </c>
      <c r="D50" s="220"/>
      <c r="E50" s="412"/>
      <c r="F50" s="219"/>
      <c r="G50" s="220"/>
      <c r="H50" s="789"/>
      <c r="I50" s="118"/>
      <c r="J50" s="789"/>
      <c r="K50" s="789"/>
      <c r="L50" s="789"/>
      <c r="M50" s="222"/>
      <c r="N50" s="789"/>
      <c r="O50" s="118"/>
      <c r="P50" s="118"/>
      <c r="Q50" s="217"/>
      <c r="R50" s="217"/>
      <c r="S50" s="217"/>
      <c r="T50" s="1032"/>
      <c r="U50" s="199"/>
      <c r="V50" s="828"/>
      <c r="W50" s="118"/>
      <c r="X50" s="854">
        <f>IFERROR(IF(W41=1,((H23)/(1-(O41*X41)))-(H23),Q41*H23/(H23+H25)),0)</f>
        <v>15.359755102040822</v>
      </c>
      <c r="Y50" s="855">
        <f>IFERROR(IF(W41=1,((H25)/(1-(O41*X41)))-(H25),Q41*H25/(H23+H25)),0)</f>
        <v>7.9571428571428626E-2</v>
      </c>
      <c r="Z50" s="856">
        <f>SUM(X50:Y50)</f>
        <v>15.43932653061225</v>
      </c>
      <c r="AA50" s="1030"/>
      <c r="AB50" s="1030"/>
      <c r="AC50" s="1030"/>
    </row>
    <row r="51" spans="1:29">
      <c r="A51" s="828"/>
      <c r="B51" s="448"/>
      <c r="C51" s="1010" t="s">
        <v>754</v>
      </c>
      <c r="D51" s="1010"/>
      <c r="E51" s="1010"/>
      <c r="F51" s="1010"/>
      <c r="G51" s="728"/>
      <c r="H51" s="727">
        <f>IFERROR(H35-H46,"")</f>
        <v>140.02185412510451</v>
      </c>
      <c r="I51" s="220"/>
      <c r="J51" s="808" t="str">
        <f>IF('Start Page'!$AB$22="million gallons (US)","MG/Yr",IF('Start Page'!$AB$22="Megalitres (thousand cubic metres)","ML/Yr",IF('Start Page'!$AB$22="acre-feet","Acre-ft/Yr","")))</f>
        <v>MG/Yr</v>
      </c>
      <c r="K51" s="808"/>
      <c r="L51" s="808"/>
      <c r="M51" s="223"/>
      <c r="N51" s="808"/>
      <c r="O51" s="118"/>
      <c r="P51" s="118"/>
      <c r="Q51" s="468"/>
      <c r="R51" s="118"/>
      <c r="S51" s="118"/>
      <c r="T51" s="118"/>
      <c r="U51" s="199"/>
      <c r="V51" s="828"/>
      <c r="W51" s="118"/>
      <c r="X51" s="857">
        <f>X50*input_CRUC*1000</f>
        <v>213039.80326530617</v>
      </c>
      <c r="Y51" s="857">
        <f>Y50*input_VPC</f>
        <v>65.947208571428618</v>
      </c>
      <c r="Z51" s="118"/>
      <c r="AA51" s="118"/>
      <c r="AB51" s="206"/>
      <c r="AC51" s="206"/>
    </row>
    <row r="52" spans="1:29">
      <c r="A52" s="828"/>
      <c r="B52" s="448"/>
      <c r="C52" s="222"/>
      <c r="D52" s="220"/>
      <c r="E52" s="412"/>
      <c r="F52" s="219"/>
      <c r="G52" s="220"/>
      <c r="H52" s="840"/>
      <c r="I52" s="220"/>
      <c r="J52" s="205"/>
      <c r="K52" s="205"/>
      <c r="L52" s="205"/>
      <c r="M52" s="205"/>
      <c r="N52" s="205"/>
      <c r="O52" s="118"/>
      <c r="P52" s="118"/>
      <c r="Q52" s="468"/>
      <c r="R52" s="118"/>
      <c r="S52" s="118"/>
      <c r="T52" s="118"/>
      <c r="U52" s="199"/>
      <c r="V52" s="828"/>
      <c r="W52" s="118"/>
      <c r="X52" s="118"/>
      <c r="Y52" s="118"/>
      <c r="Z52" s="118"/>
      <c r="AA52" s="118"/>
      <c r="AB52" s="206"/>
      <c r="AC52" s="206"/>
    </row>
    <row r="53" spans="1:29">
      <c r="A53" s="828"/>
      <c r="B53" s="448"/>
      <c r="C53" s="1011" t="s">
        <v>755</v>
      </c>
      <c r="D53" s="1011"/>
      <c r="E53" s="1011"/>
      <c r="F53" s="1011"/>
      <c r="G53" s="468"/>
      <c r="H53" s="727">
        <f>IFERROR(H46+H51,"")</f>
        <v>159.22432065571672</v>
      </c>
      <c r="I53" s="468"/>
      <c r="J53" s="808" t="str">
        <f>IF('Start Page'!$AB$22="million gallons (US)","MG/Yr",IF('Start Page'!$AB$22="Megalitres (thousand cubic metres)","ML/Yr",IF('Start Page'!$AB$22="acre-feet","Acre-ft/Yr","")))</f>
        <v>MG/Yr</v>
      </c>
      <c r="K53" s="808"/>
      <c r="L53" s="808"/>
      <c r="M53" s="808"/>
      <c r="N53" s="808"/>
      <c r="O53" s="118"/>
      <c r="P53" s="118"/>
      <c r="Q53" s="205"/>
      <c r="R53" s="118"/>
      <c r="S53" s="118"/>
      <c r="T53" s="118"/>
      <c r="U53" s="199"/>
      <c r="V53" s="828"/>
      <c r="W53" s="118"/>
      <c r="X53" s="118"/>
      <c r="Y53" s="118"/>
      <c r="Z53" s="118"/>
      <c r="AA53" s="118"/>
      <c r="AB53" s="206"/>
      <c r="AC53" s="206"/>
    </row>
    <row r="54" spans="1:29" ht="5.25" customHeight="1">
      <c r="A54" s="828"/>
      <c r="B54" s="448"/>
      <c r="C54" s="152"/>
      <c r="D54" s="224"/>
      <c r="E54" s="413"/>
      <c r="F54" s="219"/>
      <c r="G54" s="224"/>
      <c r="H54" s="468"/>
      <c r="I54" s="468"/>
      <c r="J54" s="468"/>
      <c r="K54" s="468"/>
      <c r="L54" s="468"/>
      <c r="M54" s="468"/>
      <c r="N54" s="468"/>
      <c r="O54" s="205"/>
      <c r="P54" s="205"/>
      <c r="Q54" s="205"/>
      <c r="R54" s="118"/>
      <c r="S54" s="118"/>
      <c r="T54" s="118"/>
      <c r="U54" s="199"/>
      <c r="V54" s="828"/>
      <c r="W54" s="118"/>
      <c r="X54" s="118"/>
      <c r="Y54" s="118"/>
      <c r="Z54" s="118"/>
      <c r="AA54" s="118"/>
      <c r="AB54" s="206"/>
      <c r="AC54" s="206"/>
    </row>
    <row r="55" spans="1:29" ht="6" customHeight="1">
      <c r="A55" s="828"/>
      <c r="B55" s="448"/>
      <c r="C55" s="431"/>
      <c r="D55" s="432"/>
      <c r="E55" s="433"/>
      <c r="F55" s="430"/>
      <c r="G55" s="432"/>
      <c r="H55" s="858"/>
      <c r="I55" s="858"/>
      <c r="J55" s="858"/>
      <c r="K55" s="858"/>
      <c r="L55" s="858"/>
      <c r="M55" s="858"/>
      <c r="N55" s="858"/>
      <c r="O55" s="844"/>
      <c r="P55" s="844"/>
      <c r="Q55" s="844"/>
      <c r="R55" s="843"/>
      <c r="S55" s="118"/>
      <c r="T55" s="118"/>
      <c r="U55" s="199"/>
      <c r="V55" s="828"/>
      <c r="W55" s="118"/>
      <c r="X55" s="118"/>
      <c r="Y55" s="118"/>
      <c r="Z55" s="118"/>
      <c r="AA55" s="118"/>
      <c r="AB55" s="206"/>
      <c r="AC55" s="206"/>
    </row>
    <row r="56" spans="1:29" ht="13.5" customHeight="1">
      <c r="A56" s="828"/>
      <c r="B56" s="448"/>
      <c r="C56" s="79" t="s">
        <v>756</v>
      </c>
      <c r="D56" s="220"/>
      <c r="E56" s="412"/>
      <c r="F56" s="219"/>
      <c r="G56" s="220"/>
      <c r="H56" s="840"/>
      <c r="I56" s="220"/>
      <c r="J56" s="205"/>
      <c r="K56" s="205"/>
      <c r="L56" s="205"/>
      <c r="M56" s="205"/>
      <c r="N56" s="205"/>
      <c r="O56" s="118"/>
      <c r="P56" s="118"/>
      <c r="Q56" s="468"/>
      <c r="R56" s="118"/>
      <c r="S56" s="118"/>
      <c r="T56" s="118"/>
      <c r="U56" s="199"/>
      <c r="V56" s="828"/>
      <c r="W56" s="118"/>
      <c r="X56" s="118"/>
      <c r="Y56" s="118"/>
      <c r="Z56" s="118"/>
      <c r="AA56" s="118"/>
      <c r="AB56" s="206"/>
      <c r="AC56" s="206"/>
    </row>
    <row r="57" spans="1:29" ht="13.5" customHeight="1">
      <c r="A57" s="828"/>
      <c r="B57" s="448"/>
      <c r="C57" s="1011" t="s">
        <v>757</v>
      </c>
      <c r="D57" s="1011"/>
      <c r="E57" s="1011"/>
      <c r="F57" s="1011"/>
      <c r="G57" s="728"/>
      <c r="H57" s="727">
        <f>IFERROR(H35+H25+H26,"")</f>
        <v>175.08432065571674</v>
      </c>
      <c r="I57" s="220"/>
      <c r="J57" s="808" t="str">
        <f>IF('Start Page'!$AB$22="million gallons (US)","MG/Yr",IF('Start Page'!$AB$22="Megalitres (thousand cubic metres)","ML/Yr",IF('Start Page'!$AB$22="acre-feet","Acre-ft/Yr","")))</f>
        <v>MG/Yr</v>
      </c>
      <c r="K57" s="808"/>
      <c r="L57" s="808"/>
      <c r="M57" s="226"/>
      <c r="N57" s="808"/>
      <c r="O57" s="118"/>
      <c r="P57" s="118"/>
      <c r="Q57" s="468"/>
      <c r="R57" s="118"/>
      <c r="S57" s="118"/>
      <c r="T57" s="118"/>
      <c r="U57" s="199"/>
      <c r="V57" s="828"/>
      <c r="W57" s="118"/>
      <c r="X57" s="118"/>
      <c r="Y57" s="118"/>
      <c r="Z57" s="118"/>
      <c r="AA57" s="118"/>
      <c r="AB57" s="206"/>
      <c r="AC57" s="206"/>
    </row>
    <row r="58" spans="1:29" ht="13.5" customHeight="1">
      <c r="A58" s="828"/>
      <c r="B58" s="448"/>
      <c r="C58" s="426"/>
      <c r="D58" s="195"/>
      <c r="E58" s="427"/>
      <c r="F58" s="195"/>
      <c r="G58" s="195"/>
      <c r="H58" s="195"/>
      <c r="I58" s="195"/>
      <c r="J58" s="195"/>
      <c r="K58" s="195"/>
      <c r="L58" s="195"/>
      <c r="M58" s="195"/>
      <c r="N58" s="195"/>
      <c r="O58" s="195"/>
      <c r="P58" s="195"/>
      <c r="Q58" s="195"/>
      <c r="R58" s="195"/>
      <c r="S58" s="195"/>
      <c r="T58" s="195"/>
      <c r="U58" s="199"/>
      <c r="V58" s="828"/>
      <c r="W58" s="118"/>
      <c r="X58" s="118"/>
      <c r="Y58" s="118"/>
      <c r="Z58" s="118"/>
      <c r="AA58" s="118"/>
      <c r="AB58" s="206"/>
      <c r="AC58" s="206"/>
    </row>
    <row r="59" spans="1:29" ht="16.5" customHeight="1">
      <c r="A59" s="828"/>
      <c r="B59" s="448"/>
      <c r="C59" s="428" t="s">
        <v>758</v>
      </c>
      <c r="D59" s="429"/>
      <c r="E59" s="429"/>
      <c r="F59" s="430"/>
      <c r="G59" s="428"/>
      <c r="H59" s="843"/>
      <c r="I59" s="843"/>
      <c r="J59" s="843"/>
      <c r="K59" s="843"/>
      <c r="L59" s="843"/>
      <c r="M59" s="843"/>
      <c r="N59" s="843"/>
      <c r="O59" s="843"/>
      <c r="P59" s="843"/>
      <c r="Q59" s="843"/>
      <c r="R59" s="843"/>
      <c r="S59" s="118"/>
      <c r="T59" s="118"/>
      <c r="U59" s="199"/>
      <c r="V59" s="828"/>
      <c r="W59" s="118"/>
      <c r="X59" s="118"/>
      <c r="Y59" s="118"/>
      <c r="Z59" s="118"/>
      <c r="AA59" s="118"/>
      <c r="AB59" s="206"/>
      <c r="AC59" s="206"/>
    </row>
    <row r="60" spans="1:29" ht="5.25" customHeight="1">
      <c r="A60" s="828"/>
      <c r="B60" s="448"/>
      <c r="C60" s="47"/>
      <c r="D60" s="405"/>
      <c r="E60" s="405"/>
      <c r="F60" s="225"/>
      <c r="G60" s="47"/>
      <c r="H60" s="118"/>
      <c r="I60" s="118"/>
      <c r="J60" s="118"/>
      <c r="K60" s="118"/>
      <c r="L60" s="118"/>
      <c r="M60" s="118"/>
      <c r="N60" s="118"/>
      <c r="O60" s="118"/>
      <c r="P60" s="118"/>
      <c r="Q60" s="118"/>
      <c r="R60" s="118"/>
      <c r="S60" s="118"/>
      <c r="T60" s="118"/>
      <c r="U60" s="199"/>
      <c r="V60" s="828"/>
      <c r="W60" s="118"/>
      <c r="X60" s="118"/>
      <c r="Y60" s="118"/>
      <c r="Z60" s="118"/>
      <c r="AA60" s="118"/>
      <c r="AB60" s="206"/>
      <c r="AC60" s="206"/>
    </row>
    <row r="61" spans="1:29">
      <c r="A61" s="828"/>
      <c r="B61" s="448" t="s">
        <v>563</v>
      </c>
      <c r="C61" s="806" t="s">
        <v>759</v>
      </c>
      <c r="D61" s="700" t="s">
        <v>723</v>
      </c>
      <c r="E61" s="463" t="s">
        <v>724</v>
      </c>
      <c r="F61" s="390">
        <f>'Interactive Data Grading'!D350</f>
        <v>10</v>
      </c>
      <c r="G61" s="47"/>
      <c r="H61" s="256">
        <v>194</v>
      </c>
      <c r="I61" s="227"/>
      <c r="J61" s="228" t="str">
        <f>IF(ISBLANK('Start Page'!$AB$22),"",IF('Start Page'!$AB$22="Megalitres (thousand cubic metres)","kilometers","miles"))</f>
        <v>miles</v>
      </c>
      <c r="K61" s="228"/>
      <c r="L61" s="228"/>
      <c r="M61" s="228" t="s">
        <v>760</v>
      </c>
      <c r="N61" s="228"/>
      <c r="O61" s="118"/>
      <c r="P61" s="118"/>
      <c r="Q61" s="118"/>
      <c r="R61" s="118"/>
      <c r="S61" s="118"/>
      <c r="T61" s="118"/>
      <c r="U61" s="199"/>
      <c r="V61" s="828"/>
      <c r="W61" s="118"/>
      <c r="X61" s="118"/>
      <c r="Y61" s="118"/>
      <c r="Z61" s="118"/>
      <c r="AA61" s="118"/>
      <c r="AB61" s="206"/>
      <c r="AC61" s="206"/>
    </row>
    <row r="62" spans="1:29">
      <c r="A62" s="828"/>
      <c r="B62" s="448" t="s">
        <v>567</v>
      </c>
      <c r="C62" s="806" t="s">
        <v>761</v>
      </c>
      <c r="D62" s="700" t="s">
        <v>723</v>
      </c>
      <c r="E62" s="463" t="s">
        <v>724</v>
      </c>
      <c r="F62" s="390">
        <f>'Interactive Data Grading'!D374</f>
        <v>10</v>
      </c>
      <c r="G62" s="47"/>
      <c r="H62" s="396">
        <v>12045</v>
      </c>
      <c r="I62" s="227"/>
      <c r="J62" s="228"/>
      <c r="K62" s="789"/>
      <c r="L62" s="789"/>
      <c r="M62" s="228" t="s">
        <v>762</v>
      </c>
      <c r="N62" s="789"/>
      <c r="O62" s="118"/>
      <c r="P62" s="118"/>
      <c r="Q62" s="118"/>
      <c r="R62" s="118"/>
      <c r="S62" s="118"/>
      <c r="T62" s="118"/>
      <c r="U62" s="199"/>
      <c r="V62" s="828"/>
      <c r="W62" s="118"/>
      <c r="X62" s="118"/>
      <c r="Y62" s="118"/>
      <c r="Z62" s="118"/>
      <c r="AA62" s="118"/>
      <c r="AB62" s="206"/>
      <c r="AC62" s="206"/>
    </row>
    <row r="63" spans="1:29">
      <c r="A63" s="828"/>
      <c r="B63" s="448"/>
      <c r="C63" s="806" t="s">
        <v>763</v>
      </c>
      <c r="D63" s="47"/>
      <c r="E63" s="405"/>
      <c r="F63" s="210"/>
      <c r="G63" s="47"/>
      <c r="H63" s="859">
        <f>IF(ISERROR(H62/H61),"",H62/H61)</f>
        <v>62.087628865979383</v>
      </c>
      <c r="I63" s="118"/>
      <c r="J63" s="228" t="str">
        <f>IF(ISBLANK('Start Page'!$AB$22),"",IF('Start Page'!$AB$22="Megalitres (thousand cubic metres)","conn./km","conn./mile")&amp; " main")</f>
        <v>conn./mile main</v>
      </c>
      <c r="K63" s="228"/>
      <c r="L63" s="228"/>
      <c r="M63" s="229"/>
      <c r="N63" s="228"/>
      <c r="O63" s="118"/>
      <c r="P63" s="118"/>
      <c r="Q63" s="118"/>
      <c r="R63" s="118"/>
      <c r="S63" s="118"/>
      <c r="T63" s="118"/>
      <c r="U63" s="199"/>
      <c r="V63" s="828"/>
      <c r="W63" s="118"/>
      <c r="X63" s="118"/>
      <c r="Y63" s="118"/>
      <c r="Z63" s="118"/>
      <c r="AA63" s="118"/>
      <c r="AB63" s="206"/>
      <c r="AC63" s="206"/>
    </row>
    <row r="64" spans="1:29" ht="13.35" customHeight="1">
      <c r="A64" s="828"/>
      <c r="B64" s="448"/>
      <c r="C64" s="439"/>
      <c r="D64" s="47"/>
      <c r="E64" s="405"/>
      <c r="F64" s="210"/>
      <c r="G64" s="210"/>
      <c r="H64" s="118"/>
      <c r="I64" s="118"/>
      <c r="J64" s="228"/>
      <c r="K64" s="228"/>
      <c r="L64" s="228"/>
      <c r="M64" s="229"/>
      <c r="N64" s="228"/>
      <c r="O64" s="118"/>
      <c r="P64" s="118"/>
      <c r="Q64" s="118"/>
      <c r="R64" s="118"/>
      <c r="S64" s="118"/>
      <c r="T64" s="118"/>
      <c r="U64" s="199"/>
      <c r="V64" s="828"/>
      <c r="W64" s="118"/>
      <c r="X64" s="118"/>
      <c r="Y64" s="118"/>
      <c r="Z64" s="118"/>
      <c r="AA64" s="118"/>
      <c r="AB64" s="206"/>
      <c r="AC64" s="206"/>
    </row>
    <row r="65" spans="1:26" ht="13.35" customHeight="1">
      <c r="A65" s="828"/>
      <c r="B65" s="448"/>
      <c r="C65" s="988" t="s">
        <v>764</v>
      </c>
      <c r="D65" s="988"/>
      <c r="E65" s="988"/>
      <c r="F65" s="988"/>
      <c r="G65" s="210"/>
      <c r="H65" s="257" t="s">
        <v>49</v>
      </c>
      <c r="I65" s="118"/>
      <c r="J65" s="228"/>
      <c r="K65" s="228"/>
      <c r="L65" s="228"/>
      <c r="M65" s="229"/>
      <c r="N65" s="228"/>
      <c r="O65" s="118"/>
      <c r="P65" s="118"/>
      <c r="Q65" s="118"/>
      <c r="R65" s="118"/>
      <c r="S65" s="118"/>
      <c r="T65" s="118"/>
      <c r="U65" s="199"/>
      <c r="V65" s="828"/>
      <c r="W65" s="860">
        <f>IF(H65="Yes",1,0)</f>
        <v>0</v>
      </c>
      <c r="X65" s="171" t="s">
        <v>765</v>
      </c>
      <c r="Y65" s="171"/>
      <c r="Z65" s="171"/>
    </row>
    <row r="66" spans="1:26" ht="13.5" customHeight="1">
      <c r="A66" s="828"/>
      <c r="B66" s="448" t="s">
        <v>573</v>
      </c>
      <c r="C66" s="806" t="s">
        <v>766</v>
      </c>
      <c r="D66" s="700" t="s">
        <v>723</v>
      </c>
      <c r="E66" s="463" t="s">
        <v>724</v>
      </c>
      <c r="F66" s="390">
        <f>'Interactive Data Grading'!D398</f>
        <v>10</v>
      </c>
      <c r="G66" s="47"/>
      <c r="H66" s="256">
        <v>22.1</v>
      </c>
      <c r="I66" s="47"/>
      <c r="J66" s="228" t="str">
        <f>IF(ISBLANK('Start Page'!$AB$22),"",IF('Start Page'!AB22="Megalitres (thousand cubic metres)","metres","ft"))</f>
        <v>ft</v>
      </c>
      <c r="K66" s="228"/>
      <c r="L66" s="228"/>
      <c r="M66" s="228" t="s">
        <v>767</v>
      </c>
      <c r="N66" s="228"/>
      <c r="O66" s="230"/>
      <c r="P66" s="230"/>
      <c r="Q66" s="230"/>
      <c r="R66" s="230"/>
      <c r="S66" s="230"/>
      <c r="T66" s="230"/>
      <c r="U66" s="199"/>
      <c r="V66" s="828"/>
      <c r="W66" s="860">
        <f>IF(H65="Yes",10,F66)</f>
        <v>10</v>
      </c>
      <c r="X66" s="171" t="s">
        <v>768</v>
      </c>
      <c r="Y66" s="171"/>
      <c r="Z66" s="171"/>
    </row>
    <row r="67" spans="1:26" ht="14.45" customHeight="1">
      <c r="A67" s="828"/>
      <c r="B67" s="448"/>
      <c r="C67" s="1012" t="str">
        <f>IF(H65="Yes","Average length of customer service line has been set to zero and a data grading of 10 has been applied","")</f>
        <v/>
      </c>
      <c r="D67" s="1012"/>
      <c r="E67" s="1012"/>
      <c r="F67" s="1012"/>
      <c r="G67" s="1012"/>
      <c r="H67" s="1012"/>
      <c r="I67" s="1012"/>
      <c r="J67" s="1012"/>
      <c r="K67" s="1012"/>
      <c r="L67" s="1012"/>
      <c r="M67" s="1012"/>
      <c r="N67" s="1012"/>
      <c r="O67" s="1012"/>
      <c r="P67" s="230"/>
      <c r="Q67" s="230"/>
      <c r="R67" s="230"/>
      <c r="S67" s="230"/>
      <c r="T67" s="230"/>
      <c r="U67" s="199"/>
      <c r="V67" s="828"/>
      <c r="W67" s="860">
        <f>IF(H65="Yes",0,H66)</f>
        <v>22.1</v>
      </c>
      <c r="X67" s="171" t="s">
        <v>769</v>
      </c>
      <c r="Y67" s="171"/>
      <c r="Z67" s="171"/>
    </row>
    <row r="68" spans="1:26">
      <c r="A68" s="828"/>
      <c r="B68" s="448" t="s">
        <v>577</v>
      </c>
      <c r="C68" s="806" t="s">
        <v>770</v>
      </c>
      <c r="D68" s="700" t="s">
        <v>723</v>
      </c>
      <c r="E68" s="463" t="s">
        <v>724</v>
      </c>
      <c r="F68" s="390">
        <f>'Interactive Data Grading'!D422</f>
        <v>8</v>
      </c>
      <c r="G68" s="47"/>
      <c r="H68" s="256">
        <v>62.4</v>
      </c>
      <c r="I68" s="231"/>
      <c r="J68" s="228" t="str">
        <f>IF(ISBLANK('Start Page'!$AB$22),"",IF('Start Page'!AB22="Megalitres (thousand cubic metres)","metres (head)","psi"))</f>
        <v>psi</v>
      </c>
      <c r="K68" s="228"/>
      <c r="L68" s="228"/>
      <c r="M68" s="228"/>
      <c r="N68" s="228"/>
      <c r="O68" s="118"/>
      <c r="P68" s="206"/>
      <c r="Q68" s="118"/>
      <c r="R68" s="118"/>
      <c r="S68" s="118"/>
      <c r="T68" s="118"/>
      <c r="U68" s="199"/>
      <c r="V68" s="828"/>
      <c r="W68" s="118"/>
      <c r="X68" s="118"/>
      <c r="Y68" s="118"/>
      <c r="Z68" s="118"/>
    </row>
    <row r="69" spans="1:26" ht="3" customHeight="1">
      <c r="A69" s="828"/>
      <c r="B69" s="448"/>
      <c r="C69" s="164"/>
      <c r="D69" s="47"/>
      <c r="E69" s="405"/>
      <c r="F69" s="47"/>
      <c r="G69" s="47"/>
      <c r="H69" s="47"/>
      <c r="I69" s="47"/>
      <c r="J69" s="228"/>
      <c r="K69" s="228"/>
      <c r="L69" s="228"/>
      <c r="M69" s="228"/>
      <c r="N69" s="228"/>
      <c r="O69" s="118"/>
      <c r="P69" s="206"/>
      <c r="Q69" s="118"/>
      <c r="R69" s="118"/>
      <c r="S69" s="118"/>
      <c r="T69" s="118"/>
      <c r="U69" s="199"/>
      <c r="V69" s="828"/>
      <c r="W69" s="118"/>
      <c r="X69" s="118"/>
      <c r="Y69" s="118"/>
      <c r="Z69" s="118"/>
    </row>
    <row r="70" spans="1:26">
      <c r="A70" s="828"/>
      <c r="B70" s="448"/>
      <c r="C70" s="144"/>
      <c r="D70" s="144"/>
      <c r="E70" s="144"/>
      <c r="F70" s="144"/>
      <c r="G70" s="144"/>
      <c r="H70" s="144"/>
      <c r="I70" s="144"/>
      <c r="J70" s="144"/>
      <c r="K70" s="144"/>
      <c r="L70" s="144"/>
      <c r="M70" s="144"/>
      <c r="N70" s="144"/>
      <c r="O70" s="144"/>
      <c r="P70" s="861"/>
      <c r="Q70" s="118"/>
      <c r="R70" s="118"/>
      <c r="S70" s="118"/>
      <c r="T70" s="118"/>
      <c r="U70" s="199"/>
      <c r="V70" s="828"/>
      <c r="W70" s="118">
        <f>IF('Start Page'!AB22="Megalitres (thousand cubic metres)",1,0)</f>
        <v>0</v>
      </c>
      <c r="X70" s="118"/>
      <c r="Y70" s="118"/>
      <c r="Z70" s="118"/>
    </row>
    <row r="71" spans="1:26" ht="2.25" customHeight="1">
      <c r="A71" s="828"/>
      <c r="B71" s="448"/>
      <c r="C71" s="203"/>
      <c r="D71" s="862"/>
      <c r="E71" s="414"/>
      <c r="F71" s="862"/>
      <c r="G71" s="862"/>
      <c r="H71" s="862"/>
      <c r="I71" s="862"/>
      <c r="J71" s="862"/>
      <c r="K71" s="862"/>
      <c r="L71" s="862"/>
      <c r="M71" s="862"/>
      <c r="N71" s="862"/>
      <c r="O71" s="862"/>
      <c r="P71" s="862"/>
      <c r="Q71" s="862"/>
      <c r="R71" s="862"/>
      <c r="S71" s="118"/>
      <c r="T71" s="118"/>
      <c r="U71" s="199"/>
      <c r="V71" s="828"/>
      <c r="W71" s="118"/>
      <c r="X71" s="118"/>
      <c r="Y71" s="118"/>
      <c r="Z71" s="118"/>
    </row>
    <row r="72" spans="1:26" ht="6" customHeight="1">
      <c r="A72" s="828"/>
      <c r="B72" s="448"/>
      <c r="C72" s="47"/>
      <c r="D72" s="47"/>
      <c r="E72" s="405"/>
      <c r="F72" s="225"/>
      <c r="G72" s="47"/>
      <c r="H72" s="118"/>
      <c r="I72" s="118"/>
      <c r="J72" s="118"/>
      <c r="K72" s="118"/>
      <c r="L72" s="118"/>
      <c r="M72" s="118"/>
      <c r="N72" s="118"/>
      <c r="O72" s="118"/>
      <c r="P72" s="118"/>
      <c r="Q72" s="118"/>
      <c r="R72" s="118"/>
      <c r="S72" s="118"/>
      <c r="T72" s="118"/>
      <c r="U72" s="199"/>
      <c r="V72" s="828"/>
      <c r="W72" s="118"/>
      <c r="X72" s="118"/>
      <c r="Y72" s="118"/>
      <c r="Z72" s="118"/>
    </row>
    <row r="73" spans="1:26" ht="13.5" customHeight="1">
      <c r="A73" s="828"/>
      <c r="B73" s="448"/>
      <c r="C73" s="47" t="s">
        <v>771</v>
      </c>
      <c r="D73" s="47"/>
      <c r="E73" s="405"/>
      <c r="F73" s="225"/>
      <c r="G73" s="47"/>
      <c r="H73" s="863"/>
      <c r="I73" s="118"/>
      <c r="J73" s="118"/>
      <c r="K73" s="118"/>
      <c r="L73" s="118"/>
      <c r="M73" s="118"/>
      <c r="N73" s="118"/>
      <c r="O73" s="118"/>
      <c r="P73" s="118"/>
      <c r="Q73" s="118"/>
      <c r="R73" s="118"/>
      <c r="S73" s="118"/>
      <c r="T73" s="118"/>
      <c r="U73" s="199"/>
      <c r="V73" s="828"/>
      <c r="W73" s="118"/>
      <c r="X73" s="118"/>
      <c r="Y73" s="118"/>
      <c r="Z73" s="118"/>
    </row>
    <row r="74" spans="1:26" ht="5.25" customHeight="1">
      <c r="A74" s="828"/>
      <c r="B74" s="448"/>
      <c r="C74" s="47"/>
      <c r="D74" s="47"/>
      <c r="E74" s="405"/>
      <c r="F74" s="225"/>
      <c r="G74" s="47"/>
      <c r="H74" s="118"/>
      <c r="I74" s="118"/>
      <c r="J74" s="118"/>
      <c r="K74" s="118"/>
      <c r="L74" s="118"/>
      <c r="M74" s="118"/>
      <c r="N74" s="118"/>
      <c r="O74" s="118"/>
      <c r="P74" s="118"/>
      <c r="Q74" s="118"/>
      <c r="R74" s="118"/>
      <c r="S74" s="118"/>
      <c r="T74" s="118"/>
      <c r="U74" s="199"/>
      <c r="V74" s="828"/>
      <c r="W74" s="118"/>
      <c r="X74" s="118"/>
      <c r="Y74" s="118"/>
      <c r="Z74" s="118"/>
    </row>
    <row r="75" spans="1:26" ht="14.25" hidden="1" customHeight="1">
      <c r="A75" s="828"/>
      <c r="B75" s="448"/>
      <c r="C75" s="207" t="s">
        <v>772</v>
      </c>
      <c r="D75" s="152"/>
      <c r="E75" s="410"/>
      <c r="F75" s="208" t="e">
        <f>'Interactive Data Grading'!#REF!</f>
        <v>#REF!</v>
      </c>
      <c r="G75" s="118"/>
      <c r="H75" s="864">
        <v>1000000</v>
      </c>
      <c r="I75" s="118"/>
      <c r="J75" s="228" t="s">
        <v>773</v>
      </c>
      <c r="K75" s="228"/>
      <c r="L75" s="228"/>
      <c r="M75" s="228"/>
      <c r="N75" s="118"/>
      <c r="O75" s="118"/>
      <c r="P75" s="118"/>
      <c r="Q75" s="118"/>
      <c r="R75" s="118"/>
      <c r="S75" s="118"/>
      <c r="T75" s="118"/>
      <c r="U75" s="199"/>
      <c r="V75" s="828"/>
      <c r="W75" s="118"/>
      <c r="X75" s="118"/>
      <c r="Y75" s="118"/>
      <c r="Z75" s="118"/>
    </row>
    <row r="76" spans="1:26" ht="14.25" customHeight="1">
      <c r="A76" s="828"/>
      <c r="B76" s="448" t="s">
        <v>579</v>
      </c>
      <c r="C76" s="806" t="s">
        <v>774</v>
      </c>
      <c r="D76" s="700" t="s">
        <v>723</v>
      </c>
      <c r="E76" s="425" t="s">
        <v>724</v>
      </c>
      <c r="F76" s="390">
        <f>'Interactive Data Grading'!D446</f>
        <v>10</v>
      </c>
      <c r="G76" s="118"/>
      <c r="H76" s="865">
        <v>13.87</v>
      </c>
      <c r="I76" s="118"/>
      <c r="J76" s="1018" t="s">
        <v>775</v>
      </c>
      <c r="K76" s="1019"/>
      <c r="L76" s="1019"/>
      <c r="M76" s="1020"/>
      <c r="N76" s="118"/>
      <c r="O76" s="1021" t="str">
        <f>IF(AND(NOT(ISBLANK(H76)),ISBLANK(J76)),"&lt;----Enter units","")</f>
        <v/>
      </c>
      <c r="P76" s="1021"/>
      <c r="Q76" s="1025" t="s">
        <v>776</v>
      </c>
      <c r="R76" s="1025"/>
      <c r="S76" s="1025"/>
      <c r="T76" s="118"/>
      <c r="U76" s="199"/>
      <c r="V76" s="828"/>
      <c r="W76" s="118"/>
      <c r="X76" s="118"/>
      <c r="Y76" s="118"/>
      <c r="Z76" s="118"/>
    </row>
    <row r="77" spans="1:26" ht="13.5" customHeight="1">
      <c r="A77" s="828"/>
      <c r="B77" s="448" t="s">
        <v>583</v>
      </c>
      <c r="C77" s="806" t="s">
        <v>777</v>
      </c>
      <c r="D77" s="700" t="s">
        <v>723</v>
      </c>
      <c r="E77" s="463" t="s">
        <v>724</v>
      </c>
      <c r="F77" s="390">
        <f>'Interactive Data Grading'!D469</f>
        <v>10</v>
      </c>
      <c r="G77" s="118"/>
      <c r="H77" s="865">
        <v>828.78</v>
      </c>
      <c r="I77" s="118"/>
      <c r="J77" s="808" t="str">
        <f>"$/"&amp;IF('Start Page'!$AB$22="million gallons (US)","Million gallons",IF('Start Page'!$AB$22="Megalitres (thousand cubic metres)","Megalitre",IF('Start Page'!$AB$22="acre-feet","acre-ft","")))</f>
        <v>$/Million gallons</v>
      </c>
      <c r="K77" s="1026" t="str">
        <f>IF(Z77=1,"&lt;&lt;&lt; Using CRUC as basis for VPC","")</f>
        <v/>
      </c>
      <c r="L77" s="1026"/>
      <c r="M77" s="1026"/>
      <c r="N77" s="1026"/>
      <c r="O77" s="1026"/>
      <c r="P77" s="1027"/>
      <c r="Q77" s="1022">
        <v>4637399</v>
      </c>
      <c r="R77" s="1023"/>
      <c r="S77" s="1024"/>
      <c r="T77" s="195" t="s">
        <v>778</v>
      </c>
      <c r="U77" s="199"/>
      <c r="V77" s="828"/>
      <c r="W77" s="118"/>
      <c r="X77" s="118"/>
      <c r="Y77" s="118"/>
      <c r="Z77" s="118">
        <f>IF('Interactive Data Grading'!D465=VPC!C28,1,0)</f>
        <v>0</v>
      </c>
    </row>
    <row r="78" spans="1:26" ht="2.25" customHeight="1">
      <c r="A78" s="828"/>
      <c r="B78" s="448"/>
      <c r="C78" s="47"/>
      <c r="D78" s="47"/>
      <c r="E78" s="405"/>
      <c r="F78" s="232"/>
      <c r="G78" s="47"/>
      <c r="H78" s="118"/>
      <c r="I78" s="118"/>
      <c r="J78" s="118"/>
      <c r="K78" s="118"/>
      <c r="L78" s="118"/>
      <c r="M78" s="118"/>
      <c r="N78" s="118"/>
      <c r="O78" s="118"/>
      <c r="P78" s="118"/>
      <c r="Q78" s="118"/>
      <c r="R78" s="118"/>
      <c r="S78" s="118"/>
      <c r="T78" s="118"/>
      <c r="U78" s="199"/>
      <c r="V78" s="828"/>
      <c r="W78" s="118"/>
      <c r="X78" s="118"/>
      <c r="Y78" s="118"/>
      <c r="Z78" s="118"/>
    </row>
    <row r="79" spans="1:26" ht="13.5" customHeight="1">
      <c r="A79" s="828"/>
      <c r="B79" s="448"/>
      <c r="C79" s="1013" t="str">
        <f>IF(OR(ISBLANK(J76),ISBLANK(J77),ISBLANK(H77),ISBLANK('Start Page'!AB22)),"",IF(H76*INDEX(Sheet1!B2:D4,MATCH('Start Page'!AB22,Sheet1!A2:A4,0),MATCH(J76,Sheet1!B1:D1,0))/H77&gt;1,"","Retail costs are less than (or equal to) production costs; please review and correct if necessary"))</f>
        <v/>
      </c>
      <c r="D79" s="1013"/>
      <c r="E79" s="1013"/>
      <c r="F79" s="1013"/>
      <c r="G79" s="1013"/>
      <c r="H79" s="1013"/>
      <c r="I79" s="1013"/>
      <c r="J79" s="1013"/>
      <c r="K79" s="1013"/>
      <c r="L79" s="1013"/>
      <c r="M79" s="1013"/>
      <c r="N79" s="1013"/>
      <c r="O79" s="1013"/>
      <c r="P79" s="1013"/>
      <c r="Q79" s="1013"/>
      <c r="R79" s="118"/>
      <c r="S79" s="118"/>
      <c r="T79" s="118"/>
      <c r="U79" s="199"/>
      <c r="V79" s="828"/>
      <c r="W79" s="118">
        <f>IF(OR(ISBLANK(J76),ISBLANK(J77),ISBLANK(H77)),"",IF(H76*INDEX(Sheet1!B2:D4,MATCH('Start Page'!AB22,Sheet1!A2:A4,0),MATCH(J76,Sheet1!B1:D1,0))/H77&gt;1,0,1))</f>
        <v>0</v>
      </c>
      <c r="X79" s="118"/>
      <c r="Y79" s="118"/>
      <c r="Z79" s="118"/>
    </row>
    <row r="80" spans="1:26" ht="2.25" customHeight="1">
      <c r="A80" s="828"/>
      <c r="B80" s="448"/>
      <c r="C80" s="203"/>
      <c r="D80" s="203"/>
      <c r="E80" s="415"/>
      <c r="F80" s="204"/>
      <c r="G80" s="203"/>
      <c r="H80" s="862"/>
      <c r="I80" s="862"/>
      <c r="J80" s="862"/>
      <c r="K80" s="862"/>
      <c r="L80" s="862"/>
      <c r="M80" s="862"/>
      <c r="N80" s="862"/>
      <c r="O80" s="862"/>
      <c r="P80" s="862"/>
      <c r="Q80" s="862"/>
      <c r="R80" s="862"/>
      <c r="S80" s="118"/>
      <c r="T80" s="118"/>
      <c r="U80" s="199"/>
      <c r="V80" s="828"/>
      <c r="W80" s="118"/>
      <c r="X80" s="118"/>
      <c r="Y80" s="118"/>
      <c r="Z80" s="118"/>
    </row>
    <row r="81" spans="1:31" ht="6" customHeight="1">
      <c r="A81" s="828"/>
      <c r="B81" s="448"/>
      <c r="C81" s="233"/>
      <c r="D81" s="47"/>
      <c r="E81" s="405"/>
      <c r="F81" s="198"/>
      <c r="G81" s="47"/>
      <c r="H81" s="118"/>
      <c r="I81" s="118"/>
      <c r="J81" s="118"/>
      <c r="K81" s="118"/>
      <c r="L81" s="118"/>
      <c r="M81" s="118"/>
      <c r="N81" s="118"/>
      <c r="O81" s="118"/>
      <c r="P81" s="118"/>
      <c r="Q81" s="118"/>
      <c r="R81" s="118"/>
      <c r="S81" s="118"/>
      <c r="T81" s="118"/>
      <c r="U81" s="199"/>
      <c r="V81" s="828"/>
      <c r="W81" s="118"/>
      <c r="X81" s="118"/>
      <c r="Y81" s="118"/>
      <c r="Z81" s="118"/>
      <c r="AA81" s="118"/>
      <c r="AB81" s="206"/>
      <c r="AC81" s="206"/>
      <c r="AD81" s="206"/>
      <c r="AE81" s="206"/>
    </row>
    <row r="82" spans="1:31" s="48" customFormat="1" ht="21" customHeight="1">
      <c r="A82" s="80"/>
      <c r="B82" s="449"/>
      <c r="C82" s="542" t="s">
        <v>779</v>
      </c>
      <c r="D82" s="235"/>
      <c r="E82" s="416"/>
      <c r="F82" s="236"/>
      <c r="G82" s="235"/>
      <c r="H82" s="235"/>
      <c r="P82" s="237"/>
      <c r="U82" s="238"/>
      <c r="V82" s="80"/>
      <c r="AB82" s="241"/>
      <c r="AC82" s="241"/>
      <c r="AD82" s="241"/>
      <c r="AE82" s="241"/>
    </row>
    <row r="83" spans="1:31" s="48" customFormat="1" ht="2.25" customHeight="1">
      <c r="A83" s="80"/>
      <c r="B83" s="449"/>
      <c r="C83" s="234"/>
      <c r="D83" s="235"/>
      <c r="E83" s="416"/>
      <c r="F83" s="236"/>
      <c r="G83" s="235"/>
      <c r="H83" s="235"/>
      <c r="P83" s="237"/>
      <c r="U83" s="238"/>
      <c r="V83" s="80"/>
      <c r="AB83" s="241"/>
      <c r="AC83" s="241"/>
      <c r="AD83" s="241"/>
      <c r="AE83" s="241"/>
    </row>
    <row r="84" spans="1:31" s="49" customFormat="1" ht="22.5" customHeight="1">
      <c r="A84" s="81"/>
      <c r="B84" s="449"/>
      <c r="C84" s="1015"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IV (71-90). See Dashboard tab for additional outputs. ***</v>
      </c>
      <c r="D84" s="1016"/>
      <c r="E84" s="1016"/>
      <c r="F84" s="1016"/>
      <c r="G84" s="1016"/>
      <c r="H84" s="1016"/>
      <c r="I84" s="1016"/>
      <c r="J84" s="1016"/>
      <c r="K84" s="1016"/>
      <c r="L84" s="1016"/>
      <c r="M84" s="1016"/>
      <c r="N84" s="1016"/>
      <c r="O84" s="1016"/>
      <c r="P84" s="1016"/>
      <c r="Q84" s="1016"/>
      <c r="R84" s="1017"/>
      <c r="S84" s="704" t="s">
        <v>780</v>
      </c>
      <c r="T84" s="239"/>
      <c r="U84" s="240"/>
      <c r="V84" s="81"/>
      <c r="W84" s="55">
        <f>'M36 Refs'!AN118</f>
        <v>0</v>
      </c>
      <c r="X84" s="49" t="str">
        <f>Dashboard!BR4</f>
        <v>Tier IV (71-90)</v>
      </c>
    </row>
    <row r="85" spans="1:31" s="49" customFormat="1" ht="2.25" customHeight="1">
      <c r="A85" s="81"/>
      <c r="B85" s="449"/>
      <c r="C85" s="241"/>
      <c r="D85" s="242"/>
      <c r="E85" s="417"/>
      <c r="F85" s="236"/>
      <c r="G85" s="243"/>
      <c r="H85" s="242"/>
      <c r="P85" s="244"/>
      <c r="U85" s="240"/>
      <c r="V85" s="81"/>
      <c r="W85" s="55"/>
    </row>
    <row r="86" spans="1:31" s="49" customFormat="1" ht="19.5" customHeight="1">
      <c r="A86" s="81"/>
      <c r="B86" s="449"/>
      <c r="C86" s="1014"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14"/>
      <c r="E86" s="1014"/>
      <c r="F86" s="1014"/>
      <c r="G86" s="1014"/>
      <c r="H86" s="1014"/>
      <c r="I86" s="1014"/>
      <c r="J86" s="1014"/>
      <c r="K86" s="1014"/>
      <c r="L86" s="1014"/>
      <c r="M86" s="1014"/>
      <c r="N86" s="1014"/>
      <c r="O86" s="1014"/>
      <c r="P86" s="1014"/>
      <c r="Q86" s="1014"/>
      <c r="R86" s="1014"/>
      <c r="S86" s="241"/>
      <c r="T86" s="241"/>
      <c r="U86" s="240"/>
      <c r="V86" s="81"/>
      <c r="W86" s="55"/>
    </row>
    <row r="87" spans="1:31" s="46" customFormat="1" ht="21.75" customHeight="1">
      <c r="A87" s="82"/>
      <c r="B87" s="449"/>
      <c r="C87" s="499" t="s">
        <v>781</v>
      </c>
      <c r="D87" s="742"/>
      <c r="E87" s="742"/>
      <c r="F87" s="470"/>
      <c r="G87" s="470"/>
      <c r="H87" s="470"/>
      <c r="I87" s="470"/>
      <c r="J87" s="470"/>
      <c r="K87" s="470"/>
      <c r="L87" s="499" t="s">
        <v>782</v>
      </c>
      <c r="N87" s="470"/>
      <c r="O87" s="118"/>
      <c r="P87" s="456"/>
      <c r="Q87" s="456"/>
      <c r="R87" s="456"/>
      <c r="S87" s="245"/>
      <c r="T87" s="245"/>
      <c r="U87" s="240"/>
      <c r="V87" s="82"/>
      <c r="AB87" s="49"/>
      <c r="AC87" s="49"/>
      <c r="AD87" s="49"/>
      <c r="AE87" s="49"/>
    </row>
    <row r="88" spans="1:31" s="46" customFormat="1" ht="19.5" customHeight="1">
      <c r="A88" s="82"/>
      <c r="B88" s="449"/>
      <c r="C88" s="717" t="s">
        <v>783</v>
      </c>
      <c r="D88" s="246"/>
      <c r="E88" s="246"/>
      <c r="F88" s="246"/>
      <c r="G88" s="246"/>
      <c r="H88" s="246"/>
      <c r="I88" s="246"/>
      <c r="J88" s="246"/>
      <c r="K88" s="246"/>
      <c r="L88" s="717" t="s">
        <v>784</v>
      </c>
      <c r="N88" s="246"/>
      <c r="P88" s="246"/>
      <c r="Q88" s="246"/>
      <c r="R88" s="246"/>
      <c r="S88" s="246"/>
      <c r="T88" s="246"/>
      <c r="U88" s="240"/>
      <c r="V88" s="82"/>
      <c r="AB88" s="49"/>
      <c r="AC88" s="49"/>
      <c r="AD88" s="49"/>
      <c r="AE88" s="49"/>
    </row>
    <row r="89" spans="1:31" s="46" customFormat="1" ht="15" customHeight="1">
      <c r="A89" s="82"/>
      <c r="B89" s="449"/>
      <c r="C89" s="397" t="str">
        <f ca="1">IFERROR(IF(ISERROR('M36 Refs'!AN118),"","     1: "&amp;VLOOKUP(1,'M36 Refs'!$AJ$98:$AK$117,2,FALSE)),"")</f>
        <v xml:space="preserve">     1: Customer Metering Inaccuracies (CMI)</v>
      </c>
      <c r="D89" s="247"/>
      <c r="E89" s="418"/>
      <c r="F89" s="248"/>
      <c r="G89" s="247"/>
      <c r="R89" s="722" t="s">
        <v>785</v>
      </c>
      <c r="S89" s="720"/>
      <c r="T89" s="723" t="str">
        <f>Dashboard!AD29</f>
        <v>gal/conn/day</v>
      </c>
      <c r="U89" s="240"/>
      <c r="V89" s="82"/>
      <c r="AB89" s="49"/>
      <c r="AC89" s="49"/>
      <c r="AD89" s="49"/>
      <c r="AE89" s="49"/>
    </row>
    <row r="90" spans="1:31" s="46" customFormat="1" ht="15" customHeight="1">
      <c r="A90" s="82"/>
      <c r="B90" s="449"/>
      <c r="C90" s="397" t="str">
        <f ca="1">IFERROR(IF(ISERROR('M36 Refs'!AN118),"","     2: "&amp;VLOOKUP(2,'M36 Refs'!$AJ$98:$AK$117,2,FALSE)),"")</f>
        <v xml:space="preserve">     2: Unauthorized Consumption (UC)</v>
      </c>
      <c r="D90" s="247"/>
      <c r="E90" s="418"/>
      <c r="F90" s="248"/>
      <c r="G90" s="247"/>
      <c r="R90" s="722" t="s">
        <v>786</v>
      </c>
      <c r="S90" s="720"/>
      <c r="T90" s="724" t="str">
        <f>Dashboard!AN29</f>
        <v>gal/conn/day</v>
      </c>
      <c r="U90" s="240"/>
      <c r="V90" s="82"/>
      <c r="AB90" s="49"/>
      <c r="AC90" s="49"/>
      <c r="AD90" s="49"/>
      <c r="AE90" s="49"/>
    </row>
    <row r="91" spans="1:31" s="46" customFormat="1" ht="15" customHeight="1">
      <c r="A91" s="82"/>
      <c r="B91" s="449"/>
      <c r="C91" s="397" t="str">
        <f ca="1">IFERROR(IF(ISERROR('M36 Refs'!AN118),"","     3: "&amp;VLOOKUP(3,'M36 Refs'!$AJ$98:$AK$117,2,FALSE)),"")</f>
        <v xml:space="preserve">     3: Systematic Data Handling Errors (SDHE)</v>
      </c>
      <c r="D91" s="247"/>
      <c r="E91" s="418"/>
      <c r="F91" s="248"/>
      <c r="G91" s="247"/>
      <c r="R91" s="722" t="s">
        <v>787</v>
      </c>
      <c r="S91" s="720"/>
      <c r="T91" s="723" t="str">
        <f>Dashboard!AX29</f>
        <v>gal/conn/day</v>
      </c>
      <c r="U91" s="240"/>
      <c r="V91" s="82"/>
      <c r="AB91" s="49"/>
      <c r="AC91" s="49"/>
      <c r="AD91" s="49"/>
      <c r="AE91" s="49"/>
    </row>
    <row r="92" spans="1:31" s="46" customFormat="1" ht="15" customHeight="1">
      <c r="A92" s="82"/>
      <c r="B92" s="449"/>
      <c r="C92" s="234"/>
      <c r="D92" s="247"/>
      <c r="E92" s="418"/>
      <c r="F92" s="248"/>
      <c r="G92" s="247"/>
      <c r="R92" s="722" t="s">
        <v>788</v>
      </c>
      <c r="S92" s="721"/>
      <c r="T92" s="723" t="str">
        <f>Dashboard!AV41</f>
        <v>gal/mile/day</v>
      </c>
      <c r="U92" s="240"/>
      <c r="V92" s="82"/>
      <c r="AB92" s="49"/>
      <c r="AC92" s="49"/>
      <c r="AD92" s="49"/>
      <c r="AE92" s="49"/>
    </row>
    <row r="93" spans="1:31" s="46" customFormat="1" ht="15" customHeight="1">
      <c r="A93" s="82"/>
      <c r="B93" s="449"/>
      <c r="C93" s="234"/>
      <c r="D93" s="247"/>
      <c r="E93" s="418"/>
      <c r="F93" s="248"/>
      <c r="G93" s="247"/>
      <c r="M93" s="46" t="s">
        <v>789</v>
      </c>
      <c r="U93" s="240"/>
      <c r="V93" s="82"/>
      <c r="AB93" s="49"/>
      <c r="AC93" s="49"/>
      <c r="AD93" s="49"/>
      <c r="AE93" s="49"/>
    </row>
    <row r="94" spans="1:31" s="46" customFormat="1" ht="14.25" customHeight="1" thickBot="1">
      <c r="A94" s="82"/>
      <c r="B94" s="450"/>
      <c r="C94" s="249"/>
      <c r="D94" s="250"/>
      <c r="E94" s="419"/>
      <c r="F94" s="251"/>
      <c r="G94" s="250"/>
      <c r="H94" s="252"/>
      <c r="I94" s="252"/>
      <c r="J94" s="252"/>
      <c r="K94" s="252"/>
      <c r="L94" s="252"/>
      <c r="M94" s="741"/>
      <c r="N94" s="252"/>
      <c r="O94" s="252"/>
      <c r="P94" s="252"/>
      <c r="Q94" s="252"/>
      <c r="R94" s="252"/>
      <c r="S94" s="252"/>
      <c r="T94" s="252"/>
      <c r="U94" s="253"/>
      <c r="V94" s="82"/>
      <c r="AB94" s="49"/>
      <c r="AC94" s="49"/>
      <c r="AD94" s="49"/>
      <c r="AE94" s="49"/>
    </row>
    <row r="95" spans="1:31" s="46" customFormat="1" ht="6.75" customHeight="1" thickTop="1">
      <c r="A95" s="82"/>
      <c r="B95" s="451"/>
      <c r="C95" s="82"/>
      <c r="D95" s="82"/>
      <c r="E95" s="420"/>
      <c r="F95" s="83"/>
      <c r="G95" s="82"/>
      <c r="H95" s="82"/>
      <c r="I95" s="82"/>
      <c r="J95" s="82"/>
      <c r="K95" s="82"/>
      <c r="L95" s="82"/>
      <c r="M95" s="82"/>
      <c r="N95" s="82"/>
      <c r="O95" s="82"/>
      <c r="P95" s="82"/>
      <c r="Q95" s="82"/>
      <c r="R95" s="82"/>
      <c r="S95" s="82"/>
      <c r="T95" s="82"/>
      <c r="U95" s="158"/>
      <c r="V95" s="82"/>
      <c r="AB95" s="49"/>
      <c r="AC95" s="49"/>
      <c r="AD95" s="49"/>
      <c r="AE95" s="49"/>
    </row>
    <row r="96" spans="1:31" s="46" customFormat="1" ht="16.5" hidden="1">
      <c r="A96" s="82"/>
      <c r="B96" s="452"/>
      <c r="C96" s="44"/>
      <c r="D96" s="44"/>
      <c r="E96" s="421"/>
      <c r="F96" s="45"/>
      <c r="G96" s="44"/>
      <c r="H96" s="44"/>
      <c r="I96" s="44"/>
      <c r="J96" s="44"/>
      <c r="K96" s="44"/>
      <c r="L96" s="44"/>
      <c r="M96" s="44"/>
      <c r="N96" s="44"/>
      <c r="O96" s="44"/>
      <c r="P96" s="44"/>
      <c r="Q96" s="44"/>
      <c r="R96" s="44"/>
      <c r="S96" s="44"/>
      <c r="T96" s="44"/>
      <c r="U96" s="159"/>
      <c r="V96" s="82"/>
      <c r="AB96" s="49"/>
      <c r="AC96" s="49"/>
      <c r="AD96" s="49"/>
      <c r="AE96" s="49"/>
    </row>
    <row r="97" spans="1:31" s="46" customFormat="1" ht="16.5" hidden="1">
      <c r="A97" s="82"/>
      <c r="B97" s="452"/>
      <c r="C97" s="44"/>
      <c r="D97" s="44"/>
      <c r="E97" s="421"/>
      <c r="F97" s="45"/>
      <c r="G97" s="44"/>
      <c r="H97" s="44"/>
      <c r="I97" s="44"/>
      <c r="J97" s="44"/>
      <c r="K97" s="44"/>
      <c r="L97" s="44"/>
      <c r="M97" s="44"/>
      <c r="N97" s="44"/>
      <c r="O97" s="44"/>
      <c r="P97" s="44"/>
      <c r="Q97" s="44"/>
      <c r="R97" s="44"/>
      <c r="S97" s="44"/>
      <c r="T97" s="44"/>
      <c r="U97" s="159"/>
      <c r="V97" s="82"/>
      <c r="AB97" s="49"/>
      <c r="AC97" s="49"/>
      <c r="AD97" s="49"/>
      <c r="AE97" s="49"/>
    </row>
    <row r="98" spans="1:31" s="46" customFormat="1" ht="16.5" hidden="1">
      <c r="A98" s="82"/>
      <c r="B98" s="452"/>
      <c r="C98" s="44"/>
      <c r="D98" s="44"/>
      <c r="E98" s="421"/>
      <c r="F98" s="45"/>
      <c r="G98" s="44"/>
      <c r="H98" s="44"/>
      <c r="I98" s="44"/>
      <c r="J98" s="44"/>
      <c r="K98" s="44"/>
      <c r="L98" s="44"/>
      <c r="M98" s="44"/>
      <c r="N98" s="44"/>
      <c r="O98" s="44"/>
      <c r="P98" s="44"/>
      <c r="Q98" s="44"/>
      <c r="R98" s="44"/>
      <c r="S98" s="44"/>
      <c r="T98" s="44"/>
      <c r="U98" s="159"/>
      <c r="V98" s="82"/>
      <c r="AB98" s="49"/>
      <c r="AC98" s="49"/>
      <c r="AD98" s="49"/>
      <c r="AE98" s="49"/>
    </row>
    <row r="99" spans="1:31" hidden="1">
      <c r="A99" s="118"/>
      <c r="C99" s="118"/>
      <c r="D99" s="118"/>
      <c r="F99" s="851"/>
      <c r="G99" s="118"/>
      <c r="H99" s="866"/>
      <c r="I99" s="866"/>
      <c r="J99" s="866"/>
      <c r="K99" s="866"/>
      <c r="L99" s="866"/>
      <c r="M99" s="866"/>
      <c r="N99" s="866"/>
      <c r="O99" s="118"/>
      <c r="P99" s="118"/>
      <c r="Q99" s="118"/>
      <c r="R99" s="118"/>
      <c r="S99" s="118"/>
      <c r="T99" s="118"/>
      <c r="V99" s="118"/>
      <c r="W99" s="118"/>
      <c r="X99" s="118"/>
      <c r="Y99" s="118"/>
      <c r="Z99" s="118"/>
      <c r="AA99" s="118"/>
      <c r="AB99" s="206"/>
      <c r="AC99" s="206"/>
      <c r="AD99" s="206"/>
      <c r="AE99" s="206"/>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116" activePane="bottomLeft" state="frozen"/>
      <selection activeCell="B15" sqref="B15:F17"/>
      <selection pane="bottomLeft" activeCell="D126" sqref="D126"/>
    </sheetView>
  </sheetViews>
  <sheetFormatPr defaultColWidth="8.85546875" defaultRowHeight="11.25" zeroHeight="1"/>
  <cols>
    <col min="1" max="1" width="0.7109375" style="162" customWidth="1"/>
    <col min="2" max="2" width="7.140625" style="162" customWidth="1"/>
    <col min="3" max="3" width="54.5703125" style="162" customWidth="1"/>
    <col min="4" max="4" width="75.28515625" style="162" customWidth="1"/>
    <col min="5" max="5" width="12.28515625" style="630" customWidth="1"/>
    <col min="6" max="6" width="1.85546875" style="162" hidden="1" customWidth="1"/>
    <col min="7" max="7" width="4.42578125" style="669" hidden="1" customWidth="1"/>
    <col min="8" max="8" width="10.42578125" style="669" hidden="1" customWidth="1"/>
    <col min="9" max="9" width="12.140625" style="670" hidden="1" customWidth="1"/>
    <col min="10" max="10" width="18.140625" style="669" hidden="1" customWidth="1"/>
    <col min="11" max="18" width="8.85546875" style="669" hidden="1" customWidth="1"/>
    <col min="19" max="19" width="4.5703125" style="162" hidden="1" customWidth="1"/>
    <col min="20" max="26" width="8.85546875" style="162" hidden="1" customWidth="1"/>
    <col min="27" max="16384" width="8.85546875" style="162"/>
  </cols>
  <sheetData>
    <row r="1" spans="1:20" ht="15" customHeight="1">
      <c r="A1" s="495"/>
      <c r="B1" s="765" t="str">
        <f>IF(ISBLANK('Start Page'!AB9),"Enter info on Start Page",'Start Page'!AB9&amp;IF(ISBLANK('Start Page'!AM28),"","  ("&amp;'Start Page'!AM28&amp;")"))</f>
        <v>PAW - 520 Yardley</v>
      </c>
      <c r="C1" s="495"/>
      <c r="D1" s="496"/>
      <c r="E1" s="750" t="s">
        <v>790</v>
      </c>
    </row>
    <row r="2" spans="1:20" ht="30.6" customHeight="1">
      <c r="A2" s="367"/>
      <c r="B2" s="749">
        <f>IF(ISBLANK('Start Page'!AB18),"",'Start Page'!AB18)</f>
        <v>2023</v>
      </c>
      <c r="C2" s="367"/>
      <c r="D2" s="367"/>
      <c r="E2" s="1035" t="s">
        <v>791</v>
      </c>
    </row>
    <row r="3" spans="1:20" ht="38.25" customHeight="1">
      <c r="A3" s="367"/>
      <c r="B3" s="706"/>
      <c r="C3" s="367"/>
      <c r="D3" s="367"/>
      <c r="E3" s="1036"/>
    </row>
    <row r="4" spans="1:20" ht="1.35" customHeight="1"/>
    <row r="5" spans="1:20" s="368" customFormat="1" ht="16.350000000000001" customHeight="1">
      <c r="A5" s="1046" t="s">
        <v>792</v>
      </c>
      <c r="B5" s="1047"/>
      <c r="C5" s="1037" t="s">
        <v>793</v>
      </c>
      <c r="D5" s="1037"/>
      <c r="E5" s="750" t="s">
        <v>794</v>
      </c>
      <c r="G5" s="671"/>
      <c r="H5" s="671"/>
      <c r="I5" s="672"/>
      <c r="J5" s="671"/>
      <c r="K5" s="671"/>
      <c r="L5" s="671"/>
      <c r="M5" s="671"/>
      <c r="N5" s="671"/>
      <c r="O5" s="671"/>
      <c r="P5" s="671"/>
      <c r="Q5" s="671"/>
      <c r="R5" s="671"/>
    </row>
    <row r="6" spans="1:20" ht="14.45" customHeight="1">
      <c r="A6" s="163"/>
      <c r="B6" s="163"/>
      <c r="C6" s="1045" t="str">
        <f>IF(OR(AND(D8="Yes",Worksheet!H15&gt;0),AND(D8="No",Worksheet!H15&lt;=0),LEN(D8)=0),"","Inconsistency between Worksheet VOS input and vos.0 response")</f>
        <v/>
      </c>
      <c r="D6" s="1045"/>
      <c r="E6" s="629"/>
      <c r="F6" s="258"/>
      <c r="H6" s="673"/>
      <c r="I6" s="673"/>
      <c r="P6" s="685" t="s">
        <v>795</v>
      </c>
      <c r="T6" s="162" t="s">
        <v>796</v>
      </c>
    </row>
    <row r="7" spans="1:20" s="462" customFormat="1" ht="12">
      <c r="A7" s="458"/>
      <c r="B7" s="459" t="s">
        <v>797</v>
      </c>
      <c r="C7" s="460" t="s">
        <v>798</v>
      </c>
      <c r="D7" s="460" t="s">
        <v>799</v>
      </c>
      <c r="E7" s="628"/>
      <c r="F7" s="461"/>
      <c r="G7" s="674"/>
      <c r="H7" s="675" t="s">
        <v>800</v>
      </c>
      <c r="I7" s="675" t="s">
        <v>801</v>
      </c>
      <c r="J7" s="674" t="s">
        <v>802</v>
      </c>
      <c r="K7" s="674"/>
      <c r="L7" s="674"/>
      <c r="M7" s="674"/>
      <c r="N7" s="674"/>
      <c r="O7" s="674"/>
      <c r="P7" s="693" t="str">
        <f>VOS!C23</f>
        <v>&lt;25%</v>
      </c>
      <c r="Q7" s="694">
        <v>0</v>
      </c>
      <c r="R7" s="674">
        <f>VLOOKUP(D9,$P$7:$Q$15,2,FALSE)</f>
        <v>1</v>
      </c>
      <c r="S7" s="462" t="s">
        <v>517</v>
      </c>
      <c r="T7" s="462">
        <v>1</v>
      </c>
    </row>
    <row r="8" spans="1:20" ht="20.100000000000001" customHeight="1">
      <c r="A8" s="163"/>
      <c r="B8" s="441" t="s">
        <v>803</v>
      </c>
      <c r="C8" s="743" t="str">
        <f>VOS!B34</f>
        <v>Did the water utility supply any water from its own sources during the audit year?</v>
      </c>
      <c r="D8" s="264" t="s">
        <v>62</v>
      </c>
      <c r="E8" s="628"/>
      <c r="F8" s="258"/>
      <c r="I8" s="676"/>
      <c r="J8" s="669" t="s">
        <v>804</v>
      </c>
      <c r="P8" s="695" t="str">
        <f>VOS!C24</f>
        <v>25-50%</v>
      </c>
      <c r="Q8" s="696">
        <v>0</v>
      </c>
      <c r="R8" s="669" t="e">
        <f>VLOOKUP(D63,$P$7:$Q$15,2,FALSE)</f>
        <v>#N/A</v>
      </c>
      <c r="S8" s="162" t="s">
        <v>524</v>
      </c>
      <c r="T8" s="162">
        <v>2</v>
      </c>
    </row>
    <row r="9" spans="1:20" ht="17.850000000000001" customHeight="1">
      <c r="A9" s="163"/>
      <c r="B9" s="441" t="s">
        <v>6</v>
      </c>
      <c r="C9" s="743" t="str">
        <f>VOS!B35</f>
        <v>What percent of own supply volume is metered?</v>
      </c>
      <c r="D9" s="264" t="s">
        <v>59</v>
      </c>
      <c r="E9" s="628" t="str">
        <f>IF(OR(D20=10,NOT(ISNUMBER(D20))),"",IF(I9=I20,"Limiting",IF(VLOOKUP(D9,$P$7:$Q$15,2,FALSE)=0,"Limiting","")))</f>
        <v/>
      </c>
      <c r="F9" s="258"/>
      <c r="G9" s="669">
        <f>IF(LEN(D9)&gt;0,1,0)</f>
        <v>1</v>
      </c>
      <c r="H9" s="677">
        <f>VLOOKUP('Interactive Data Grading'!D9,VOS!$C$6:$M$16,11,FALSE)</f>
        <v>10</v>
      </c>
      <c r="I9" s="677">
        <f>H9</f>
        <v>10</v>
      </c>
      <c r="P9" s="695" t="str">
        <f>VOS!C25</f>
        <v>&gt;50-75%</v>
      </c>
      <c r="Q9" s="696">
        <v>0</v>
      </c>
      <c r="R9" s="669">
        <f>VLOOKUP(D116,$P$7:$Q$15,2,FALSE)</f>
        <v>1</v>
      </c>
      <c r="S9" s="162" t="s">
        <v>533</v>
      </c>
      <c r="T9" s="162">
        <v>3</v>
      </c>
    </row>
    <row r="10" spans="1:20" ht="64.150000000000006" customHeight="1">
      <c r="A10" s="163"/>
      <c r="C10" s="1041" t="s">
        <v>805</v>
      </c>
      <c r="D10" s="1042"/>
      <c r="E10" s="628"/>
      <c r="F10" s="258"/>
      <c r="H10" s="677"/>
      <c r="I10" s="677"/>
      <c r="P10" s="695"/>
      <c r="Q10" s="696"/>
      <c r="T10" s="162">
        <v>4</v>
      </c>
    </row>
    <row r="11" spans="1:20" ht="20.100000000000001" customHeight="1">
      <c r="A11" s="163"/>
      <c r="B11" s="441" t="s">
        <v>7</v>
      </c>
      <c r="C11" s="743" t="str">
        <f>VOS!B36</f>
        <v>What is the frequency of electronic calibration?</v>
      </c>
      <c r="D11" s="264" t="s">
        <v>60</v>
      </c>
      <c r="E11" s="628" t="str">
        <f>IFERROR(IF(OR(D20=10,NOT(ISNUMBER(D20))),"",IF(I11=I20,"Limiting","")),"")</f>
        <v/>
      </c>
      <c r="F11" s="258"/>
      <c r="G11" s="669">
        <f>IFERROR(IF(H9&lt;7,1,IF(LEN(D11)&gt;0,1,0)),"")</f>
        <v>1</v>
      </c>
      <c r="H11" s="677">
        <f>VLOOKUP('Interactive Data Grading'!D11,VOS!$D$6:$M$16,10,FALSE)</f>
        <v>10</v>
      </c>
      <c r="I11" s="678">
        <f>IF(AND(H11&gt;=7,H14&gt;=7),MAX(H11,9),IF(AND(H11&gt;3,H11&lt;7,H14&gt;3,H14&lt;7),MAX(H11,H14),IF(H14&gt;=7,MAX(7,H11),H11)))</f>
        <v>10</v>
      </c>
      <c r="P11" s="695" t="str">
        <f>VOS!C26</f>
        <v>&gt;75% - 90%</v>
      </c>
      <c r="Q11" s="696">
        <v>0</v>
      </c>
    </row>
    <row r="12" spans="1:20" ht="22.5" customHeight="1">
      <c r="A12" s="163"/>
      <c r="B12" s="441" t="s">
        <v>8</v>
      </c>
      <c r="C12" s="743" t="str">
        <f>VOS!B37</f>
        <v>What level of data transfer errors are checked as part of the electronic calibration process?</v>
      </c>
      <c r="D12" s="264" t="s">
        <v>61</v>
      </c>
      <c r="E12" s="628" t="str">
        <f t="shared" ref="E12:E13" si="0">IFERROR(IF(OR($D$20=10,NOT(ISNUMBER($D$20))),"",IF(I12=$I$20,"Limiting","")),"")</f>
        <v/>
      </c>
      <c r="F12" s="258"/>
      <c r="G12" s="669">
        <f>IFERROR(IF(H9&lt;7,1,IF(OR(D11=VOS!D23,D11=VOS!D27),1,IF(LEN(D12)&gt;0,1,0))),"")</f>
        <v>1</v>
      </c>
      <c r="H12" s="677">
        <f>VLOOKUP('Interactive Data Grading'!D12,VOS!$E$6:$M$16,9,FALSE)</f>
        <v>10</v>
      </c>
      <c r="I12" s="677">
        <f>H12</f>
        <v>10</v>
      </c>
      <c r="J12" s="669" t="s">
        <v>7</v>
      </c>
      <c r="P12" s="695"/>
      <c r="Q12" s="696"/>
    </row>
    <row r="13" spans="1:20" ht="20.100000000000001" customHeight="1">
      <c r="A13" s="163"/>
      <c r="B13" s="441" t="s">
        <v>9</v>
      </c>
      <c r="C13" s="743" t="str">
        <f>VOS!B38</f>
        <v>Is the most recent electronic calibration documentation available for review?</v>
      </c>
      <c r="D13" s="264" t="s">
        <v>62</v>
      </c>
      <c r="E13" s="628" t="str">
        <f t="shared" si="0"/>
        <v/>
      </c>
      <c r="F13" s="258"/>
      <c r="G13" s="679">
        <f>IFERROR(IF(H9&lt;7,1,IF(OR(D11=VOS!D23,D11=VOS!D27),1,IF(LEN(D13)&gt;0,1,0))),"")</f>
        <v>1</v>
      </c>
      <c r="H13" s="677">
        <f>VLOOKUP('Interactive Data Grading'!D13,VOS!$F$6:$M$16,8,FALSE)</f>
        <v>10</v>
      </c>
      <c r="I13" s="678">
        <f>IF(D11=VOS!D23,X,IF(AND(H13=5,H15=10),7,H13))</f>
        <v>10</v>
      </c>
      <c r="J13" s="669" t="s">
        <v>7</v>
      </c>
      <c r="P13" s="774" t="str">
        <f>VOS!C27</f>
        <v>&gt;90% - 95%</v>
      </c>
      <c r="Q13" s="775">
        <v>1</v>
      </c>
    </row>
    <row r="14" spans="1:20" ht="20.25" customHeight="1">
      <c r="A14" s="163"/>
      <c r="B14" s="441" t="s">
        <v>10</v>
      </c>
      <c r="C14" s="743" t="str">
        <f>VOS!B39</f>
        <v>What is the frequency of in-situ flow accuracy testing?</v>
      </c>
      <c r="D14" s="264" t="s">
        <v>60</v>
      </c>
      <c r="E14" s="628" t="str">
        <f t="shared" ref="E14:E19" si="1">IFERROR(IF(OR($D$20=10,NOT(ISNUMBER($D$20))),"",IF(I14=$I$20,"Limiting","")),"")</f>
        <v/>
      </c>
      <c r="F14" s="258"/>
      <c r="G14" s="669">
        <f>IF(D13=VOS!F23,1,IFERROR(IF(H9&lt;7,1,IF(LEN(D14)&gt;0,1,0)),""))</f>
        <v>1</v>
      </c>
      <c r="H14" s="677">
        <f>VLOOKUP('Interactive Data Grading'!D14,VOS!$G$6:$M$16,7,FALSE)</f>
        <v>10</v>
      </c>
      <c r="I14" s="678">
        <f>IF(AND(H11&gt;=7,H14&gt;=7),MAX(H14,9),IF(AND(H11&gt;3,H11&lt;7,H14&gt;3,H14&lt;7),MAX(H11,H14),IF(H11&gt;=7,MAX(7,H14),H14)))</f>
        <v>10</v>
      </c>
      <c r="P14" s="774" t="str">
        <f>VOS!C28</f>
        <v>&gt;95 - 99%</v>
      </c>
      <c r="Q14" s="775">
        <v>1</v>
      </c>
    </row>
    <row r="15" spans="1:20" ht="26.1" customHeight="1">
      <c r="A15" s="163"/>
      <c r="B15" s="441" t="s">
        <v>11</v>
      </c>
      <c r="C15" s="743" t="str">
        <f>VOS!B40</f>
        <v>Is the most recent in-situ flow accuracy testing documentation available for review?</v>
      </c>
      <c r="D15" s="264" t="s">
        <v>62</v>
      </c>
      <c r="E15" s="628" t="str">
        <f t="shared" si="1"/>
        <v/>
      </c>
      <c r="F15" s="258"/>
      <c r="G15" s="669">
        <f>IFERROR(IF(H9&lt;7,1,IF(D14=VOS!G23,1,IF(LEN(D15)&gt;0,1,0))),"")</f>
        <v>1</v>
      </c>
      <c r="H15" s="677">
        <f>VLOOKUP('Interactive Data Grading'!D15,VOS!$H$6:$M$16,6,FALSE)</f>
        <v>10</v>
      </c>
      <c r="I15" s="678">
        <f>IF(D14=VOS!G23,X,IF(AND(H15=5,H13=10),7,H15))</f>
        <v>10</v>
      </c>
      <c r="J15" s="669" t="s">
        <v>9</v>
      </c>
      <c r="P15" s="776" t="s">
        <v>59</v>
      </c>
      <c r="Q15" s="777">
        <v>1</v>
      </c>
    </row>
    <row r="16" spans="1:20" ht="23.85" customHeight="1">
      <c r="A16" s="163"/>
      <c r="B16" s="441" t="s">
        <v>12</v>
      </c>
      <c r="C16" s="743" t="str">
        <f>VOS!B41</f>
        <v>What are the total volume-weighted average results of in-situ flow accuracy testing (during or closest to audit year)?</v>
      </c>
      <c r="D16" s="264" t="s">
        <v>63</v>
      </c>
      <c r="E16" s="628" t="str">
        <f t="shared" si="1"/>
        <v/>
      </c>
      <c r="F16" s="258"/>
      <c r="G16" s="669">
        <f>IFERROR(IF(H9&lt;7,1,IF(OR(D14=VOS!D23,D15=VOS!H23),1,IF(LEN(D16)&gt;0,1,0))),"")</f>
        <v>1</v>
      </c>
      <c r="H16" s="677">
        <f>VLOOKUP('Interactive Data Grading'!D16,VOS!$I$6:$M$16,5,FALSE)</f>
        <v>10</v>
      </c>
      <c r="I16" s="678">
        <f>IF(OR(D14=VOS!D23,D15=VOS!H23),X,H16)</f>
        <v>10</v>
      </c>
      <c r="J16" s="669" t="s">
        <v>806</v>
      </c>
    </row>
    <row r="17" spans="1:18" ht="32.85" customHeight="1">
      <c r="A17" s="163"/>
      <c r="B17" s="441" t="s">
        <v>13</v>
      </c>
      <c r="C17" s="743" t="str">
        <f>VOS!B42</f>
        <v>Have testing and calibration procedures been closely scrutinized for compliance with procedures described in the AWWA M36 and/or M33 Manual(s)?</v>
      </c>
      <c r="D17" s="264" t="s">
        <v>62</v>
      </c>
      <c r="E17" s="628" t="str">
        <f t="shared" si="1"/>
        <v/>
      </c>
      <c r="F17" s="258"/>
      <c r="G17" s="669">
        <f>IFERROR(IF(H9&lt;7,1,IF(AND(OR(D11=VOS!D23,D11=VOS!D27),D14=VOS!G23),1,IF(LEN(D17)&gt;0,1,0))),"")</f>
        <v>1</v>
      </c>
      <c r="H17" s="677">
        <f>VLOOKUP('Interactive Data Grading'!D17,VOS!$J$6:$M$16,4,FALSE)</f>
        <v>10</v>
      </c>
      <c r="I17" s="678">
        <f>IF(OR(D14=VOS!D23,D15=VOS!H23),X,H17)</f>
        <v>10</v>
      </c>
      <c r="J17" s="679" t="s">
        <v>807</v>
      </c>
    </row>
    <row r="18" spans="1:18" ht="22.35" customHeight="1">
      <c r="A18" s="163"/>
      <c r="B18" s="441" t="s">
        <v>14</v>
      </c>
      <c r="C18" s="743" t="str">
        <f>VOS!B43</f>
        <v>Which best describes the frequency of finished water meter readings?</v>
      </c>
      <c r="D18" s="264" t="s">
        <v>64</v>
      </c>
      <c r="E18" s="628" t="str">
        <f t="shared" si="1"/>
        <v/>
      </c>
      <c r="F18" s="258"/>
      <c r="G18" s="669">
        <f>IFERROR(IF(H9&lt;7,1,IF(LEN(D18)&gt;0,1,0)),"")</f>
        <v>1</v>
      </c>
      <c r="H18" s="677">
        <f>VLOOKUP('Interactive Data Grading'!D18,VOS!$K$6:$M$16,3,FALSE)</f>
        <v>10</v>
      </c>
      <c r="I18" s="677">
        <f>H18</f>
        <v>10</v>
      </c>
    </row>
    <row r="19" spans="1:18" ht="37.35" customHeight="1">
      <c r="A19" s="163"/>
      <c r="B19" s="441" t="s">
        <v>15</v>
      </c>
      <c r="C19" s="743" t="str">
        <f>VOS!B44</f>
        <v>Which best describes the frequency of data review for anomalies/errors? These can include numbers that are outside of typical patterns, and zero or 'null' values that may reflect a gap in data recording.</v>
      </c>
      <c r="D19" s="264" t="s">
        <v>58</v>
      </c>
      <c r="E19" s="628" t="str">
        <f t="shared" si="1"/>
        <v/>
      </c>
      <c r="F19" s="258"/>
      <c r="G19" s="669">
        <f>IFERROR(IF(H9&lt;7,1,IF(LEN(D19)&gt;0,1,0)),"")</f>
        <v>1</v>
      </c>
      <c r="H19" s="677">
        <f>VLOOKUP('Interactive Data Grading'!D19,VOS!$L$6:$M$16,2,FALSE)</f>
        <v>10</v>
      </c>
      <c r="I19" s="677">
        <f>H19</f>
        <v>10</v>
      </c>
    </row>
    <row r="20" spans="1:18" ht="27.6" customHeight="1">
      <c r="A20" s="163"/>
      <c r="B20" s="163"/>
      <c r="C20" s="457" t="s">
        <v>808</v>
      </c>
      <c r="D20" s="631">
        <f>IF(D8="","",IF(D8="No","n/a",IF(G20=0,"",IF(R7=0,H9,I20))))</f>
        <v>10</v>
      </c>
      <c r="E20" s="628"/>
      <c r="F20" s="258"/>
      <c r="G20" s="670">
        <f>MIN(G9:G19)</f>
        <v>1</v>
      </c>
      <c r="H20" s="680">
        <f>MIN(H9:H19)</f>
        <v>10</v>
      </c>
      <c r="I20" s="680">
        <f t="array" ref="I20">MIN(IF(ISNUMBER(I9:I19),I9:I19))</f>
        <v>10</v>
      </c>
      <c r="J20" s="670" t="s">
        <v>809</v>
      </c>
    </row>
    <row r="21" spans="1:18" s="369" customFormat="1" ht="16.350000000000001" customHeight="1">
      <c r="C21" s="454"/>
      <c r="D21" s="454"/>
      <c r="E21" s="707"/>
      <c r="G21" s="681"/>
      <c r="H21" s="681"/>
      <c r="I21" s="682"/>
      <c r="J21" s="681"/>
      <c r="K21" s="681"/>
      <c r="L21" s="681"/>
      <c r="M21" s="681"/>
      <c r="N21" s="681"/>
      <c r="O21" s="681"/>
      <c r="P21" s="681"/>
      <c r="Q21" s="681"/>
      <c r="R21" s="681"/>
    </row>
    <row r="22" spans="1:18" s="369" customFormat="1" ht="16.350000000000001" customHeight="1">
      <c r="C22" s="454"/>
      <c r="D22" s="454"/>
      <c r="E22" s="707"/>
      <c r="G22" s="681"/>
      <c r="H22" s="681"/>
      <c r="I22" s="682"/>
      <c r="J22" s="681"/>
      <c r="K22" s="681"/>
      <c r="L22" s="681"/>
      <c r="M22" s="681"/>
      <c r="N22" s="681"/>
      <c r="O22" s="681"/>
      <c r="P22" s="681"/>
      <c r="Q22" s="681"/>
      <c r="R22" s="681"/>
    </row>
    <row r="23" spans="1:18" s="369" customFormat="1" ht="7.9" customHeight="1">
      <c r="C23" s="454"/>
      <c r="D23" s="454"/>
      <c r="E23" s="707"/>
      <c r="G23" s="681"/>
      <c r="H23" s="681"/>
      <c r="I23" s="682"/>
      <c r="J23" s="681"/>
      <c r="K23" s="681"/>
      <c r="L23" s="681"/>
      <c r="M23" s="681"/>
      <c r="N23" s="681"/>
      <c r="O23" s="681"/>
      <c r="P23" s="681"/>
      <c r="Q23" s="681"/>
      <c r="R23" s="681"/>
    </row>
    <row r="24" spans="1:18" s="369" customFormat="1" ht="8.4499999999999993" customHeight="1">
      <c r="C24" s="454"/>
      <c r="D24" s="454"/>
      <c r="E24" s="707"/>
      <c r="G24" s="681"/>
      <c r="H24" s="681"/>
      <c r="I24" s="682"/>
      <c r="J24" s="681"/>
      <c r="K24" s="681"/>
      <c r="L24" s="681"/>
      <c r="M24" s="681"/>
      <c r="N24" s="681"/>
      <c r="O24" s="681"/>
      <c r="P24" s="681"/>
      <c r="Q24" s="681"/>
      <c r="R24" s="681"/>
    </row>
    <row r="25" spans="1:18" s="369" customFormat="1" ht="7.35" customHeight="1">
      <c r="C25" s="454"/>
      <c r="D25" s="454"/>
      <c r="E25" s="707"/>
      <c r="G25" s="681"/>
      <c r="H25" s="681"/>
      <c r="I25" s="682"/>
      <c r="J25" s="681"/>
      <c r="K25" s="681"/>
      <c r="L25" s="681"/>
      <c r="M25" s="681"/>
      <c r="N25" s="681"/>
      <c r="O25" s="681"/>
      <c r="P25" s="681"/>
      <c r="Q25" s="681"/>
      <c r="R25" s="681"/>
    </row>
    <row r="26" spans="1:18" s="369" customFormat="1" ht="7.9" customHeight="1">
      <c r="C26" s="454"/>
      <c r="D26" s="454"/>
      <c r="E26" s="707"/>
      <c r="G26" s="681"/>
      <c r="H26" s="681"/>
      <c r="I26" s="682"/>
      <c r="J26" s="681"/>
      <c r="K26" s="681"/>
      <c r="L26" s="681"/>
      <c r="M26" s="681"/>
      <c r="N26" s="681"/>
      <c r="O26" s="681"/>
      <c r="P26" s="681"/>
      <c r="Q26" s="681"/>
      <c r="R26" s="681"/>
    </row>
    <row r="27" spans="1:18" s="369" customFormat="1" ht="7.9" customHeight="1">
      <c r="C27" s="454"/>
      <c r="D27" s="454"/>
      <c r="E27" s="707"/>
      <c r="G27" s="681"/>
      <c r="H27" s="681"/>
      <c r="I27" s="682"/>
      <c r="J27" s="681"/>
      <c r="K27" s="681"/>
      <c r="L27" s="681"/>
      <c r="M27" s="681"/>
      <c r="N27" s="681"/>
      <c r="O27" s="681"/>
      <c r="P27" s="681"/>
      <c r="Q27" s="681"/>
      <c r="R27" s="681"/>
    </row>
    <row r="28" spans="1:18" s="369" customFormat="1" ht="7.9" customHeight="1">
      <c r="C28" s="454"/>
      <c r="D28" s="454"/>
      <c r="E28" s="707"/>
      <c r="G28" s="681"/>
      <c r="H28" s="681"/>
      <c r="I28" s="682"/>
      <c r="J28" s="681"/>
      <c r="K28" s="681"/>
      <c r="L28" s="681"/>
      <c r="M28" s="681"/>
      <c r="N28" s="681"/>
      <c r="O28" s="681"/>
      <c r="P28" s="681"/>
      <c r="Q28" s="681"/>
      <c r="R28" s="681"/>
    </row>
    <row r="29" spans="1:18" s="369" customFormat="1" ht="7.9" customHeight="1">
      <c r="C29" s="454"/>
      <c r="D29" s="454"/>
      <c r="E29" s="707"/>
      <c r="G29" s="681"/>
      <c r="H29" s="681"/>
      <c r="I29" s="682"/>
      <c r="J29" s="681"/>
      <c r="K29" s="681"/>
      <c r="L29" s="681"/>
      <c r="M29" s="681"/>
      <c r="N29" s="681"/>
      <c r="O29" s="681"/>
      <c r="P29" s="681"/>
      <c r="Q29" s="681"/>
      <c r="R29" s="681"/>
    </row>
    <row r="30" spans="1:18" s="369" customFormat="1" ht="7.9" customHeight="1">
      <c r="C30" s="454"/>
      <c r="D30" s="454"/>
      <c r="E30" s="707"/>
      <c r="G30" s="681"/>
      <c r="H30" s="681"/>
      <c r="I30" s="682"/>
      <c r="J30" s="681"/>
      <c r="K30" s="681"/>
      <c r="L30" s="681"/>
      <c r="M30" s="681"/>
      <c r="N30" s="681"/>
      <c r="O30" s="681"/>
      <c r="P30" s="681"/>
      <c r="Q30" s="681"/>
      <c r="R30" s="681"/>
    </row>
    <row r="31" spans="1:18" s="369" customFormat="1" ht="7.9" customHeight="1">
      <c r="C31" s="454"/>
      <c r="D31" s="454"/>
      <c r="E31" s="707"/>
      <c r="G31" s="681"/>
      <c r="H31" s="681"/>
      <c r="I31" s="682"/>
      <c r="J31" s="681"/>
      <c r="K31" s="681"/>
      <c r="L31" s="681"/>
      <c r="M31" s="681"/>
      <c r="N31" s="681"/>
      <c r="O31" s="681"/>
      <c r="P31" s="681"/>
      <c r="Q31" s="681"/>
      <c r="R31" s="681"/>
    </row>
    <row r="32" spans="1:18" s="369" customFormat="1" ht="8.4499999999999993" customHeight="1">
      <c r="C32" s="454"/>
      <c r="D32" s="454"/>
      <c r="E32" s="707"/>
      <c r="G32" s="681"/>
      <c r="H32" s="681"/>
      <c r="I32" s="682"/>
      <c r="J32" s="681"/>
      <c r="K32" s="681"/>
      <c r="L32" s="681"/>
      <c r="M32" s="681"/>
      <c r="N32" s="681"/>
      <c r="O32" s="681"/>
      <c r="P32" s="681"/>
      <c r="Q32" s="681"/>
      <c r="R32" s="681"/>
    </row>
    <row r="33" spans="1:18" s="369" customFormat="1" ht="8.4499999999999993" customHeight="1">
      <c r="C33" s="454"/>
      <c r="D33" s="454"/>
      <c r="E33" s="707"/>
      <c r="G33" s="681"/>
      <c r="H33" s="681"/>
      <c r="I33" s="682"/>
      <c r="J33" s="681"/>
      <c r="K33" s="681"/>
      <c r="L33" s="681"/>
      <c r="M33" s="681"/>
      <c r="N33" s="681"/>
      <c r="O33" s="681"/>
      <c r="P33" s="681"/>
      <c r="Q33" s="681"/>
      <c r="R33" s="681"/>
    </row>
    <row r="34" spans="1:18" s="369" customFormat="1" ht="8.4499999999999993" customHeight="1">
      <c r="C34" s="454"/>
      <c r="D34" s="454"/>
      <c r="E34" s="707"/>
      <c r="G34" s="681"/>
      <c r="H34" s="681"/>
      <c r="I34" s="682"/>
      <c r="J34" s="681"/>
      <c r="K34" s="681"/>
      <c r="L34" s="681"/>
      <c r="M34" s="681"/>
      <c r="N34" s="681"/>
      <c r="O34" s="681"/>
      <c r="P34" s="681"/>
      <c r="Q34" s="681"/>
      <c r="R34" s="681"/>
    </row>
    <row r="35" spans="1:18" s="369" customFormat="1" ht="16.350000000000001" customHeight="1">
      <c r="C35" s="454"/>
      <c r="D35" s="454"/>
      <c r="E35" s="707"/>
      <c r="G35" s="681"/>
      <c r="H35" s="681"/>
      <c r="I35" s="682"/>
      <c r="J35" s="681"/>
      <c r="K35" s="681"/>
      <c r="L35" s="681"/>
      <c r="M35" s="681"/>
      <c r="N35" s="681"/>
      <c r="O35" s="681"/>
      <c r="P35" s="681"/>
      <c r="Q35" s="681"/>
      <c r="R35" s="681"/>
    </row>
    <row r="36" spans="1:18" s="369" customFormat="1" ht="16.350000000000001" customHeight="1">
      <c r="A36" s="1046" t="s">
        <v>792</v>
      </c>
      <c r="B36" s="1047"/>
      <c r="C36" s="1037" t="s">
        <v>810</v>
      </c>
      <c r="D36" s="1037"/>
      <c r="E36" s="750" t="s">
        <v>794</v>
      </c>
      <c r="G36" s="681"/>
      <c r="H36" s="681" t="s">
        <v>811</v>
      </c>
      <c r="I36" s="682"/>
      <c r="J36" s="681"/>
      <c r="K36" s="681"/>
      <c r="L36" s="681"/>
      <c r="M36" s="681"/>
      <c r="N36" s="681"/>
      <c r="O36" s="681"/>
      <c r="P36" s="681"/>
      <c r="Q36" s="681"/>
      <c r="R36" s="681"/>
    </row>
    <row r="37" spans="1:18" ht="9.75" customHeight="1">
      <c r="A37" s="163"/>
      <c r="B37" s="163"/>
      <c r="C37" s="163"/>
      <c r="D37" s="163"/>
      <c r="E37" s="629"/>
      <c r="F37" s="258"/>
      <c r="H37" s="673"/>
      <c r="I37" s="673"/>
    </row>
    <row r="38" spans="1:18" s="462" customFormat="1" ht="12">
      <c r="A38" s="458"/>
      <c r="B38" s="459" t="s">
        <v>812</v>
      </c>
      <c r="C38" s="460" t="s">
        <v>798</v>
      </c>
      <c r="D38" s="460" t="s">
        <v>799</v>
      </c>
      <c r="E38" s="628"/>
      <c r="F38" s="461"/>
      <c r="G38" s="674"/>
      <c r="H38" s="675" t="s">
        <v>800</v>
      </c>
      <c r="I38" s="675"/>
      <c r="J38" s="674" t="s">
        <v>802</v>
      </c>
      <c r="K38" s="674"/>
      <c r="L38" s="674"/>
      <c r="M38" s="674"/>
      <c r="N38" s="674"/>
      <c r="O38" s="674"/>
      <c r="P38" s="674"/>
      <c r="Q38" s="674"/>
      <c r="R38" s="674"/>
    </row>
    <row r="39" spans="1:18" ht="27.6" customHeight="1">
      <c r="A39" s="163"/>
      <c r="B39" s="441" t="s">
        <v>75</v>
      </c>
      <c r="C39" s="744" t="str">
        <f>VOSEA!B34</f>
        <v>Are tank levels monitored automatically &amp; recorded daily?</v>
      </c>
      <c r="D39" s="264" t="s">
        <v>62</v>
      </c>
      <c r="E39" s="628" t="str">
        <f>IFERROR(IF(OR($D$43="",$H39=10,NOT(ISNUMBER($H39))),"",IF(H39=$H$43,"Limiting","")),"")</f>
        <v/>
      </c>
      <c r="F39" s="258"/>
      <c r="G39" s="683">
        <f t="shared" ref="G39" si="2">IF(LEN(D39)&gt;0,1,0)</f>
        <v>1</v>
      </c>
      <c r="H39" s="677">
        <f>VLOOKUP('Interactive Data Grading'!D39,VOSEA!$C$6:$G$18,5,FALSE)</f>
        <v>10</v>
      </c>
      <c r="I39" s="676"/>
    </row>
    <row r="40" spans="1:18" ht="27.6" customHeight="1">
      <c r="A40" s="163"/>
      <c r="B40" s="441" t="s">
        <v>76</v>
      </c>
      <c r="C40" s="744" t="str">
        <f>VOSEA!B35</f>
        <v>Are daily changes of stored water volumes in distribution system tanks included in the tabulation of the daily "Volume from Own Sources" quantity?</v>
      </c>
      <c r="D40" s="264" t="s">
        <v>62</v>
      </c>
      <c r="E40" s="628" t="str">
        <f t="shared" ref="E40:E42" si="3">IFERROR(IF(OR($D$43="",$H40=10,NOT(ISNUMBER($H40))),"",IF(H40=$H$43,"Limiting","")),"")</f>
        <v/>
      </c>
      <c r="F40" s="258"/>
      <c r="G40" s="683">
        <f>IF(OR(LEN(D40)&gt;0,D39=VOSEA!$C$23),1,0)</f>
        <v>1</v>
      </c>
      <c r="H40" s="677">
        <f>VLOOKUP('Interactive Data Grading'!D40,VOSEA!$D$6:$G$18,4,FALSE)</f>
        <v>10</v>
      </c>
      <c r="I40" s="676"/>
      <c r="J40" s="669" t="s">
        <v>75</v>
      </c>
    </row>
    <row r="41" spans="1:18" ht="27.6" customHeight="1">
      <c r="A41" s="163"/>
      <c r="B41" s="441" t="s">
        <v>77</v>
      </c>
      <c r="C41" s="744" t="str">
        <f>VOSEA!B36</f>
        <v>Is the annual net distribution storage change included in either the VOS input or the VOSEA input?</v>
      </c>
      <c r="D41" s="264" t="s">
        <v>62</v>
      </c>
      <c r="E41" s="628" t="str">
        <f t="shared" si="3"/>
        <v/>
      </c>
      <c r="F41" s="258"/>
      <c r="G41" s="683">
        <f t="shared" ref="G41:G42" si="4">IF(LEN(D41)&gt;0,1,0)</f>
        <v>1</v>
      </c>
      <c r="H41" s="677">
        <f>VLOOKUP('Interactive Data Grading'!D41,VOSEA!$E$6:$G$18,3,FALSE)</f>
        <v>10</v>
      </c>
      <c r="I41" s="676"/>
    </row>
    <row r="42" spans="1:18" ht="27.6" customHeight="1">
      <c r="A42" s="163"/>
      <c r="B42" s="441" t="s">
        <v>78</v>
      </c>
      <c r="C42" s="744" t="str">
        <f>VOSEA!B37</f>
        <v>Are the flow accuracy test and/or electronic calibration results included in the VOSEA input in the water audit?</v>
      </c>
      <c r="D42" s="264" t="s">
        <v>88</v>
      </c>
      <c r="E42" s="628" t="str">
        <f t="shared" si="3"/>
        <v/>
      </c>
      <c r="F42" s="258"/>
      <c r="G42" s="683">
        <f t="shared" si="4"/>
        <v>1</v>
      </c>
      <c r="H42" s="677">
        <f>VLOOKUP('Interactive Data Grading'!D42,VOSEA!$F$6:$G$18,2,FALSE)</f>
        <v>10</v>
      </c>
      <c r="I42" s="676"/>
    </row>
    <row r="43" spans="1:18" ht="27.6" customHeight="1">
      <c r="A43" s="163"/>
      <c r="B43" s="163"/>
      <c r="C43" s="457" t="s">
        <v>808</v>
      </c>
      <c r="D43" s="631">
        <f>IFERROR(IF(D8="No","n/a",IF(G43=0,"",H43)),"")</f>
        <v>10</v>
      </c>
      <c r="E43" s="628"/>
      <c r="F43" s="258"/>
      <c r="G43" s="683">
        <f>MIN(G39:G42)</f>
        <v>1</v>
      </c>
      <c r="H43" s="680">
        <f t="array" ref="H43">MIN(IF(ISNUMBER(H39:H42),H39:H42))</f>
        <v>10</v>
      </c>
      <c r="I43" s="676"/>
    </row>
    <row r="44" spans="1:18" s="369" customFormat="1" ht="16.350000000000001" customHeight="1">
      <c r="C44" s="454"/>
      <c r="D44" s="532" t="str">
        <f>IF(AND(D41="Yes",LEN(Worksheet!O15)=0,LEN(Worksheet!Q15)=0),"Please check consistency of inputs with vosea.3 - no adjustment entered on Worksheet","")</f>
        <v/>
      </c>
      <c r="E44" s="707"/>
      <c r="G44" s="681"/>
      <c r="H44" s="681"/>
      <c r="I44" s="682"/>
      <c r="J44" s="681"/>
      <c r="K44" s="681"/>
      <c r="L44" s="681"/>
      <c r="M44" s="681"/>
      <c r="N44" s="681"/>
      <c r="O44" s="681"/>
      <c r="P44" s="681"/>
      <c r="Q44" s="681"/>
      <c r="R44" s="681"/>
    </row>
    <row r="45" spans="1:18" s="369" customFormat="1" ht="16.350000000000001" customHeight="1">
      <c r="C45" s="454"/>
      <c r="D45" s="454"/>
      <c r="E45" s="707"/>
      <c r="G45" s="681"/>
      <c r="H45" s="681"/>
      <c r="I45" s="682"/>
      <c r="J45" s="681"/>
      <c r="K45" s="681"/>
      <c r="L45" s="681"/>
      <c r="M45" s="681"/>
      <c r="N45" s="681"/>
      <c r="O45" s="681"/>
      <c r="P45" s="681"/>
      <c r="Q45" s="681"/>
      <c r="R45" s="681"/>
    </row>
    <row r="46" spans="1:18" s="369" customFormat="1" ht="16.350000000000001" customHeight="1">
      <c r="C46" s="454"/>
      <c r="D46" s="454"/>
      <c r="E46" s="707"/>
      <c r="G46" s="681"/>
      <c r="H46" s="681"/>
      <c r="I46" s="682"/>
      <c r="J46" s="681"/>
      <c r="K46" s="681"/>
      <c r="L46" s="681"/>
      <c r="M46" s="681"/>
      <c r="N46" s="681"/>
      <c r="O46" s="681"/>
      <c r="P46" s="681"/>
      <c r="Q46" s="681"/>
      <c r="R46" s="681"/>
    </row>
    <row r="47" spans="1:18" s="369" customFormat="1" ht="16.350000000000001" customHeight="1">
      <c r="C47" s="454"/>
      <c r="D47" s="454"/>
      <c r="E47" s="707"/>
      <c r="G47" s="681"/>
      <c r="H47" s="681"/>
      <c r="I47" s="682"/>
      <c r="J47" s="681"/>
      <c r="K47" s="681"/>
      <c r="L47" s="681"/>
      <c r="M47" s="681"/>
      <c r="N47" s="681"/>
      <c r="O47" s="681"/>
      <c r="P47" s="681"/>
      <c r="Q47" s="681"/>
      <c r="R47" s="681"/>
    </row>
    <row r="48" spans="1:18" s="369" customFormat="1" ht="16.350000000000001" customHeight="1">
      <c r="C48" s="454"/>
      <c r="D48" s="454"/>
      <c r="E48" s="707"/>
      <c r="G48" s="681"/>
      <c r="H48" s="681"/>
      <c r="I48" s="682"/>
      <c r="J48" s="681"/>
      <c r="K48" s="681"/>
      <c r="L48" s="681"/>
      <c r="M48" s="681"/>
      <c r="N48" s="681"/>
      <c r="O48" s="681"/>
      <c r="P48" s="681"/>
      <c r="Q48" s="681"/>
      <c r="R48" s="681"/>
    </row>
    <row r="49" spans="1:18" s="369" customFormat="1" ht="16.350000000000001" customHeight="1">
      <c r="C49" s="454"/>
      <c r="D49" s="454"/>
      <c r="E49" s="707"/>
      <c r="G49" s="681"/>
      <c r="H49" s="681"/>
      <c r="I49" s="682"/>
      <c r="J49" s="681"/>
      <c r="K49" s="681"/>
      <c r="L49" s="681"/>
      <c r="M49" s="681"/>
      <c r="N49" s="681"/>
      <c r="O49" s="681"/>
      <c r="P49" s="681"/>
      <c r="Q49" s="681"/>
      <c r="R49" s="681"/>
    </row>
    <row r="50" spans="1:18" s="369" customFormat="1" ht="16.350000000000001" customHeight="1">
      <c r="C50" s="454"/>
      <c r="D50" s="454"/>
      <c r="E50" s="707"/>
      <c r="G50" s="681"/>
      <c r="H50" s="681"/>
      <c r="I50" s="682"/>
      <c r="J50" s="681"/>
      <c r="K50" s="681"/>
      <c r="L50" s="681"/>
      <c r="M50" s="681"/>
      <c r="N50" s="681"/>
      <c r="O50" s="681"/>
      <c r="P50" s="681"/>
      <c r="Q50" s="681"/>
      <c r="R50" s="681"/>
    </row>
    <row r="51" spans="1:18" s="369" customFormat="1" ht="16.350000000000001" customHeight="1">
      <c r="C51" s="454"/>
      <c r="D51" s="454"/>
      <c r="E51" s="707"/>
      <c r="G51" s="681"/>
      <c r="H51" s="681"/>
      <c r="I51" s="682"/>
      <c r="J51" s="681"/>
      <c r="K51" s="681"/>
      <c r="L51" s="681"/>
      <c r="M51" s="681"/>
      <c r="N51" s="681"/>
      <c r="O51" s="681"/>
      <c r="P51" s="681"/>
      <c r="Q51" s="681"/>
      <c r="R51" s="681"/>
    </row>
    <row r="52" spans="1:18" s="369" customFormat="1" ht="16.350000000000001" customHeight="1">
      <c r="C52" s="454"/>
      <c r="D52" s="454"/>
      <c r="E52" s="707"/>
      <c r="G52" s="681"/>
      <c r="H52" s="681"/>
      <c r="I52" s="682"/>
      <c r="J52" s="681"/>
      <c r="K52" s="681"/>
      <c r="L52" s="681"/>
      <c r="M52" s="681"/>
      <c r="N52" s="681"/>
      <c r="O52" s="681"/>
      <c r="P52" s="681"/>
      <c r="Q52" s="681"/>
      <c r="R52" s="681"/>
    </row>
    <row r="53" spans="1:18" s="369" customFormat="1" ht="16.350000000000001" customHeight="1">
      <c r="C53" s="454"/>
      <c r="D53" s="454"/>
      <c r="E53" s="707"/>
      <c r="G53" s="681"/>
      <c r="H53" s="681"/>
      <c r="I53" s="682"/>
      <c r="J53" s="681"/>
      <c r="K53" s="681"/>
      <c r="L53" s="681"/>
      <c r="M53" s="681"/>
      <c r="N53" s="681"/>
      <c r="O53" s="681"/>
      <c r="P53" s="681"/>
      <c r="Q53" s="681"/>
      <c r="R53" s="681"/>
    </row>
    <row r="54" spans="1:18" s="369" customFormat="1" ht="16.350000000000001" customHeight="1">
      <c r="C54" s="454"/>
      <c r="D54" s="454"/>
      <c r="E54" s="707"/>
      <c r="G54" s="681"/>
      <c r="H54" s="681"/>
      <c r="I54" s="682"/>
      <c r="J54" s="681"/>
      <c r="K54" s="681"/>
      <c r="L54" s="681"/>
      <c r="M54" s="681"/>
      <c r="N54" s="681"/>
      <c r="O54" s="681"/>
      <c r="P54" s="681"/>
      <c r="Q54" s="681"/>
      <c r="R54" s="681"/>
    </row>
    <row r="55" spans="1:18" s="369" customFormat="1" ht="16.350000000000001" customHeight="1">
      <c r="C55" s="454"/>
      <c r="D55" s="454"/>
      <c r="E55" s="707"/>
      <c r="G55" s="681"/>
      <c r="H55" s="681"/>
      <c r="I55" s="682"/>
      <c r="J55" s="681"/>
      <c r="K55" s="681"/>
      <c r="L55" s="681"/>
      <c r="M55" s="681"/>
      <c r="N55" s="681"/>
      <c r="O55" s="681"/>
      <c r="P55" s="681"/>
      <c r="Q55" s="681"/>
      <c r="R55" s="681"/>
    </row>
    <row r="56" spans="1:18" s="369" customFormat="1" ht="16.5" customHeight="1">
      <c r="C56" s="454"/>
      <c r="D56" s="454"/>
      <c r="E56" s="707"/>
      <c r="G56" s="681"/>
      <c r="H56" s="681"/>
      <c r="I56" s="682"/>
      <c r="J56" s="681"/>
      <c r="K56" s="681"/>
      <c r="L56" s="681"/>
      <c r="M56" s="681"/>
      <c r="N56" s="681"/>
      <c r="O56" s="681"/>
      <c r="P56" s="681"/>
      <c r="Q56" s="681"/>
      <c r="R56" s="681"/>
    </row>
    <row r="57" spans="1:18" s="369" customFormat="1" ht="20.45" customHeight="1">
      <c r="C57" s="454"/>
      <c r="D57" s="454"/>
      <c r="E57" s="707"/>
      <c r="G57" s="681"/>
      <c r="H57" s="681"/>
      <c r="I57" s="682"/>
      <c r="J57" s="681"/>
      <c r="K57" s="681"/>
      <c r="L57" s="681"/>
      <c r="M57" s="681"/>
      <c r="N57" s="681"/>
      <c r="O57" s="681"/>
      <c r="P57" s="681"/>
      <c r="Q57" s="681"/>
      <c r="R57" s="681"/>
    </row>
    <row r="58" spans="1:18" s="369" customFormat="1" ht="20.45" customHeight="1">
      <c r="C58" s="454"/>
      <c r="D58" s="454"/>
      <c r="E58" s="707"/>
      <c r="G58" s="681"/>
      <c r="H58" s="681"/>
      <c r="I58" s="682"/>
      <c r="J58" s="681"/>
      <c r="K58" s="681"/>
      <c r="L58" s="681"/>
      <c r="M58" s="681"/>
      <c r="N58" s="681"/>
      <c r="O58" s="681"/>
      <c r="P58" s="681"/>
      <c r="Q58" s="681"/>
      <c r="R58" s="681"/>
    </row>
    <row r="59" spans="1:18" s="369" customFormat="1" ht="16.350000000000001" customHeight="1">
      <c r="A59" s="1046" t="s">
        <v>792</v>
      </c>
      <c r="B59" s="1047"/>
      <c r="C59" s="1037" t="s">
        <v>813</v>
      </c>
      <c r="D59" s="1037"/>
      <c r="E59" s="750" t="s">
        <v>794</v>
      </c>
      <c r="G59" s="681"/>
      <c r="H59" s="681"/>
      <c r="I59" s="682"/>
      <c r="J59" s="681"/>
      <c r="K59" s="681"/>
      <c r="L59" s="681"/>
      <c r="M59" s="681"/>
      <c r="N59" s="681"/>
      <c r="O59" s="681"/>
      <c r="P59" s="681"/>
      <c r="Q59" s="681"/>
      <c r="R59" s="681"/>
    </row>
    <row r="60" spans="1:18" ht="12.6" customHeight="1">
      <c r="A60" s="163"/>
      <c r="B60" s="163"/>
      <c r="C60" s="1045" t="str">
        <f>IF(OR(AND(D62="Yes",Worksheet!H16&gt;0),AND(D62="No",Worksheet!H16&lt;=0),LEN(D62)=0),"","Inconsistency between Worksheet WI input and Wi.0 response")</f>
        <v/>
      </c>
      <c r="D60" s="1045"/>
      <c r="E60" s="629"/>
      <c r="F60" s="258"/>
      <c r="H60" s="673"/>
      <c r="I60" s="673"/>
    </row>
    <row r="61" spans="1:18" s="462" customFormat="1" ht="12">
      <c r="A61" s="458"/>
      <c r="B61" s="459" t="s">
        <v>814</v>
      </c>
      <c r="C61" s="460" t="s">
        <v>798</v>
      </c>
      <c r="D61" s="460" t="s">
        <v>799</v>
      </c>
      <c r="E61" s="628"/>
      <c r="F61" s="461"/>
      <c r="G61" s="674"/>
      <c r="H61" s="675" t="s">
        <v>800</v>
      </c>
      <c r="I61" s="675" t="s">
        <v>801</v>
      </c>
      <c r="J61" s="674" t="s">
        <v>802</v>
      </c>
      <c r="K61" s="674"/>
      <c r="L61" s="674"/>
      <c r="M61" s="674"/>
      <c r="N61" s="674"/>
      <c r="O61" s="674"/>
      <c r="P61" s="674"/>
      <c r="Q61" s="674"/>
      <c r="R61" s="674"/>
    </row>
    <row r="62" spans="1:18" ht="18" customHeight="1">
      <c r="A62" s="163"/>
      <c r="B62" s="441" t="s">
        <v>815</v>
      </c>
      <c r="C62" s="743" t="str">
        <f>WI!B34</f>
        <v>Did the water utility import any water during the audit year?</v>
      </c>
      <c r="D62" s="264" t="s">
        <v>49</v>
      </c>
      <c r="E62" s="628"/>
      <c r="F62" s="258"/>
      <c r="I62" s="676"/>
      <c r="J62" s="669" t="s">
        <v>804</v>
      </c>
    </row>
    <row r="63" spans="1:18" ht="17.45" customHeight="1">
      <c r="A63" s="163"/>
      <c r="B63" s="441" t="s">
        <v>97</v>
      </c>
      <c r="C63" s="743" t="str">
        <f>WI!B35</f>
        <v>What percent of water imported is metered?</v>
      </c>
      <c r="D63" s="264"/>
      <c r="E63" s="628" t="str">
        <f>IF(OR(D74=10,NOT(ISNUMBER(D74))),"",IF(I63=I74,"Limiting",IF(VLOOKUP(D63,$P$7:$Q$15,2,FALSE)=0,"Limiting","")))</f>
        <v/>
      </c>
      <c r="F63" s="258"/>
      <c r="G63" s="669">
        <f>IF(LEN(D63)&gt;0,1,0)</f>
        <v>0</v>
      </c>
      <c r="H63" s="677" t="e">
        <f>VLOOKUP('Interactive Data Grading'!D63,WI!$C$6:$M$16,11,FALSE)</f>
        <v>#N/A</v>
      </c>
      <c r="I63" s="677" t="e">
        <f>H63</f>
        <v>#N/A</v>
      </c>
    </row>
    <row r="64" spans="1:18" ht="67.5" customHeight="1">
      <c r="A64" s="163"/>
      <c r="C64" s="1043" t="s">
        <v>816</v>
      </c>
      <c r="D64" s="1044"/>
      <c r="E64" s="628"/>
      <c r="F64" s="258"/>
      <c r="H64" s="677"/>
      <c r="I64" s="678"/>
    </row>
    <row r="65" spans="1:18" ht="18" customHeight="1">
      <c r="A65" s="163"/>
      <c r="B65" s="441" t="s">
        <v>98</v>
      </c>
      <c r="C65" s="743" t="str">
        <f>WI!B36</f>
        <v>What is the frequency of electronic calibration?</v>
      </c>
      <c r="D65" s="264"/>
      <c r="E65" s="628" t="str">
        <f>IFERROR(IF(OR($D$74=10,NOT(ISNUMBER($D$74))),"",IF(I65=$I$74,"Limiting","")),"")</f>
        <v/>
      </c>
      <c r="F65" s="258"/>
      <c r="G65" s="669" t="str">
        <f>IFERROR(IF(H63&lt;7,1,IF(LEN(D65)&gt;0,1,0)),"")</f>
        <v/>
      </c>
      <c r="H65" s="677" t="e">
        <f>VLOOKUP('Interactive Data Grading'!D65,WI!$D$6:$M$16,10,FALSE)</f>
        <v>#N/A</v>
      </c>
      <c r="I65" s="678" t="e">
        <f>IF(AND(H65&gt;=7,H68&gt;=7),MAX(H65,9),IF(AND(H65&gt;3,H65&lt;7,H68&gt;3,H68&lt;7),MAX(H65,H68),IF(H68&gt;=7,MAX(7,H65),H65)))</f>
        <v>#N/A</v>
      </c>
    </row>
    <row r="66" spans="1:18" ht="26.45" customHeight="1">
      <c r="A66" s="163"/>
      <c r="B66" s="441" t="s">
        <v>99</v>
      </c>
      <c r="C66" s="743" t="str">
        <f>WI!B37</f>
        <v>What level of data transfer errors are checked as part of the electronic calibration process?</v>
      </c>
      <c r="D66" s="264"/>
      <c r="E66" s="628" t="str">
        <f t="shared" ref="E66:E73" si="5">IFERROR(IF(OR($D$74=10,NOT(ISNUMBER($D$74))),"",IF(I66=$I$74,"Limiting","")),"")</f>
        <v/>
      </c>
      <c r="F66" s="258"/>
      <c r="G66" s="679" t="str">
        <f>IFERROR(IF(H63&lt;7,1,IF(OR(D65=WI!D23,D65=WI!D27),1,IF(LEN(D66)&gt;0,1,0))),"")</f>
        <v/>
      </c>
      <c r="H66" s="677" t="e">
        <f>VLOOKUP('Interactive Data Grading'!D66,WI!$E$6:$M$16,9,FALSE)</f>
        <v>#N/A</v>
      </c>
      <c r="I66" s="677" t="e">
        <f>H66</f>
        <v>#N/A</v>
      </c>
      <c r="J66" s="669" t="s">
        <v>98</v>
      </c>
    </row>
    <row r="67" spans="1:18" ht="18" customHeight="1">
      <c r="A67" s="163"/>
      <c r="B67" s="441" t="s">
        <v>100</v>
      </c>
      <c r="C67" s="743" t="str">
        <f>WI!B38</f>
        <v>Is the most recent electronic calibration documentation available?</v>
      </c>
      <c r="D67" s="264"/>
      <c r="E67" s="628" t="str">
        <f t="shared" si="5"/>
        <v/>
      </c>
      <c r="F67" s="258"/>
      <c r="G67" s="669" t="str">
        <f>IFERROR(IF(H63&lt;7,1,IF(OR(D65=WI!D23,D65=WI!D27),1,IF(LEN(D67)&gt;0,1,0))),"")</f>
        <v/>
      </c>
      <c r="H67" s="677" t="e">
        <f>VLOOKUP('Interactive Data Grading'!D67,WI!$F$6:$M$16,8,FALSE)</f>
        <v>#N/A</v>
      </c>
      <c r="I67" s="678" t="e">
        <f>IF(D65=WI!D23,X,IF(AND(H67=5,H69=10),7,H67))</f>
        <v>#N/A</v>
      </c>
      <c r="J67" s="669" t="s">
        <v>98</v>
      </c>
    </row>
    <row r="68" spans="1:18" ht="16.5" customHeight="1">
      <c r="A68" s="163"/>
      <c r="B68" s="441" t="s">
        <v>101</v>
      </c>
      <c r="C68" s="743" t="str">
        <f>WI!B39</f>
        <v>What is the frequency of in-situ flow accuracy testing?</v>
      </c>
      <c r="D68" s="264"/>
      <c r="E68" s="628" t="str">
        <f t="shared" si="5"/>
        <v/>
      </c>
      <c r="F68" s="258"/>
      <c r="G68" s="669" t="str">
        <f>IFERROR(IF(H63&lt;7,1,IF(LEN(D68)&gt;0,1,0)),"")</f>
        <v/>
      </c>
      <c r="H68" s="677" t="e">
        <f>VLOOKUP('Interactive Data Grading'!D68,WI!$G$6:$M$16,7,FALSE)</f>
        <v>#N/A</v>
      </c>
      <c r="I68" s="678" t="e">
        <f>IF(AND(H65&gt;=7,H68&gt;=7),MAX(H68,9),IF(AND(H65&gt;3,H65&lt;7,H68&gt;3,H68&lt;7),MAX(H65,H68),IF(H65&gt;=7,MAX(7,H68),H68)))</f>
        <v>#N/A</v>
      </c>
    </row>
    <row r="69" spans="1:18" ht="20.45" customHeight="1">
      <c r="A69" s="163"/>
      <c r="B69" s="441" t="s">
        <v>102</v>
      </c>
      <c r="C69" s="743" t="str">
        <f>WI!B40</f>
        <v>Is the most recent in-situ flow accuracy testing documentation available?</v>
      </c>
      <c r="D69" s="264"/>
      <c r="E69" s="628" t="str">
        <f t="shared" si="5"/>
        <v/>
      </c>
      <c r="F69" s="258"/>
      <c r="G69" s="669" t="str">
        <f>IFERROR(IF(H63&lt;7,1,IF(D68=WI!G23,1,IF(LEN(D69)&gt;0,1,0))),"")</f>
        <v/>
      </c>
      <c r="H69" s="677" t="e">
        <f>VLOOKUP('Interactive Data Grading'!D69,WI!$H$6:$M$16,6,FALSE)</f>
        <v>#N/A</v>
      </c>
      <c r="I69" s="678" t="e">
        <f>IF(D68=WI!G23,X,IF(AND(H69=5,H67=10),7,H69))</f>
        <v>#N/A</v>
      </c>
      <c r="J69" s="669" t="s">
        <v>100</v>
      </c>
    </row>
    <row r="70" spans="1:18" ht="27" customHeight="1">
      <c r="A70" s="163"/>
      <c r="B70" s="441" t="s">
        <v>103</v>
      </c>
      <c r="C70" s="743" t="str">
        <f>WI!B41</f>
        <v>What are the total volume-weighted average results of in-situ flow accuracy testing (during or closest to audit year)?</v>
      </c>
      <c r="D70" s="264"/>
      <c r="E70" s="628" t="str">
        <f t="shared" si="5"/>
        <v/>
      </c>
      <c r="F70" s="258"/>
      <c r="G70" s="669" t="str">
        <f>IFERROR(IF(H63&lt;7,1,IF(OR(D68=WI!G23,D69=WI!H23),1,IF(LEN(D70)&gt;0,1,0))),"")</f>
        <v/>
      </c>
      <c r="H70" s="677" t="e">
        <f>VLOOKUP('Interactive Data Grading'!D70,WI!$I$6:$M$16,5,FALSE)</f>
        <v>#N/A</v>
      </c>
      <c r="I70" s="678" t="e">
        <f>IF(OR(D68=WI!G23,D69=WI!H23),X,H70)</f>
        <v>#N/A</v>
      </c>
      <c r="J70" s="669" t="s">
        <v>817</v>
      </c>
    </row>
    <row r="71" spans="1:18" ht="37.5" customHeight="1">
      <c r="A71" s="163"/>
      <c r="B71" s="441" t="s">
        <v>104</v>
      </c>
      <c r="C71" s="743" t="str">
        <f>WI!B42</f>
        <v>Have testing and calibration procedures been closely scrutinized for compliance with procedures described in the AWWA M36 and/or M33 Manual(s)?</v>
      </c>
      <c r="D71" s="264"/>
      <c r="E71" s="628" t="str">
        <f t="shared" si="5"/>
        <v/>
      </c>
      <c r="F71" s="258"/>
      <c r="G71" s="669" t="str">
        <f>IFERROR(IF(H63&lt;7,1,IF(AND(OR(D65=WI!D23,D65=WI!D27),D68=WI!G23),1,IF(LEN(D71)&gt;0,1,0))),"")</f>
        <v/>
      </c>
      <c r="H71" s="677" t="e">
        <f>VLOOKUP('Interactive Data Grading'!D71,WI!$J$6:$M$16,4,FALSE)</f>
        <v>#N/A</v>
      </c>
      <c r="I71" s="678" t="e">
        <f>IF(OR(D68=WI!G23,D69=WI!H23),X,H71)</f>
        <v>#N/A</v>
      </c>
      <c r="J71" s="679" t="s">
        <v>818</v>
      </c>
    </row>
    <row r="72" spans="1:18" ht="25.5" customHeight="1">
      <c r="A72" s="163"/>
      <c r="B72" s="441" t="s">
        <v>105</v>
      </c>
      <c r="C72" s="743" t="str">
        <f>WI!B43</f>
        <v>Which best describes the frequency of meter readings (data collection frequency as opposed to billing frequency)?</v>
      </c>
      <c r="D72" s="264"/>
      <c r="E72" s="628" t="str">
        <f t="shared" si="5"/>
        <v/>
      </c>
      <c r="F72" s="258"/>
      <c r="G72" s="669" t="str">
        <f>IFERROR(IF(H63&lt;7,1,IF(LEN(D72)&gt;0,1,0)),"")</f>
        <v/>
      </c>
      <c r="H72" s="677" t="e">
        <f>VLOOKUP('Interactive Data Grading'!D72,WI!$K$6:$M$16,3,FALSE)</f>
        <v>#N/A</v>
      </c>
      <c r="I72" s="677" t="e">
        <f>H72</f>
        <v>#N/A</v>
      </c>
    </row>
    <row r="73" spans="1:18" ht="44.45" customHeight="1">
      <c r="A73" s="163"/>
      <c r="B73" s="441" t="s">
        <v>106</v>
      </c>
      <c r="C73" s="743" t="str">
        <f>WI!B44</f>
        <v>What is the frequency of data review &amp; correction by Exporting or Importing Utility for data gaps and/or anomalies? These can include numbers that are outside of typical patterns, and zero or 'null' values that may reflect a gap in data recording.</v>
      </c>
      <c r="D73" s="264"/>
      <c r="E73" s="628" t="str">
        <f t="shared" si="5"/>
        <v/>
      </c>
      <c r="F73" s="258"/>
      <c r="G73" s="669" t="str">
        <f>IFERROR(IF(H63&lt;7,1,IF(LEN(D73)&gt;0,1,0)),"")</f>
        <v/>
      </c>
      <c r="H73" s="677" t="e">
        <f>VLOOKUP('Interactive Data Grading'!D73,WI!$L$6:$M$16,2,FALSE)</f>
        <v>#N/A</v>
      </c>
      <c r="I73" s="677" t="e">
        <f>H73</f>
        <v>#N/A</v>
      </c>
    </row>
    <row r="74" spans="1:18" ht="27.6" customHeight="1">
      <c r="A74" s="163"/>
      <c r="B74" s="163"/>
      <c r="C74" s="259" t="s">
        <v>808</v>
      </c>
      <c r="D74" s="631" t="str">
        <f>IF(D62="","",IF(D62="No","n/a",IF(G74=0,"",IF(R8=0,H63,I74))))</f>
        <v>n/a</v>
      </c>
      <c r="E74" s="628"/>
      <c r="F74" s="258"/>
      <c r="G74" s="669">
        <f>MIN(G63:G73)</f>
        <v>0</v>
      </c>
      <c r="H74" s="680" t="e">
        <f>MIN(H63:H73)</f>
        <v>#N/A</v>
      </c>
      <c r="I74" s="680">
        <f t="array" ref="I74">MIN(IF(ISNUMBER(I63:I73),I63:I73))</f>
        <v>0</v>
      </c>
    </row>
    <row r="75" spans="1:18" s="369" customFormat="1" ht="16.350000000000001" customHeight="1">
      <c r="C75" s="454"/>
      <c r="D75" s="454"/>
      <c r="E75" s="707"/>
      <c r="G75" s="681"/>
      <c r="H75" s="681"/>
      <c r="I75" s="682"/>
      <c r="J75" s="681"/>
      <c r="K75" s="681"/>
      <c r="L75" s="681"/>
      <c r="M75" s="681"/>
      <c r="N75" s="681"/>
      <c r="O75" s="681"/>
      <c r="P75" s="681"/>
      <c r="Q75" s="681"/>
      <c r="R75" s="681"/>
    </row>
    <row r="76" spans="1:18" s="369" customFormat="1" ht="16.350000000000001" customHeight="1">
      <c r="C76" s="454"/>
      <c r="D76" s="454"/>
      <c r="E76" s="707"/>
      <c r="G76" s="681"/>
      <c r="H76" s="681"/>
      <c r="I76" s="682"/>
      <c r="J76" s="681"/>
      <c r="K76" s="681"/>
      <c r="L76" s="681"/>
      <c r="M76" s="681"/>
      <c r="N76" s="681"/>
      <c r="O76" s="681"/>
      <c r="P76" s="681"/>
      <c r="Q76" s="681"/>
      <c r="R76" s="681"/>
    </row>
    <row r="77" spans="1:18" s="369" customFormat="1" ht="16.350000000000001" customHeight="1">
      <c r="C77" s="454"/>
      <c r="D77" s="454"/>
      <c r="E77" s="707"/>
      <c r="G77" s="681"/>
      <c r="H77" s="681"/>
      <c r="I77" s="682"/>
      <c r="J77" s="681"/>
      <c r="K77" s="681"/>
      <c r="L77" s="681"/>
      <c r="M77" s="681"/>
      <c r="N77" s="681"/>
      <c r="O77" s="681"/>
      <c r="P77" s="681"/>
      <c r="Q77" s="681"/>
      <c r="R77" s="681"/>
    </row>
    <row r="78" spans="1:18" s="369" customFormat="1" ht="16.350000000000001" customHeight="1">
      <c r="C78" s="454"/>
      <c r="D78" s="454"/>
      <c r="E78" s="707"/>
      <c r="G78" s="681"/>
      <c r="H78" s="681"/>
      <c r="I78" s="682"/>
      <c r="J78" s="681"/>
      <c r="K78" s="681"/>
      <c r="L78" s="681"/>
      <c r="M78" s="681"/>
      <c r="N78" s="681"/>
      <c r="O78" s="681"/>
      <c r="P78" s="681"/>
      <c r="Q78" s="681"/>
      <c r="R78" s="681"/>
    </row>
    <row r="79" spans="1:18" s="369" customFormat="1" ht="16.350000000000001" customHeight="1">
      <c r="C79" s="454"/>
      <c r="D79" s="454"/>
      <c r="E79" s="707"/>
      <c r="G79" s="681"/>
      <c r="H79" s="681"/>
      <c r="I79" s="682"/>
      <c r="J79" s="681"/>
      <c r="K79" s="681"/>
      <c r="L79" s="681"/>
      <c r="M79" s="681"/>
      <c r="N79" s="681"/>
      <c r="O79" s="681"/>
      <c r="P79" s="681"/>
      <c r="Q79" s="681"/>
      <c r="R79" s="681"/>
    </row>
    <row r="80" spans="1:18" s="369" customFormat="1" ht="16.350000000000001" customHeight="1">
      <c r="C80" s="454"/>
      <c r="D80" s="454"/>
      <c r="E80" s="707"/>
      <c r="G80" s="681"/>
      <c r="H80" s="681"/>
      <c r="I80" s="682"/>
      <c r="J80" s="681"/>
      <c r="K80" s="681"/>
      <c r="L80" s="681"/>
      <c r="M80" s="681"/>
      <c r="N80" s="681"/>
      <c r="O80" s="681"/>
      <c r="P80" s="681"/>
      <c r="Q80" s="681"/>
      <c r="R80" s="681"/>
    </row>
    <row r="81" spans="1:18" s="369" customFormat="1" ht="16.350000000000001" customHeight="1">
      <c r="C81" s="454"/>
      <c r="D81" s="454"/>
      <c r="E81" s="707"/>
      <c r="G81" s="681"/>
      <c r="H81" s="681"/>
      <c r="I81" s="682"/>
      <c r="J81" s="681"/>
      <c r="K81" s="681"/>
      <c r="L81" s="681"/>
      <c r="M81" s="681"/>
      <c r="N81" s="681"/>
      <c r="O81" s="681"/>
      <c r="P81" s="681"/>
      <c r="Q81" s="681"/>
      <c r="R81" s="681"/>
    </row>
    <row r="82" spans="1:18" s="369" customFormat="1" ht="16.350000000000001" customHeight="1">
      <c r="C82" s="454"/>
      <c r="D82" s="454"/>
      <c r="E82" s="707"/>
      <c r="G82" s="681"/>
      <c r="H82" s="681"/>
      <c r="I82" s="682"/>
      <c r="J82" s="681"/>
      <c r="K82" s="681"/>
      <c r="L82" s="681"/>
      <c r="M82" s="681"/>
      <c r="N82" s="681"/>
      <c r="O82" s="681"/>
      <c r="P82" s="681"/>
      <c r="Q82" s="681"/>
      <c r="R82" s="681"/>
    </row>
    <row r="83" spans="1:18" s="369" customFormat="1" ht="16.350000000000001" customHeight="1">
      <c r="C83" s="454"/>
      <c r="D83" s="454"/>
      <c r="E83" s="707"/>
      <c r="G83" s="681"/>
      <c r="H83" s="681"/>
      <c r="I83" s="682"/>
      <c r="J83" s="681"/>
      <c r="K83" s="681"/>
      <c r="L83" s="681"/>
      <c r="M83" s="681"/>
      <c r="N83" s="681"/>
      <c r="O83" s="681"/>
      <c r="P83" s="681"/>
      <c r="Q83" s="681"/>
      <c r="R83" s="681"/>
    </row>
    <row r="84" spans="1:18" s="369" customFormat="1" ht="16.350000000000001" customHeight="1">
      <c r="C84" s="454"/>
      <c r="D84" s="454"/>
      <c r="E84" s="707"/>
      <c r="G84" s="681"/>
      <c r="H84" s="681"/>
      <c r="I84" s="682"/>
      <c r="J84" s="681"/>
      <c r="K84" s="681"/>
      <c r="L84" s="681"/>
      <c r="M84" s="681"/>
      <c r="N84" s="681"/>
      <c r="O84" s="681"/>
      <c r="P84" s="681"/>
      <c r="Q84" s="681"/>
      <c r="R84" s="681"/>
    </row>
    <row r="85" spans="1:18" s="369" customFormat="1" ht="9.6" customHeight="1">
      <c r="C85" s="454"/>
      <c r="D85" s="454"/>
      <c r="E85" s="707"/>
      <c r="G85" s="681"/>
      <c r="H85" s="681"/>
      <c r="I85" s="682"/>
      <c r="J85" s="681"/>
      <c r="K85" s="681"/>
      <c r="L85" s="681"/>
      <c r="M85" s="681"/>
      <c r="N85" s="681"/>
      <c r="O85" s="681"/>
      <c r="P85" s="681"/>
      <c r="Q85" s="681"/>
      <c r="R85" s="681"/>
    </row>
    <row r="86" spans="1:18" s="369" customFormat="1" ht="7.35" customHeight="1">
      <c r="C86" s="454"/>
      <c r="D86" s="454"/>
      <c r="E86" s="707"/>
      <c r="G86" s="681"/>
      <c r="H86" s="681"/>
      <c r="I86" s="682"/>
      <c r="J86" s="681"/>
      <c r="K86" s="681"/>
      <c r="L86" s="681"/>
      <c r="M86" s="681"/>
      <c r="N86" s="681"/>
      <c r="O86" s="681"/>
      <c r="P86" s="681"/>
      <c r="Q86" s="681"/>
      <c r="R86" s="681"/>
    </row>
    <row r="87" spans="1:18" s="369" customFormat="1" ht="7.5" customHeight="1">
      <c r="C87" s="454"/>
      <c r="D87" s="454"/>
      <c r="E87" s="707"/>
      <c r="G87" s="681"/>
      <c r="H87" s="681"/>
      <c r="I87" s="682"/>
      <c r="J87" s="681"/>
      <c r="K87" s="681"/>
      <c r="L87" s="681"/>
      <c r="M87" s="681"/>
      <c r="N87" s="681"/>
      <c r="O87" s="681"/>
      <c r="P87" s="681"/>
      <c r="Q87" s="681"/>
      <c r="R87" s="681"/>
    </row>
    <row r="88" spans="1:18" s="369" customFormat="1" ht="16.350000000000001" customHeight="1">
      <c r="C88" s="454"/>
      <c r="D88" s="454"/>
      <c r="E88" s="707"/>
      <c r="G88" s="681"/>
      <c r="H88" s="681"/>
      <c r="I88" s="682"/>
      <c r="J88" s="681"/>
      <c r="K88" s="681"/>
      <c r="L88" s="681"/>
      <c r="M88" s="681"/>
      <c r="N88" s="681"/>
      <c r="O88" s="681"/>
      <c r="P88" s="681"/>
      <c r="Q88" s="681"/>
      <c r="R88" s="681"/>
    </row>
    <row r="89" spans="1:18" s="369" customFormat="1" ht="16.350000000000001" customHeight="1">
      <c r="A89" s="1046" t="s">
        <v>792</v>
      </c>
      <c r="B89" s="1047"/>
      <c r="C89" s="1037" t="s">
        <v>819</v>
      </c>
      <c r="D89" s="1037"/>
      <c r="E89" s="750" t="s">
        <v>794</v>
      </c>
      <c r="G89" s="681"/>
      <c r="H89" s="681" t="s">
        <v>820</v>
      </c>
      <c r="I89" s="682"/>
      <c r="J89" s="681"/>
      <c r="K89" s="681"/>
      <c r="L89" s="681"/>
      <c r="M89" s="681"/>
      <c r="N89" s="681"/>
      <c r="O89" s="681"/>
      <c r="P89" s="681"/>
      <c r="Q89" s="681"/>
      <c r="R89" s="681"/>
    </row>
    <row r="90" spans="1:18" ht="9.75" customHeight="1">
      <c r="A90" s="163"/>
      <c r="B90" s="163"/>
      <c r="C90" s="163"/>
      <c r="D90" s="163"/>
      <c r="E90" s="629"/>
      <c r="F90" s="258"/>
      <c r="H90" s="673"/>
      <c r="I90" s="673"/>
    </row>
    <row r="91" spans="1:18" s="462" customFormat="1" ht="12">
      <c r="A91" s="458"/>
      <c r="B91" s="459" t="s">
        <v>821</v>
      </c>
      <c r="C91" s="460" t="s">
        <v>798</v>
      </c>
      <c r="D91" s="460" t="s">
        <v>799</v>
      </c>
      <c r="E91" s="628"/>
      <c r="F91" s="461"/>
      <c r="G91" s="674"/>
      <c r="H91" s="675" t="s">
        <v>800</v>
      </c>
      <c r="I91" s="675"/>
      <c r="J91" s="674" t="s">
        <v>802</v>
      </c>
      <c r="K91" s="674"/>
      <c r="L91" s="674"/>
      <c r="M91" s="674"/>
      <c r="N91" s="674"/>
      <c r="O91" s="674"/>
      <c r="P91" s="674"/>
      <c r="Q91" s="674"/>
      <c r="R91" s="674"/>
    </row>
    <row r="92" spans="1:18" ht="27.6" customHeight="1">
      <c r="A92" s="163"/>
      <c r="B92" s="441" t="s">
        <v>122</v>
      </c>
      <c r="C92" s="743" t="str">
        <f>WIEA!B34</f>
        <v>Is an agreement in place between Exporting and Importing Utility for the purchase of water?</v>
      </c>
      <c r="D92" s="264"/>
      <c r="E92" s="628" t="str">
        <f>IFERROR(IF(OR($D$96="",$H92=10,NOT(ISNUMBER($H92))),"",IF(H92=$H$96,"Limiting","")),"")</f>
        <v/>
      </c>
      <c r="F92" s="258"/>
      <c r="G92" s="683">
        <f t="shared" ref="G92" si="6">IF(LEN(D92)&gt;0,1,0)</f>
        <v>0</v>
      </c>
      <c r="H92" s="677" t="e">
        <f>VLOOKUP('Interactive Data Grading'!D92,WIEA!$C$6:$G$16,5,FALSE)</f>
        <v>#N/A</v>
      </c>
      <c r="I92" s="676"/>
    </row>
    <row r="93" spans="1:18" ht="27.6" customHeight="1">
      <c r="A93" s="163"/>
      <c r="B93" s="441" t="s">
        <v>123</v>
      </c>
      <c r="C93" s="743" t="str">
        <f>WIEA!B35</f>
        <v>Are meter accuracy testing or electronic calibration requirements stipulated in the water purchase agreement?</v>
      </c>
      <c r="D93" s="264"/>
      <c r="E93" s="628" t="str">
        <f t="shared" ref="E93:E95" si="7">IFERROR(IF(OR($D$96="",$H93=10,NOT(ISNUMBER($H93))),"",IF(H93=$H$96,"Limiting","")),"")</f>
        <v/>
      </c>
      <c r="F93" s="258"/>
      <c r="G93" s="683">
        <f>IF(OR(LEN(D93)&gt;0,D92=WIEA!$C$23),1,0)</f>
        <v>0</v>
      </c>
      <c r="H93" s="677" t="e">
        <f>VLOOKUP('Interactive Data Grading'!D93,WIEA!$D$6:$G$16,4,FALSE)</f>
        <v>#N/A</v>
      </c>
      <c r="I93" s="676"/>
      <c r="J93" s="669" t="s">
        <v>122</v>
      </c>
    </row>
    <row r="94" spans="1:18" ht="27.6" customHeight="1">
      <c r="A94" s="163"/>
      <c r="B94" s="441" t="s">
        <v>124</v>
      </c>
      <c r="C94" s="743" t="str">
        <f>WIEA!B36</f>
        <v>Are flow accuracy test and/or electronic calibration results used to inform the error adjustment input in the water audit?</v>
      </c>
      <c r="D94" s="264"/>
      <c r="E94" s="628" t="str">
        <f t="shared" si="7"/>
        <v/>
      </c>
      <c r="F94" s="258"/>
      <c r="G94" s="683">
        <f t="shared" ref="G94:G95" si="8">IF(LEN(D94)&gt;0,1,0)</f>
        <v>0</v>
      </c>
      <c r="H94" s="677" t="e">
        <f>VLOOKUP('Interactive Data Grading'!D94,WIEA!$E$6:$G$16,3,FALSE)</f>
        <v>#N/A</v>
      </c>
      <c r="I94" s="676"/>
    </row>
    <row r="95" spans="1:18" ht="27.6" customHeight="1">
      <c r="A95" s="163"/>
      <c r="B95" s="441" t="s">
        <v>125</v>
      </c>
      <c r="C95" s="743" t="str">
        <f>WIEA!B37</f>
        <v>Who has access to the import meter readings including current and archived data?</v>
      </c>
      <c r="D95" s="264"/>
      <c r="E95" s="628" t="str">
        <f t="shared" si="7"/>
        <v/>
      </c>
      <c r="F95" s="258"/>
      <c r="G95" s="683">
        <f t="shared" si="8"/>
        <v>0</v>
      </c>
      <c r="H95" s="677" t="e">
        <f>VLOOKUP('Interactive Data Grading'!D95,WIEA!$F$6:$G$16,2,FALSE)</f>
        <v>#N/A</v>
      </c>
      <c r="I95" s="676"/>
    </row>
    <row r="96" spans="1:18" ht="27.6" customHeight="1">
      <c r="A96" s="163"/>
      <c r="B96" s="163"/>
      <c r="C96" s="259" t="s">
        <v>808</v>
      </c>
      <c r="D96" s="753" t="str">
        <f>IF(D62="No","n/a",IF(G96=0,"",H96))</f>
        <v>n/a</v>
      </c>
      <c r="E96" s="628"/>
      <c r="F96" s="258"/>
      <c r="G96" s="683">
        <f>MIN(G92:G95)</f>
        <v>0</v>
      </c>
      <c r="H96" s="680">
        <f t="array" ref="H96">MIN(IF(ISNUMBER(H92:H95),H92:H95))</f>
        <v>0</v>
      </c>
      <c r="I96" s="676"/>
    </row>
    <row r="97" spans="1:18" s="369" customFormat="1" ht="16.350000000000001" customHeight="1">
      <c r="C97" s="454"/>
      <c r="D97" s="454"/>
      <c r="E97" s="707"/>
      <c r="G97" s="681"/>
      <c r="H97" s="681"/>
      <c r="I97" s="682"/>
      <c r="J97" s="681"/>
      <c r="K97" s="681"/>
      <c r="L97" s="681"/>
      <c r="M97" s="681"/>
      <c r="N97" s="681"/>
      <c r="O97" s="681"/>
      <c r="P97" s="681"/>
      <c r="Q97" s="681"/>
      <c r="R97" s="681"/>
    </row>
    <row r="98" spans="1:18" s="369" customFormat="1" ht="16.350000000000001" customHeight="1">
      <c r="C98" s="454"/>
      <c r="D98" s="454"/>
      <c r="E98" s="707"/>
      <c r="G98" s="681"/>
      <c r="H98" s="681"/>
      <c r="I98" s="682"/>
      <c r="J98" s="681"/>
      <c r="K98" s="681"/>
      <c r="L98" s="681"/>
      <c r="M98" s="681"/>
      <c r="N98" s="681"/>
      <c r="O98" s="681"/>
      <c r="P98" s="681"/>
      <c r="Q98" s="681"/>
      <c r="R98" s="681"/>
    </row>
    <row r="99" spans="1:18" s="369" customFormat="1" ht="16.350000000000001" customHeight="1">
      <c r="C99" s="454"/>
      <c r="D99" s="454"/>
      <c r="E99" s="707"/>
      <c r="G99" s="681"/>
      <c r="H99" s="681"/>
      <c r="I99" s="682"/>
      <c r="J99" s="681"/>
      <c r="K99" s="681"/>
      <c r="L99" s="681"/>
      <c r="M99" s="681"/>
      <c r="N99" s="681"/>
      <c r="O99" s="681"/>
      <c r="P99" s="681"/>
      <c r="Q99" s="681"/>
      <c r="R99" s="681"/>
    </row>
    <row r="100" spans="1:18" s="369" customFormat="1" ht="16.350000000000001" customHeight="1">
      <c r="C100" s="454"/>
      <c r="D100" s="454"/>
      <c r="E100" s="707"/>
      <c r="G100" s="681"/>
      <c r="H100" s="681"/>
      <c r="I100" s="682"/>
      <c r="J100" s="681"/>
      <c r="K100" s="681"/>
      <c r="L100" s="681"/>
      <c r="M100" s="681"/>
      <c r="N100" s="681"/>
      <c r="O100" s="681"/>
      <c r="P100" s="681"/>
      <c r="Q100" s="681"/>
      <c r="R100" s="681"/>
    </row>
    <row r="101" spans="1:18" s="369" customFormat="1" ht="16.350000000000001" customHeight="1">
      <c r="C101" s="454"/>
      <c r="D101" s="454"/>
      <c r="E101" s="707"/>
      <c r="G101" s="681"/>
      <c r="H101" s="681"/>
      <c r="I101" s="682"/>
      <c r="J101" s="681"/>
      <c r="K101" s="681"/>
      <c r="L101" s="681"/>
      <c r="M101" s="681"/>
      <c r="N101" s="681"/>
      <c r="O101" s="681"/>
      <c r="P101" s="681"/>
      <c r="Q101" s="681"/>
      <c r="R101" s="681"/>
    </row>
    <row r="102" spans="1:18" s="369" customFormat="1" ht="16.350000000000001" customHeight="1">
      <c r="C102" s="454"/>
      <c r="D102" s="454"/>
      <c r="E102" s="707"/>
      <c r="G102" s="681"/>
      <c r="H102" s="681"/>
      <c r="I102" s="682"/>
      <c r="J102" s="681"/>
      <c r="K102" s="681"/>
      <c r="L102" s="681"/>
      <c r="M102" s="681"/>
      <c r="N102" s="681"/>
      <c r="O102" s="681"/>
      <c r="P102" s="681"/>
      <c r="Q102" s="681"/>
      <c r="R102" s="681"/>
    </row>
    <row r="103" spans="1:18" s="369" customFormat="1" ht="16.350000000000001" customHeight="1">
      <c r="C103" s="454"/>
      <c r="D103" s="454"/>
      <c r="E103" s="707"/>
      <c r="G103" s="681"/>
      <c r="H103" s="681"/>
      <c r="I103" s="682"/>
      <c r="J103" s="681"/>
      <c r="K103" s="681"/>
      <c r="L103" s="681"/>
      <c r="M103" s="681"/>
      <c r="N103" s="681"/>
      <c r="O103" s="681"/>
      <c r="P103" s="681"/>
      <c r="Q103" s="681"/>
      <c r="R103" s="681"/>
    </row>
    <row r="104" spans="1:18" s="369" customFormat="1" ht="16.350000000000001" customHeight="1">
      <c r="C104" s="454"/>
      <c r="D104" s="454"/>
      <c r="E104" s="707"/>
      <c r="G104" s="681"/>
      <c r="H104" s="681"/>
      <c r="I104" s="682"/>
      <c r="J104" s="681"/>
      <c r="K104" s="681"/>
      <c r="L104" s="681"/>
      <c r="M104" s="681"/>
      <c r="N104" s="681"/>
      <c r="O104" s="681"/>
      <c r="P104" s="681"/>
      <c r="Q104" s="681"/>
      <c r="R104" s="681"/>
    </row>
    <row r="105" spans="1:18" s="369" customFormat="1" ht="16.350000000000001" customHeight="1">
      <c r="C105" s="454"/>
      <c r="D105" s="454"/>
      <c r="E105" s="707"/>
      <c r="G105" s="681"/>
      <c r="H105" s="681"/>
      <c r="I105" s="682"/>
      <c r="J105" s="681"/>
      <c r="K105" s="681"/>
      <c r="L105" s="681"/>
      <c r="M105" s="681"/>
      <c r="N105" s="681"/>
      <c r="O105" s="681"/>
      <c r="P105" s="681"/>
      <c r="Q105" s="681"/>
      <c r="R105" s="681"/>
    </row>
    <row r="106" spans="1:18" s="369" customFormat="1" ht="16.350000000000001" customHeight="1">
      <c r="C106" s="454"/>
      <c r="D106" s="454"/>
      <c r="E106" s="707"/>
      <c r="G106" s="681"/>
      <c r="H106" s="681"/>
      <c r="I106" s="682"/>
      <c r="J106" s="681"/>
      <c r="K106" s="681"/>
      <c r="L106" s="681"/>
      <c r="M106" s="681"/>
      <c r="N106" s="681"/>
      <c r="O106" s="681"/>
      <c r="P106" s="681"/>
      <c r="Q106" s="681"/>
      <c r="R106" s="681"/>
    </row>
    <row r="107" spans="1:18" s="369" customFormat="1" ht="16.350000000000001" customHeight="1">
      <c r="C107" s="454"/>
      <c r="D107" s="454"/>
      <c r="E107" s="707"/>
      <c r="G107" s="681"/>
      <c r="H107" s="681"/>
      <c r="I107" s="682"/>
      <c r="J107" s="681"/>
      <c r="K107" s="681"/>
      <c r="L107" s="681"/>
      <c r="M107" s="681"/>
      <c r="N107" s="681"/>
      <c r="O107" s="681"/>
      <c r="P107" s="681"/>
      <c r="Q107" s="681"/>
      <c r="R107" s="681"/>
    </row>
    <row r="108" spans="1:18" s="369" customFormat="1" ht="16.350000000000001" customHeight="1">
      <c r="C108" s="454"/>
      <c r="D108" s="454"/>
      <c r="E108" s="707"/>
      <c r="G108" s="681"/>
      <c r="H108" s="681"/>
      <c r="I108" s="682"/>
      <c r="J108" s="681"/>
      <c r="K108" s="681"/>
      <c r="L108" s="681"/>
      <c r="M108" s="681"/>
      <c r="N108" s="681"/>
      <c r="O108" s="681"/>
      <c r="P108" s="681"/>
      <c r="Q108" s="681"/>
      <c r="R108" s="681"/>
    </row>
    <row r="109" spans="1:18" s="369" customFormat="1" ht="16.350000000000001" customHeight="1">
      <c r="C109" s="454"/>
      <c r="D109" s="454"/>
      <c r="E109" s="707"/>
      <c r="G109" s="681"/>
      <c r="H109" s="681"/>
      <c r="I109" s="682"/>
      <c r="J109" s="681"/>
      <c r="K109" s="681"/>
      <c r="L109" s="681"/>
      <c r="M109" s="681"/>
      <c r="N109" s="681"/>
      <c r="O109" s="681"/>
      <c r="P109" s="681"/>
      <c r="Q109" s="681"/>
      <c r="R109" s="681"/>
    </row>
    <row r="110" spans="1:18" s="369" customFormat="1" ht="16.350000000000001" customHeight="1">
      <c r="C110" s="454"/>
      <c r="D110" s="454"/>
      <c r="E110" s="707"/>
      <c r="G110" s="681"/>
      <c r="H110" s="681"/>
      <c r="I110" s="682"/>
      <c r="J110" s="681"/>
      <c r="K110" s="681"/>
      <c r="L110" s="681"/>
      <c r="M110" s="681"/>
      <c r="N110" s="681"/>
      <c r="O110" s="681"/>
      <c r="P110" s="681"/>
      <c r="Q110" s="681"/>
      <c r="R110" s="681"/>
    </row>
    <row r="111" spans="1:18" s="369" customFormat="1" ht="16.350000000000001" customHeight="1">
      <c r="C111" s="454"/>
      <c r="D111" s="454"/>
      <c r="E111" s="707"/>
      <c r="G111" s="681"/>
      <c r="H111" s="681"/>
      <c r="I111" s="682"/>
      <c r="J111" s="681"/>
      <c r="K111" s="681"/>
      <c r="L111" s="681"/>
      <c r="M111" s="681"/>
      <c r="N111" s="681"/>
      <c r="O111" s="681"/>
      <c r="P111" s="681"/>
      <c r="Q111" s="681"/>
      <c r="R111" s="681"/>
    </row>
    <row r="112" spans="1:18" s="369" customFormat="1" ht="16.350000000000001" customHeight="1">
      <c r="A112" s="1046" t="s">
        <v>792</v>
      </c>
      <c r="B112" s="1047"/>
      <c r="C112" s="1037" t="s">
        <v>822</v>
      </c>
      <c r="D112" s="1037"/>
      <c r="E112" s="750" t="s">
        <v>794</v>
      </c>
      <c r="G112" s="681"/>
      <c r="H112" s="681"/>
      <c r="I112" s="682"/>
      <c r="J112" s="681"/>
      <c r="K112" s="681"/>
      <c r="L112" s="681"/>
      <c r="M112" s="681"/>
      <c r="N112" s="681"/>
      <c r="O112" s="681"/>
      <c r="P112" s="681"/>
      <c r="Q112" s="681"/>
      <c r="R112" s="681"/>
    </row>
    <row r="113" spans="1:18" ht="12.6" customHeight="1">
      <c r="A113" s="163"/>
      <c r="B113" s="163"/>
      <c r="C113" s="1045" t="str">
        <f>IF(OR(AND(D115="Yes",Worksheet!H17&gt;0),AND(D115="No",Worksheet!H17&lt;=0),LEN(D115)=0),"","Inconsistency between Worksheet WE input and we.0 response")</f>
        <v/>
      </c>
      <c r="D113" s="1045"/>
      <c r="E113" s="629"/>
      <c r="F113" s="258"/>
      <c r="H113" s="673"/>
      <c r="I113" s="673"/>
    </row>
    <row r="114" spans="1:18" s="462" customFormat="1" ht="12">
      <c r="A114" s="458"/>
      <c r="B114" s="459" t="s">
        <v>823</v>
      </c>
      <c r="C114" s="460" t="s">
        <v>798</v>
      </c>
      <c r="D114" s="460" t="s">
        <v>799</v>
      </c>
      <c r="E114" s="628"/>
      <c r="F114" s="461"/>
      <c r="G114" s="674"/>
      <c r="H114" s="675" t="s">
        <v>800</v>
      </c>
      <c r="I114" s="675" t="s">
        <v>801</v>
      </c>
      <c r="J114" s="674" t="s">
        <v>802</v>
      </c>
      <c r="K114" s="674"/>
      <c r="L114" s="674"/>
      <c r="M114" s="674"/>
      <c r="N114" s="674"/>
      <c r="O114" s="674"/>
      <c r="P114" s="674"/>
      <c r="Q114" s="674"/>
      <c r="R114" s="674"/>
    </row>
    <row r="115" spans="1:18" ht="18" customHeight="1">
      <c r="A115" s="163"/>
      <c r="B115" s="163" t="s">
        <v>824</v>
      </c>
      <c r="C115" s="743" t="str">
        <f>WE!B34</f>
        <v>Did the water utility export any water during the audit year?</v>
      </c>
      <c r="D115" s="264" t="s">
        <v>62</v>
      </c>
      <c r="E115" s="628"/>
      <c r="F115" s="258"/>
      <c r="H115" s="669" t="s">
        <v>825</v>
      </c>
      <c r="I115" s="676"/>
      <c r="J115" s="669" t="s">
        <v>804</v>
      </c>
    </row>
    <row r="116" spans="1:18" ht="17.45" customHeight="1">
      <c r="A116" s="163"/>
      <c r="B116" s="163" t="s">
        <v>143</v>
      </c>
      <c r="C116" s="743" t="str">
        <f>WE!B35</f>
        <v>What percent of water exported is metered?</v>
      </c>
      <c r="D116" s="264" t="s">
        <v>59</v>
      </c>
      <c r="E116" s="628" t="str">
        <f>IF(OR(D127=10,NOT(ISNUMBER(D127))),"",IF(I116=I127,"Limiting",IF(VLOOKUP(D116,$P$7:$Q$15,2,FALSE)=0,"Limiting","")))</f>
        <v/>
      </c>
      <c r="F116" s="258"/>
      <c r="G116" s="669">
        <f>IF(LEN(D116)&gt;0,1,0)</f>
        <v>1</v>
      </c>
      <c r="H116" s="677">
        <f>VLOOKUP('Interactive Data Grading'!D116,WE!$C$6:$M$16,11,FALSE)</f>
        <v>10</v>
      </c>
      <c r="I116" s="677">
        <f>H116</f>
        <v>10</v>
      </c>
    </row>
    <row r="117" spans="1:18" ht="67.150000000000006" customHeight="1">
      <c r="A117" s="163"/>
      <c r="C117" s="1043" t="s">
        <v>826</v>
      </c>
      <c r="D117" s="1044"/>
      <c r="E117" s="628"/>
      <c r="F117" s="258"/>
      <c r="H117" s="677"/>
      <c r="I117" s="678"/>
    </row>
    <row r="118" spans="1:18" ht="18" customHeight="1">
      <c r="A118" s="163"/>
      <c r="B118" s="163" t="s">
        <v>144</v>
      </c>
      <c r="C118" s="743" t="str">
        <f>WE!B36</f>
        <v>What is the frequency of electronic calibration?</v>
      </c>
      <c r="D118" s="264" t="s">
        <v>65</v>
      </c>
      <c r="E118" s="628" t="str">
        <f>IFERROR(IF(OR($D$127=10,NOT(ISNUMBER($D$127))),"",IF(I118=$I$127,"Limiting","")),"")</f>
        <v/>
      </c>
      <c r="F118" s="258"/>
      <c r="G118" s="669">
        <f>IFERROR(IF(H116&lt;7,1,IF(LEN(D118)&gt;0,1,0)),"")</f>
        <v>1</v>
      </c>
      <c r="H118" s="677">
        <f>VLOOKUP('Interactive Data Grading'!D118,WE!$D$6:$M$16,10,FALSE)</f>
        <v>10</v>
      </c>
      <c r="I118" s="678">
        <f>IF(AND(H118&gt;=7,H121&gt;=7),MAX(H118,9),IF(AND(H118&gt;3,H118&lt;7,H121&gt;3,H121&lt;7),MAX(H118,H121),IF(H121&gt;=7,MAX(7,H118),H118)))</f>
        <v>10</v>
      </c>
    </row>
    <row r="119" spans="1:18" ht="25.9" customHeight="1">
      <c r="A119" s="163"/>
      <c r="B119" s="163" t="s">
        <v>145</v>
      </c>
      <c r="C119" s="743" t="str">
        <f>WE!B37</f>
        <v>What level of data transfer errors are checked as part of the electronic calibration process?</v>
      </c>
      <c r="D119" s="264" t="s">
        <v>61</v>
      </c>
      <c r="E119" s="628" t="str">
        <f t="shared" ref="E119:E126" si="9">IFERROR(IF(OR($D$127=10,NOT(ISNUMBER($D$127))),"",IF(I119=$I$127,"Limiting","")),"")</f>
        <v/>
      </c>
      <c r="F119" s="258"/>
      <c r="G119" s="679">
        <f>IFERROR(IF(H116&lt;7,1,IF(OR(D118=WE!D23,D118=WE!D27),1,IF(LEN(D119)&gt;0,1,0))),"")</f>
        <v>1</v>
      </c>
      <c r="H119" s="677">
        <f>VLOOKUP('Interactive Data Grading'!D119,WE!$E$6:$M$16,9,FALSE)</f>
        <v>10</v>
      </c>
      <c r="I119" s="677">
        <f>H119</f>
        <v>10</v>
      </c>
      <c r="J119" s="669" t="s">
        <v>827</v>
      </c>
    </row>
    <row r="120" spans="1:18" ht="18" customHeight="1">
      <c r="A120" s="163"/>
      <c r="B120" s="163" t="s">
        <v>146</v>
      </c>
      <c r="C120" s="743" t="str">
        <f>WE!B38</f>
        <v>Is the most recent electronic calibration documentation available?</v>
      </c>
      <c r="D120" s="264" t="s">
        <v>62</v>
      </c>
      <c r="E120" s="628" t="str">
        <f t="shared" si="9"/>
        <v/>
      </c>
      <c r="F120" s="258"/>
      <c r="G120" s="669">
        <f>IFERROR(IF(H116&lt;7,1,IF(OR(D118=WE!D23,D118=WE!D27),1,IF(LEN(D120)&gt;0,1,0))),"")</f>
        <v>1</v>
      </c>
      <c r="H120" s="677">
        <f>VLOOKUP('Interactive Data Grading'!D120,WE!$F$6:$M$16,8,FALSE)</f>
        <v>10</v>
      </c>
      <c r="I120" s="678">
        <f>IF(D118=WE!D23,X,IF(AND(H120=5,H122=10),7,H120))</f>
        <v>10</v>
      </c>
      <c r="J120" s="669" t="s">
        <v>144</v>
      </c>
    </row>
    <row r="121" spans="1:18" ht="16.149999999999999" customHeight="1">
      <c r="A121" s="163"/>
      <c r="B121" s="163" t="s">
        <v>147</v>
      </c>
      <c r="C121" s="743" t="str">
        <f>WE!B39</f>
        <v>What is the frequency of in-situ flow accuracy testing?</v>
      </c>
      <c r="D121" s="264" t="s">
        <v>52</v>
      </c>
      <c r="E121" s="628" t="str">
        <f t="shared" si="9"/>
        <v/>
      </c>
      <c r="F121" s="258"/>
      <c r="G121" s="669">
        <f>IFERROR(IF(H116&lt;7,1,IF(LEN(D121)&gt;0,1,0)),"")</f>
        <v>1</v>
      </c>
      <c r="H121" s="677">
        <f>VLOOKUP('Interactive Data Grading'!D121,WE!$G$6:$M$16,7,FALSE)</f>
        <v>7</v>
      </c>
      <c r="I121" s="678">
        <f>IF(AND(H118&gt;=7,H121&gt;=7),MAX(H121,9),IF(AND(H118&gt;3,H118&lt;7,H121&gt;3,H121&lt;7),MAX(H118,H121),IF(H118&gt;=7,MAX(7,H121),H121)))</f>
        <v>9</v>
      </c>
    </row>
    <row r="122" spans="1:18" ht="19.899999999999999" customHeight="1">
      <c r="A122" s="163"/>
      <c r="B122" s="163" t="s">
        <v>148</v>
      </c>
      <c r="C122" s="743" t="str">
        <f>WE!B40</f>
        <v>Is the most recent in-situ flow accuracy testing documentation available?</v>
      </c>
      <c r="D122" s="264" t="s">
        <v>62</v>
      </c>
      <c r="E122" s="628" t="str">
        <f t="shared" si="9"/>
        <v/>
      </c>
      <c r="F122" s="258"/>
      <c r="G122" s="669">
        <f>IFERROR(IF(H116&lt;7,1,IF(D121=WE!G23,1,IF(LEN(D122)&gt;0,1,0))),"")</f>
        <v>1</v>
      </c>
      <c r="H122" s="677">
        <f>VLOOKUP('Interactive Data Grading'!D122,WE!$H$6:$M$16,6,FALSE)</f>
        <v>10</v>
      </c>
      <c r="I122" s="678">
        <f>IF(D121=WE!G23,X,IF(AND(H122=5,H120=10),7,H122))</f>
        <v>10</v>
      </c>
      <c r="J122" s="669" t="s">
        <v>146</v>
      </c>
    </row>
    <row r="123" spans="1:18" ht="27" customHeight="1">
      <c r="A123" s="163"/>
      <c r="B123" s="163" t="s">
        <v>149</v>
      </c>
      <c r="C123" s="743" t="str">
        <f>WE!B41</f>
        <v>What are the total volume-weighted average results of in-situ flow accuracy testing (during or closest to audit year)?</v>
      </c>
      <c r="D123" s="264" t="s">
        <v>63</v>
      </c>
      <c r="E123" s="628" t="str">
        <f t="shared" si="9"/>
        <v/>
      </c>
      <c r="F123" s="258"/>
      <c r="G123" s="669">
        <f>IFERROR(IF(H116&lt;7,1,IF(OR(D121=WE!G23,D122=WE!H23),1,IF(LEN(D123)&gt;0,1,0))),"")</f>
        <v>1</v>
      </c>
      <c r="H123" s="677">
        <f>VLOOKUP('Interactive Data Grading'!D123,WE!$I$6:$M$16,5,FALSE)</f>
        <v>10</v>
      </c>
      <c r="I123" s="677">
        <f>IF(OR(D121=WE!G23,D122=WE!H23),X,H123)</f>
        <v>10</v>
      </c>
      <c r="J123" s="669" t="s">
        <v>828</v>
      </c>
    </row>
    <row r="124" spans="1:18" ht="37.5" customHeight="1">
      <c r="A124" s="163"/>
      <c r="B124" s="163" t="s">
        <v>150</v>
      </c>
      <c r="C124" s="743" t="str">
        <f>WE!B42</f>
        <v>Have testing and calibration procedures been closely scrutinized for compliance with procedures described in the AWWA M36 and/or M33 Manual(s)?</v>
      </c>
      <c r="D124" s="264" t="s">
        <v>62</v>
      </c>
      <c r="E124" s="628" t="str">
        <f t="shared" si="9"/>
        <v/>
      </c>
      <c r="F124" s="258"/>
      <c r="G124" s="669">
        <f>IFERROR(IF(H116&lt;7,1,IF(AND(OR(D118=WE!D23,D118=WE!D27),D121=WE!G23),1,IF(LEN(D124)&gt;0,1,0))),"")</f>
        <v>1</v>
      </c>
      <c r="H124" s="677">
        <f>VLOOKUP('Interactive Data Grading'!D124,WE!$J$6:$M$16,4,FALSE)</f>
        <v>10</v>
      </c>
      <c r="I124" s="677">
        <f>IF(OR(D121=WE!G23,D122=WE!H23),X,H124)</f>
        <v>10</v>
      </c>
      <c r="J124" s="679" t="s">
        <v>829</v>
      </c>
    </row>
    <row r="125" spans="1:18" ht="25.15" customHeight="1">
      <c r="A125" s="163"/>
      <c r="B125" s="163" t="s">
        <v>151</v>
      </c>
      <c r="C125" s="743" t="str">
        <f>WE!B43</f>
        <v>Which best describes the frequency of meter readings (data collection frequency as opposed to billing frequency)?</v>
      </c>
      <c r="D125" s="264" t="s">
        <v>51</v>
      </c>
      <c r="E125" s="628" t="str">
        <f t="shared" si="9"/>
        <v>Limiting</v>
      </c>
      <c r="F125" s="258"/>
      <c r="G125" s="669">
        <f>IFERROR(IF(H116&lt;7,1,IF(LEN(D125)&gt;0,1,0)),"")</f>
        <v>1</v>
      </c>
      <c r="H125" s="677">
        <f>VLOOKUP('Interactive Data Grading'!D125,WE!$K$6:$M$16,3,FALSE)</f>
        <v>6</v>
      </c>
      <c r="I125" s="677">
        <f>H125</f>
        <v>6</v>
      </c>
    </row>
    <row r="126" spans="1:18" ht="44.45" customHeight="1">
      <c r="A126" s="163"/>
      <c r="B126" s="163" t="s">
        <v>152</v>
      </c>
      <c r="C126" s="743" t="str">
        <f>WE!B44</f>
        <v>What is the frequency of data review &amp; correction by Exporting or Importing Utility for data gaps and/or anomalies? These can include numbers that are outside of typical patterns, and zero or 'null' values that may reflect a gap in data recording.</v>
      </c>
      <c r="D126" s="264" t="s">
        <v>56</v>
      </c>
      <c r="E126" s="628" t="str">
        <f t="shared" si="9"/>
        <v/>
      </c>
      <c r="F126" s="258"/>
      <c r="G126" s="669">
        <f>IFERROR(IF(H116&lt;7,1,IF(LEN(D126)&gt;0,1,0)),"")</f>
        <v>1</v>
      </c>
      <c r="H126" s="677">
        <f>VLOOKUP('Interactive Data Grading'!D126,WE!$L$6:$M$16,2,FALSE)</f>
        <v>8</v>
      </c>
      <c r="I126" s="677">
        <f>H126</f>
        <v>8</v>
      </c>
    </row>
    <row r="127" spans="1:18" ht="27.6" customHeight="1">
      <c r="A127" s="163"/>
      <c r="B127" s="163"/>
      <c r="C127" s="259" t="s">
        <v>808</v>
      </c>
      <c r="D127" s="631">
        <f>IF(D115="","",IF(D115="No","n/a",IF(G127=0,"",IF(R9=0,H116,I127))))</f>
        <v>6</v>
      </c>
      <c r="E127" s="628"/>
      <c r="F127" s="258"/>
      <c r="G127" s="669">
        <f>MIN(G116:G126)</f>
        <v>1</v>
      </c>
      <c r="H127" s="680">
        <f>MIN(H116:H126)</f>
        <v>6</v>
      </c>
      <c r="I127" s="680">
        <f t="array" ref="I127">MIN(IF(ISNUMBER(I116:I126),I116:I126))</f>
        <v>6</v>
      </c>
    </row>
    <row r="128" spans="1:18" s="369" customFormat="1" ht="16.350000000000001" customHeight="1">
      <c r="C128" s="454"/>
      <c r="D128" s="454"/>
      <c r="E128" s="707"/>
      <c r="G128" s="681"/>
      <c r="H128" s="681"/>
      <c r="I128" s="682"/>
      <c r="J128" s="681"/>
      <c r="K128" s="681"/>
      <c r="L128" s="681"/>
      <c r="M128" s="681"/>
      <c r="N128" s="681"/>
      <c r="O128" s="681"/>
      <c r="P128" s="681"/>
      <c r="Q128" s="681"/>
      <c r="R128" s="681"/>
    </row>
    <row r="129" spans="1:18" s="369" customFormat="1" ht="16.350000000000001" customHeight="1">
      <c r="C129" s="454"/>
      <c r="D129" s="454"/>
      <c r="E129" s="707"/>
      <c r="G129" s="681"/>
      <c r="H129" s="681"/>
      <c r="I129" s="682"/>
      <c r="J129" s="681"/>
      <c r="K129" s="681"/>
      <c r="L129" s="681"/>
      <c r="M129" s="681"/>
      <c r="N129" s="681"/>
      <c r="O129" s="681"/>
      <c r="P129" s="681"/>
      <c r="Q129" s="681"/>
      <c r="R129" s="681"/>
    </row>
    <row r="130" spans="1:18" s="369" customFormat="1" ht="16.350000000000001" customHeight="1">
      <c r="C130" s="454"/>
      <c r="D130" s="454"/>
      <c r="E130" s="707"/>
      <c r="G130" s="681"/>
      <c r="H130" s="681"/>
      <c r="I130" s="682"/>
      <c r="J130" s="681"/>
      <c r="K130" s="681"/>
      <c r="L130" s="681"/>
      <c r="M130" s="681"/>
      <c r="N130" s="681"/>
      <c r="O130" s="681"/>
      <c r="P130" s="681"/>
      <c r="Q130" s="681"/>
      <c r="R130" s="681"/>
    </row>
    <row r="131" spans="1:18" s="369" customFormat="1" ht="16.350000000000001" customHeight="1">
      <c r="C131" s="454"/>
      <c r="D131" s="454"/>
      <c r="E131" s="707"/>
      <c r="G131" s="681"/>
      <c r="H131" s="681"/>
      <c r="I131" s="682"/>
      <c r="J131" s="681"/>
      <c r="K131" s="681"/>
      <c r="L131" s="681"/>
      <c r="M131" s="681"/>
      <c r="N131" s="681"/>
      <c r="O131" s="681"/>
      <c r="P131" s="681"/>
      <c r="Q131" s="681"/>
      <c r="R131" s="681"/>
    </row>
    <row r="132" spans="1:18" s="369" customFormat="1" ht="16.350000000000001" customHeight="1">
      <c r="C132" s="454"/>
      <c r="D132" s="454"/>
      <c r="E132" s="707"/>
      <c r="G132" s="681"/>
      <c r="H132" s="681"/>
      <c r="I132" s="682"/>
      <c r="J132" s="681"/>
      <c r="K132" s="681"/>
      <c r="L132" s="681"/>
      <c r="M132" s="681"/>
      <c r="N132" s="681"/>
      <c r="O132" s="681"/>
      <c r="P132" s="681"/>
      <c r="Q132" s="681"/>
      <c r="R132" s="681"/>
    </row>
    <row r="133" spans="1:18" s="369" customFormat="1" ht="16.350000000000001" customHeight="1">
      <c r="C133" s="454"/>
      <c r="D133" s="454"/>
      <c r="E133" s="707"/>
      <c r="G133" s="681"/>
      <c r="H133" s="681"/>
      <c r="I133" s="682"/>
      <c r="J133" s="681"/>
      <c r="K133" s="681"/>
      <c r="L133" s="681"/>
      <c r="M133" s="681"/>
      <c r="N133" s="681"/>
      <c r="O133" s="681"/>
      <c r="P133" s="681"/>
      <c r="Q133" s="681"/>
      <c r="R133" s="681"/>
    </row>
    <row r="134" spans="1:18" s="369" customFormat="1" ht="13.35" customHeight="1">
      <c r="C134" s="454"/>
      <c r="D134" s="454"/>
      <c r="E134" s="707"/>
      <c r="G134" s="681"/>
      <c r="H134" s="681"/>
      <c r="I134" s="682"/>
      <c r="J134" s="681"/>
      <c r="K134" s="681"/>
      <c r="L134" s="681"/>
      <c r="M134" s="681"/>
      <c r="N134" s="681"/>
      <c r="O134" s="681"/>
      <c r="P134" s="681"/>
      <c r="Q134" s="681"/>
      <c r="R134" s="681"/>
    </row>
    <row r="135" spans="1:18" s="369" customFormat="1" ht="13.35" customHeight="1">
      <c r="C135" s="454"/>
      <c r="D135" s="454"/>
      <c r="E135" s="707"/>
      <c r="G135" s="681"/>
      <c r="H135" s="681"/>
      <c r="I135" s="682"/>
      <c r="J135" s="681"/>
      <c r="K135" s="681"/>
      <c r="L135" s="681"/>
      <c r="M135" s="681"/>
      <c r="N135" s="681"/>
      <c r="O135" s="681"/>
      <c r="P135" s="681"/>
      <c r="Q135" s="681"/>
      <c r="R135" s="681"/>
    </row>
    <row r="136" spans="1:18" s="369" customFormat="1" ht="13.35" customHeight="1">
      <c r="C136" s="454"/>
      <c r="D136" s="454"/>
      <c r="E136" s="707"/>
      <c r="G136" s="681"/>
      <c r="H136" s="681"/>
      <c r="I136" s="682"/>
      <c r="J136" s="681"/>
      <c r="K136" s="681"/>
      <c r="L136" s="681"/>
      <c r="M136" s="681"/>
      <c r="N136" s="681"/>
      <c r="O136" s="681"/>
      <c r="P136" s="681"/>
      <c r="Q136" s="681"/>
      <c r="R136" s="681"/>
    </row>
    <row r="137" spans="1:18" s="369" customFormat="1" ht="13.35" customHeight="1">
      <c r="C137" s="454"/>
      <c r="D137" s="454"/>
      <c r="E137" s="707"/>
      <c r="G137" s="681"/>
      <c r="H137" s="681"/>
      <c r="I137" s="682"/>
      <c r="J137" s="681"/>
      <c r="K137" s="681"/>
      <c r="L137" s="681"/>
      <c r="M137" s="681"/>
      <c r="N137" s="681"/>
      <c r="O137" s="681"/>
      <c r="P137" s="681"/>
      <c r="Q137" s="681"/>
      <c r="R137" s="681"/>
    </row>
    <row r="138" spans="1:18" s="369" customFormat="1" ht="4.5" customHeight="1">
      <c r="C138" s="454"/>
      <c r="D138" s="454"/>
      <c r="E138" s="707"/>
      <c r="G138" s="681"/>
      <c r="H138" s="681"/>
      <c r="I138" s="682"/>
      <c r="J138" s="681"/>
      <c r="K138" s="681"/>
      <c r="L138" s="681"/>
      <c r="M138" s="681"/>
      <c r="N138" s="681"/>
      <c r="O138" s="681"/>
      <c r="P138" s="681"/>
      <c r="Q138" s="681"/>
      <c r="R138" s="681"/>
    </row>
    <row r="139" spans="1:18" s="369" customFormat="1" ht="5.25" customHeight="1">
      <c r="C139" s="454"/>
      <c r="D139" s="454"/>
      <c r="E139" s="707"/>
      <c r="G139" s="681"/>
      <c r="H139" s="681"/>
      <c r="I139" s="682"/>
      <c r="J139" s="681"/>
      <c r="K139" s="681"/>
      <c r="L139" s="681"/>
      <c r="M139" s="681"/>
      <c r="N139" s="681"/>
      <c r="O139" s="681"/>
      <c r="P139" s="681"/>
      <c r="Q139" s="681"/>
      <c r="R139" s="681"/>
    </row>
    <row r="140" spans="1:18" s="369" customFormat="1" ht="3.75" customHeight="1">
      <c r="C140" s="454"/>
      <c r="D140" s="454"/>
      <c r="E140" s="707"/>
      <c r="G140" s="681"/>
      <c r="H140" s="681"/>
      <c r="I140" s="682"/>
      <c r="J140" s="681"/>
      <c r="K140" s="681"/>
      <c r="L140" s="681"/>
      <c r="M140" s="681"/>
      <c r="N140" s="681"/>
      <c r="O140" s="681"/>
      <c r="P140" s="681"/>
      <c r="Q140" s="681"/>
      <c r="R140" s="681"/>
    </row>
    <row r="141" spans="1:18" s="369" customFormat="1" ht="10.9" customHeight="1">
      <c r="C141" s="454"/>
      <c r="D141" s="454"/>
      <c r="E141" s="707"/>
      <c r="G141" s="681"/>
      <c r="H141" s="681"/>
      <c r="I141" s="682"/>
      <c r="J141" s="681"/>
      <c r="K141" s="681"/>
      <c r="L141" s="681"/>
      <c r="M141" s="681"/>
      <c r="N141" s="681"/>
      <c r="O141" s="681"/>
      <c r="P141" s="681"/>
      <c r="Q141" s="681"/>
      <c r="R141" s="681"/>
    </row>
    <row r="142" spans="1:18" s="369" customFormat="1" ht="8.4499999999999993" customHeight="1">
      <c r="C142" s="454"/>
      <c r="D142" s="454"/>
      <c r="E142" s="707"/>
      <c r="G142" s="681"/>
      <c r="H142" s="681"/>
      <c r="I142" s="682"/>
      <c r="J142" s="681"/>
      <c r="K142" s="681"/>
      <c r="L142" s="681"/>
      <c r="M142" s="681"/>
      <c r="N142" s="681"/>
      <c r="O142" s="681"/>
      <c r="P142" s="681"/>
      <c r="Q142" s="681"/>
      <c r="R142" s="681"/>
    </row>
    <row r="143" spans="1:18" s="369" customFormat="1" ht="16.350000000000001" customHeight="1">
      <c r="A143" s="1046" t="s">
        <v>792</v>
      </c>
      <c r="B143" s="1047"/>
      <c r="C143" s="1037" t="s">
        <v>830</v>
      </c>
      <c r="D143" s="1037"/>
      <c r="E143" s="750" t="s">
        <v>794</v>
      </c>
      <c r="G143" s="681"/>
      <c r="H143" s="681" t="s">
        <v>825</v>
      </c>
      <c r="I143" s="682"/>
      <c r="J143" s="681"/>
      <c r="K143" s="681"/>
      <c r="L143" s="681"/>
      <c r="M143" s="681"/>
      <c r="N143" s="681"/>
      <c r="O143" s="681"/>
      <c r="P143" s="681"/>
      <c r="Q143" s="681"/>
      <c r="R143" s="681"/>
    </row>
    <row r="144" spans="1:18" ht="9.75" customHeight="1">
      <c r="A144" s="163"/>
      <c r="B144" s="163"/>
      <c r="C144" s="163"/>
      <c r="D144" s="163"/>
      <c r="E144" s="629"/>
      <c r="F144" s="258"/>
      <c r="I144" s="673"/>
    </row>
    <row r="145" spans="1:18" s="462" customFormat="1" ht="12">
      <c r="A145" s="458"/>
      <c r="B145" s="459" t="s">
        <v>831</v>
      </c>
      <c r="C145" s="460" t="s">
        <v>798</v>
      </c>
      <c r="D145" s="460" t="s">
        <v>799</v>
      </c>
      <c r="E145" s="628"/>
      <c r="F145" s="461"/>
      <c r="G145" s="674"/>
      <c r="H145" s="675" t="s">
        <v>800</v>
      </c>
      <c r="I145" s="675"/>
      <c r="J145" s="674" t="s">
        <v>802</v>
      </c>
      <c r="K145" s="674"/>
      <c r="L145" s="674"/>
      <c r="M145" s="674"/>
      <c r="N145" s="674"/>
      <c r="O145" s="674"/>
      <c r="P145" s="674"/>
      <c r="Q145" s="674"/>
      <c r="R145" s="674"/>
    </row>
    <row r="146" spans="1:18" ht="27.6" customHeight="1">
      <c r="A146" s="163"/>
      <c r="B146" s="441" t="s">
        <v>158</v>
      </c>
      <c r="C146" s="743" t="str">
        <f>WEEA!B34</f>
        <v>Is an agreement in place between Exporting and Importing Utility?</v>
      </c>
      <c r="D146" s="264" t="s">
        <v>138</v>
      </c>
      <c r="E146" s="628" t="str">
        <f>IFERROR(IF(OR($D$150="",$H146=10,NOT(ISNUMBER($H146))),"",IF(H146=$H$150,"Limiting","")),"")</f>
        <v/>
      </c>
      <c r="F146" s="258"/>
      <c r="G146" s="683">
        <f t="shared" ref="G146" si="10">IF(LEN(D146)&gt;0,1,0)</f>
        <v>1</v>
      </c>
      <c r="H146" s="677">
        <f>VLOOKUP('Interactive Data Grading'!D146,WEEA!$C$6:$G$16,5,FALSE)</f>
        <v>10</v>
      </c>
      <c r="I146" s="677"/>
    </row>
    <row r="147" spans="1:18" ht="27.6" customHeight="1">
      <c r="A147" s="163"/>
      <c r="B147" s="441" t="s">
        <v>159</v>
      </c>
      <c r="C147" s="743" t="str">
        <f>WEEA!B35</f>
        <v>Are meter accuracy testing or electronic calibration requirements stipulated in the water purchase agreement?</v>
      </c>
      <c r="D147" s="264" t="s">
        <v>137</v>
      </c>
      <c r="E147" s="628" t="str">
        <f t="shared" ref="E147:E149" si="11">IFERROR(IF(OR($D$150="",$H147=10,NOT(ISNUMBER($H147))),"",IF(H147=$H$150,"Limiting","")),"")</f>
        <v/>
      </c>
      <c r="F147" s="258"/>
      <c r="G147" s="683">
        <f>IF(OR(LEN(D147)&gt;0,D146=WEEA!$C$23),1,0)</f>
        <v>1</v>
      </c>
      <c r="H147" s="677">
        <f>VLOOKUP('Interactive Data Grading'!D147,WEEA!$D$6:$G$16,4,FALSE)</f>
        <v>9</v>
      </c>
      <c r="I147" s="678"/>
      <c r="J147" s="669" t="s">
        <v>158</v>
      </c>
    </row>
    <row r="148" spans="1:18" ht="27.6" customHeight="1">
      <c r="A148" s="163"/>
      <c r="B148" s="441" t="s">
        <v>160</v>
      </c>
      <c r="C148" s="743" t="str">
        <f>WEEA!B36</f>
        <v>Are flow accuracy test and/or electronic calibration results used to inform the error adjustment input in the water audit?</v>
      </c>
      <c r="D148" s="264" t="s">
        <v>49</v>
      </c>
      <c r="E148" s="628" t="str">
        <f t="shared" si="11"/>
        <v>Limiting</v>
      </c>
      <c r="F148" s="258"/>
      <c r="G148" s="683">
        <f t="shared" ref="G148:G149" si="12">IF(LEN(D148)&gt;0,1,0)</f>
        <v>1</v>
      </c>
      <c r="H148" s="677">
        <f>VLOOKUP('Interactive Data Grading'!D148,WEEA!$E$6:$G$16,3,FALSE)</f>
        <v>4</v>
      </c>
      <c r="I148" s="678"/>
    </row>
    <row r="149" spans="1:18" ht="27.6" customHeight="1">
      <c r="A149" s="163"/>
      <c r="B149" s="441" t="s">
        <v>161</v>
      </c>
      <c r="C149" s="743" t="str">
        <f>WEEA!B37</f>
        <v>Who has access to the import meter readings including current and archived data?</v>
      </c>
      <c r="D149" s="264" t="s">
        <v>140</v>
      </c>
      <c r="E149" s="628" t="str">
        <f t="shared" si="11"/>
        <v/>
      </c>
      <c r="F149" s="258"/>
      <c r="G149" s="683">
        <f t="shared" si="12"/>
        <v>1</v>
      </c>
      <c r="H149" s="677">
        <f>VLOOKUP('Interactive Data Grading'!D149,WEEA!$F$6:$G$16,2,FALSE)</f>
        <v>10</v>
      </c>
      <c r="I149" s="678"/>
    </row>
    <row r="150" spans="1:18" ht="27.6" customHeight="1">
      <c r="A150" s="163"/>
      <c r="B150" s="163"/>
      <c r="C150" s="259" t="s">
        <v>808</v>
      </c>
      <c r="D150" s="753">
        <f>IF(D115="No","n/a",IF(G150=0,"",H150))</f>
        <v>4</v>
      </c>
      <c r="E150" s="628"/>
      <c r="F150" s="258"/>
      <c r="G150" s="683">
        <f>MIN(G146:G149)</f>
        <v>1</v>
      </c>
      <c r="H150" s="680">
        <f t="array" ref="H150">MIN(IF(ISNUMBER(H146:H149),H146:H149))</f>
        <v>4</v>
      </c>
      <c r="I150" s="680"/>
    </row>
    <row r="151" spans="1:18" s="369" customFormat="1" ht="16.350000000000001" customHeight="1">
      <c r="C151" s="454"/>
      <c r="D151" s="454"/>
      <c r="E151" s="707"/>
      <c r="G151" s="681"/>
      <c r="H151" s="681"/>
      <c r="I151" s="682"/>
      <c r="J151" s="681"/>
      <c r="K151" s="681"/>
      <c r="L151" s="681"/>
      <c r="M151" s="681"/>
      <c r="N151" s="681"/>
      <c r="O151" s="681"/>
      <c r="P151" s="681"/>
      <c r="Q151" s="681"/>
      <c r="R151" s="681"/>
    </row>
    <row r="152" spans="1:18" s="369" customFormat="1" ht="16.350000000000001" customHeight="1">
      <c r="C152" s="454"/>
      <c r="D152" s="454"/>
      <c r="E152" s="707"/>
      <c r="G152" s="681"/>
      <c r="H152" s="681"/>
      <c r="I152" s="682"/>
      <c r="J152" s="681"/>
      <c r="K152" s="681"/>
      <c r="L152" s="681"/>
      <c r="M152" s="681"/>
      <c r="N152" s="681"/>
      <c r="O152" s="681"/>
      <c r="P152" s="681"/>
      <c r="Q152" s="681"/>
      <c r="R152" s="681"/>
    </row>
    <row r="153" spans="1:18" s="369" customFormat="1" ht="16.350000000000001" customHeight="1">
      <c r="C153" s="454"/>
      <c r="D153" s="454"/>
      <c r="E153" s="707"/>
      <c r="G153" s="681"/>
      <c r="H153" s="681"/>
      <c r="I153" s="682"/>
      <c r="J153" s="681"/>
      <c r="K153" s="681"/>
      <c r="L153" s="681"/>
      <c r="M153" s="681"/>
      <c r="N153" s="681"/>
      <c r="O153" s="681"/>
      <c r="P153" s="681"/>
      <c r="Q153" s="681"/>
      <c r="R153" s="681"/>
    </row>
    <row r="154" spans="1:18" s="369" customFormat="1" ht="16.350000000000001" customHeight="1">
      <c r="C154" s="454"/>
      <c r="D154" s="454"/>
      <c r="E154" s="707"/>
      <c r="G154" s="681"/>
      <c r="H154" s="681"/>
      <c r="I154" s="682"/>
      <c r="J154" s="681"/>
      <c r="K154" s="681"/>
      <c r="L154" s="681"/>
      <c r="M154" s="681"/>
      <c r="N154" s="681"/>
      <c r="O154" s="681"/>
      <c r="P154" s="681"/>
      <c r="Q154" s="681"/>
      <c r="R154" s="681"/>
    </row>
    <row r="155" spans="1:18" s="369" customFormat="1" ht="16.350000000000001" customHeight="1">
      <c r="C155" s="454"/>
      <c r="D155" s="454"/>
      <c r="E155" s="707"/>
      <c r="G155" s="681"/>
      <c r="H155" s="681"/>
      <c r="I155" s="682"/>
      <c r="J155" s="681"/>
      <c r="K155" s="681"/>
      <c r="L155" s="681"/>
      <c r="M155" s="681"/>
      <c r="N155" s="681"/>
      <c r="O155" s="681"/>
      <c r="P155" s="681"/>
      <c r="Q155" s="681"/>
      <c r="R155" s="681"/>
    </row>
    <row r="156" spans="1:18" s="369" customFormat="1" ht="16.350000000000001" customHeight="1">
      <c r="C156" s="454"/>
      <c r="D156" s="454"/>
      <c r="E156" s="707"/>
      <c r="G156" s="681"/>
      <c r="H156" s="681"/>
      <c r="I156" s="682"/>
      <c r="J156" s="681"/>
      <c r="K156" s="681"/>
      <c r="L156" s="681"/>
      <c r="M156" s="681"/>
      <c r="N156" s="681"/>
      <c r="O156" s="681"/>
      <c r="P156" s="681"/>
      <c r="Q156" s="681"/>
      <c r="R156" s="681"/>
    </row>
    <row r="157" spans="1:18" s="369" customFormat="1" ht="16.350000000000001" customHeight="1">
      <c r="C157" s="454"/>
      <c r="D157" s="454"/>
      <c r="E157" s="707"/>
      <c r="G157" s="681"/>
      <c r="H157" s="681"/>
      <c r="I157" s="682"/>
      <c r="J157" s="681"/>
      <c r="K157" s="681"/>
      <c r="L157" s="681"/>
      <c r="M157" s="681"/>
      <c r="N157" s="681"/>
      <c r="O157" s="681"/>
      <c r="P157" s="681"/>
      <c r="Q157" s="681"/>
      <c r="R157" s="681"/>
    </row>
    <row r="158" spans="1:18" s="369" customFormat="1" ht="16.350000000000001" customHeight="1">
      <c r="C158" s="454"/>
      <c r="D158" s="454"/>
      <c r="E158" s="707"/>
      <c r="G158" s="681"/>
      <c r="H158" s="681"/>
      <c r="I158" s="682"/>
      <c r="J158" s="681"/>
      <c r="K158" s="681"/>
      <c r="L158" s="681"/>
      <c r="M158" s="681"/>
      <c r="N158" s="681"/>
      <c r="O158" s="681"/>
      <c r="P158" s="681"/>
      <c r="Q158" s="681"/>
      <c r="R158" s="681"/>
    </row>
    <row r="159" spans="1:18" s="369" customFormat="1" ht="16.350000000000001" customHeight="1">
      <c r="C159" s="454"/>
      <c r="D159" s="454"/>
      <c r="E159" s="707"/>
      <c r="G159" s="681"/>
      <c r="H159" s="681"/>
      <c r="I159" s="682"/>
      <c r="J159" s="681"/>
      <c r="K159" s="681"/>
      <c r="L159" s="681"/>
      <c r="M159" s="681"/>
      <c r="N159" s="681"/>
      <c r="O159" s="681"/>
      <c r="P159" s="681"/>
      <c r="Q159" s="681"/>
      <c r="R159" s="681"/>
    </row>
    <row r="160" spans="1:18" s="369" customFormat="1" ht="16.350000000000001" customHeight="1">
      <c r="C160" s="454"/>
      <c r="D160" s="454"/>
      <c r="E160" s="707"/>
      <c r="G160" s="681"/>
      <c r="H160" s="681"/>
      <c r="I160" s="682"/>
      <c r="J160" s="681"/>
      <c r="K160" s="681"/>
      <c r="L160" s="681"/>
      <c r="M160" s="681"/>
      <c r="N160" s="681"/>
      <c r="O160" s="681"/>
      <c r="P160" s="681"/>
      <c r="Q160" s="681"/>
      <c r="R160" s="681"/>
    </row>
    <row r="161" spans="1:18" s="369" customFormat="1" ht="16.350000000000001" customHeight="1">
      <c r="C161" s="454"/>
      <c r="D161" s="454"/>
      <c r="E161" s="707"/>
      <c r="G161" s="681"/>
      <c r="H161" s="681"/>
      <c r="I161" s="682"/>
      <c r="J161" s="681"/>
      <c r="K161" s="681"/>
      <c r="L161" s="681"/>
      <c r="M161" s="681"/>
      <c r="N161" s="681"/>
      <c r="O161" s="681"/>
      <c r="P161" s="681"/>
      <c r="Q161" s="681"/>
      <c r="R161" s="681"/>
    </row>
    <row r="162" spans="1:18" s="369" customFormat="1" ht="16.350000000000001" customHeight="1">
      <c r="C162" s="454"/>
      <c r="D162" s="454"/>
      <c r="E162" s="707"/>
      <c r="G162" s="681"/>
      <c r="H162" s="681"/>
      <c r="I162" s="682"/>
      <c r="J162" s="681"/>
      <c r="K162" s="681"/>
      <c r="L162" s="681"/>
      <c r="M162" s="681"/>
      <c r="N162" s="681"/>
      <c r="O162" s="681"/>
      <c r="P162" s="681"/>
      <c r="Q162" s="681"/>
      <c r="R162" s="681"/>
    </row>
    <row r="163" spans="1:18" s="369" customFormat="1" ht="16.350000000000001" customHeight="1">
      <c r="C163" s="454"/>
      <c r="D163" s="454"/>
      <c r="E163" s="707"/>
      <c r="G163" s="681"/>
      <c r="H163" s="681"/>
      <c r="I163" s="682"/>
      <c r="J163" s="681"/>
      <c r="K163" s="681"/>
      <c r="L163" s="681"/>
      <c r="M163" s="681"/>
      <c r="N163" s="681"/>
      <c r="O163" s="681"/>
      <c r="P163" s="681"/>
      <c r="Q163" s="681"/>
      <c r="R163" s="681"/>
    </row>
    <row r="164" spans="1:18" s="369" customFormat="1" ht="16.350000000000001" customHeight="1">
      <c r="C164" s="454"/>
      <c r="D164" s="454"/>
      <c r="E164" s="707"/>
      <c r="G164" s="681"/>
      <c r="H164" s="681"/>
      <c r="I164" s="682"/>
      <c r="J164" s="681"/>
      <c r="K164" s="681"/>
      <c r="L164" s="681"/>
      <c r="M164" s="681"/>
      <c r="N164" s="681"/>
      <c r="O164" s="681"/>
      <c r="P164" s="681"/>
      <c r="Q164" s="681"/>
      <c r="R164" s="681"/>
    </row>
    <row r="165" spans="1:18" s="369" customFormat="1" ht="16.350000000000001" customHeight="1">
      <c r="C165" s="454"/>
      <c r="D165" s="454"/>
      <c r="E165" s="707"/>
      <c r="G165" s="681"/>
      <c r="H165" s="681"/>
      <c r="I165" s="682"/>
      <c r="J165" s="681"/>
      <c r="K165" s="681"/>
      <c r="L165" s="681"/>
      <c r="M165" s="681"/>
      <c r="N165" s="681"/>
      <c r="O165" s="681"/>
      <c r="P165" s="681"/>
      <c r="Q165" s="681"/>
      <c r="R165" s="681"/>
    </row>
    <row r="166" spans="1:18" s="369" customFormat="1" ht="16.350000000000001" customHeight="1">
      <c r="A166" s="1046" t="s">
        <v>792</v>
      </c>
      <c r="B166" s="1047"/>
      <c r="C166" s="1037" t="s">
        <v>832</v>
      </c>
      <c r="D166" s="1037"/>
      <c r="E166" s="750" t="s">
        <v>794</v>
      </c>
      <c r="G166" s="681"/>
      <c r="H166" s="681"/>
      <c r="I166" s="682"/>
      <c r="J166" s="681"/>
      <c r="K166" s="681"/>
      <c r="L166" s="681"/>
      <c r="M166" s="681"/>
      <c r="N166" s="681"/>
      <c r="O166" s="681"/>
      <c r="P166" s="681"/>
      <c r="Q166" s="681"/>
      <c r="R166" s="681"/>
    </row>
    <row r="167" spans="1:18" ht="12" customHeight="1">
      <c r="A167" s="163"/>
      <c r="B167" s="163"/>
      <c r="C167" s="1045" t="str">
        <f>IF(OR(AND(D169="Yes",Worksheet!H23&gt;0),AND(D169="No",Worksheet!H23&lt;=0),LEN(D169)=0),"","Inconsistency between Worksheet BMAC input and bmac.0 response")</f>
        <v/>
      </c>
      <c r="D167" s="1045"/>
      <c r="E167" s="629"/>
      <c r="F167" s="258"/>
      <c r="H167" s="673"/>
      <c r="I167" s="673"/>
    </row>
    <row r="168" spans="1:18" s="462" customFormat="1" ht="12">
      <c r="A168" s="458"/>
      <c r="B168" s="459" t="s">
        <v>833</v>
      </c>
      <c r="C168" s="460" t="s">
        <v>798</v>
      </c>
      <c r="D168" s="460" t="s">
        <v>799</v>
      </c>
      <c r="E168" s="628"/>
      <c r="F168" s="461"/>
      <c r="G168" s="674"/>
      <c r="H168" s="675" t="s">
        <v>800</v>
      </c>
      <c r="I168" s="675"/>
      <c r="J168" s="674" t="s">
        <v>802</v>
      </c>
      <c r="K168" s="674"/>
      <c r="L168" s="674"/>
      <c r="M168" s="674"/>
      <c r="N168" s="674"/>
      <c r="O168" s="674"/>
      <c r="P168" s="674"/>
      <c r="Q168" s="674"/>
      <c r="R168" s="674"/>
    </row>
    <row r="169" spans="1:18" ht="20.100000000000001" customHeight="1">
      <c r="A169" s="163"/>
      <c r="B169" s="441" t="s">
        <v>834</v>
      </c>
      <c r="C169" s="743" t="str">
        <f>BMAC!B34</f>
        <v xml:space="preserve">Were any customers metered in the audit year? </v>
      </c>
      <c r="D169" s="264" t="s">
        <v>62</v>
      </c>
      <c r="E169" s="628"/>
      <c r="F169" s="258"/>
      <c r="H169" s="669" t="str">
        <f>IF(D169="",X,"")</f>
        <v/>
      </c>
      <c r="I169" s="676"/>
      <c r="J169" s="669" t="s">
        <v>835</v>
      </c>
    </row>
    <row r="170" spans="1:18" ht="23.1" customHeight="1">
      <c r="A170" s="163"/>
      <c r="B170" s="441" t="s">
        <v>166</v>
      </c>
      <c r="C170" s="743" t="str">
        <f>BMAC!B35</f>
        <v>For billed metered accounts, what % of bills are estimated in a typical billing cycle?</v>
      </c>
      <c r="D170" s="264" t="s">
        <v>201</v>
      </c>
      <c r="E170" s="628" t="str">
        <f t="shared" ref="E170:E176" si="13">IFERROR(IF(OR($D$177=10,NOT(ISNUMBER($D$177))),"",IF(I170=$I$177,"Limiting","")),"")</f>
        <v/>
      </c>
      <c r="F170" s="258"/>
      <c r="G170" s="670">
        <f>IF($D$169="No",1,IF(LEN(D170)&gt;0,1,0))</f>
        <v>1</v>
      </c>
      <c r="H170" s="684">
        <f>VLOOKUP('Interactive Data Grading'!D170,BMAC!$C$6:$J$15,8,FALSE)</f>
        <v>10</v>
      </c>
      <c r="I170" s="684">
        <f>H170</f>
        <v>10</v>
      </c>
    </row>
    <row r="171" spans="1:18" ht="38.25" customHeight="1">
      <c r="A171" s="163"/>
      <c r="B171" s="441" t="s">
        <v>167</v>
      </c>
      <c r="C171" s="743" t="str">
        <f>BMAC!B36</f>
        <v>How often does the utility read its customer meters?
For systems with multiple read frequencies, select the reading frequency that describes the majority of your customers.</v>
      </c>
      <c r="D171" s="264" t="s">
        <v>196</v>
      </c>
      <c r="E171" s="628" t="str">
        <f t="shared" si="13"/>
        <v>Limiting</v>
      </c>
      <c r="F171" s="258"/>
      <c r="G171" s="670">
        <f t="shared" ref="G171:G175" si="14">IF($D$169="No",1,IF(LEN(D171)&gt;0,1,0))</f>
        <v>1</v>
      </c>
      <c r="H171" s="684">
        <f>VLOOKUP('Interactive Data Grading'!D171,BMAC!$D$6:$J$15,7,FALSE)</f>
        <v>9</v>
      </c>
      <c r="I171" s="684">
        <f t="shared" ref="I171:I175" si="15">H171</f>
        <v>9</v>
      </c>
    </row>
    <row r="172" spans="1:18" ht="22.15" customHeight="1">
      <c r="A172" s="163"/>
      <c r="B172" s="441" t="s">
        <v>168</v>
      </c>
      <c r="C172" s="743" t="str">
        <f>BMAC!B37</f>
        <v>Is the BMAC volume pro-rated to represent consumption occuring exactly during the audit period?</v>
      </c>
      <c r="D172" s="264" t="s">
        <v>62</v>
      </c>
      <c r="E172" s="628" t="str">
        <f t="shared" si="13"/>
        <v/>
      </c>
      <c r="F172" s="258"/>
      <c r="G172" s="670">
        <f t="shared" si="14"/>
        <v>1</v>
      </c>
      <c r="H172" s="684">
        <f>VLOOKUP('Interactive Data Grading'!D172,BMAC!$E$6:$J$15,6,FALSE)</f>
        <v>10</v>
      </c>
      <c r="I172" s="684">
        <f t="shared" si="15"/>
        <v>10</v>
      </c>
    </row>
    <row r="173" spans="1:18" ht="20.100000000000001" customHeight="1">
      <c r="A173" s="163"/>
      <c r="B173" s="441" t="s">
        <v>169</v>
      </c>
      <c r="C173" s="743" t="str">
        <f>BMAC!B38</f>
        <v>How frequently does internal review by utility staff of the BMAC volumes occur?</v>
      </c>
      <c r="D173" s="264" t="s">
        <v>203</v>
      </c>
      <c r="E173" s="628" t="str">
        <f t="shared" si="13"/>
        <v/>
      </c>
      <c r="F173" s="258"/>
      <c r="G173" s="670">
        <f t="shared" si="14"/>
        <v>1</v>
      </c>
      <c r="H173" s="684">
        <f>VLOOKUP('Interactive Data Grading'!D173,BMAC!$F$6:$J$15,5,FALSE)</f>
        <v>10</v>
      </c>
      <c r="I173" s="684">
        <f t="shared" si="15"/>
        <v>10</v>
      </c>
    </row>
    <row r="174" spans="1:18" ht="20.100000000000001" customHeight="1">
      <c r="A174" s="163"/>
      <c r="B174" s="441" t="s">
        <v>170</v>
      </c>
      <c r="C174" s="743" t="str">
        <f>BMAC!B39</f>
        <v>What level of detail is examined in the internal review of BMAC volumes?</v>
      </c>
      <c r="D174" s="264" t="s">
        <v>204</v>
      </c>
      <c r="E174" s="628" t="str">
        <f t="shared" si="13"/>
        <v/>
      </c>
      <c r="F174" s="258"/>
      <c r="G174" s="670">
        <f>IF(OR($D$169="No",D173=BMAC!F23),1,IF(LEN(D174)&gt;0,1,0))</f>
        <v>1</v>
      </c>
      <c r="H174" s="684">
        <f>VLOOKUP('Interactive Data Grading'!D174,BMAC!$G$6:$J$15,4,FALSE)</f>
        <v>10</v>
      </c>
      <c r="I174" s="684">
        <f>IF(D173=BMAC!F23,X,H174)</f>
        <v>10</v>
      </c>
      <c r="J174" s="669" t="s">
        <v>169</v>
      </c>
    </row>
    <row r="175" spans="1:18" ht="22.9" customHeight="1">
      <c r="A175" s="163"/>
      <c r="B175" s="441" t="s">
        <v>171</v>
      </c>
      <c r="C175" s="743" t="str">
        <f>BMAC!B40</f>
        <v>When was the most recent billing data review by someone who is independent of the utility billing process?</v>
      </c>
      <c r="D175" s="264" t="s">
        <v>205</v>
      </c>
      <c r="E175" s="628" t="str">
        <f t="shared" si="13"/>
        <v/>
      </c>
      <c r="F175" s="258"/>
      <c r="G175" s="670">
        <f t="shared" si="14"/>
        <v>1</v>
      </c>
      <c r="H175" s="684">
        <f>VLOOKUP('Interactive Data Grading'!D175,BMAC!$H$6:$J$15,3,FALSE)</f>
        <v>10</v>
      </c>
      <c r="I175" s="684">
        <f t="shared" si="15"/>
        <v>10</v>
      </c>
    </row>
    <row r="176" spans="1:18" ht="22.9" customHeight="1">
      <c r="A176" s="163"/>
      <c r="B176" s="441" t="s">
        <v>172</v>
      </c>
      <c r="C176" s="743" t="str">
        <f>BMAC!B41</f>
        <v>What level of detail was examined in the review by someone who is independent of the utility billing process?</v>
      </c>
      <c r="D176" s="264" t="s">
        <v>206</v>
      </c>
      <c r="E176" s="628" t="str">
        <f t="shared" si="13"/>
        <v/>
      </c>
      <c r="F176" s="258"/>
      <c r="G176" s="670">
        <f>IF(OR($D$169="No",D175=BMAC!H23),1,IF(LEN(D176)&gt;0,1,0))</f>
        <v>1</v>
      </c>
      <c r="H176" s="684">
        <f>VLOOKUP('Interactive Data Grading'!D176,BMAC!$I$6:$J$15,2,FALSE)</f>
        <v>10</v>
      </c>
      <c r="I176" s="684">
        <f>IF(D175=BMAC!H23,X,H176)</f>
        <v>10</v>
      </c>
      <c r="J176" s="669" t="s">
        <v>171</v>
      </c>
    </row>
    <row r="177" spans="1:18" ht="27.6" customHeight="1">
      <c r="A177" s="163"/>
      <c r="B177" s="163"/>
      <c r="C177" s="259" t="s">
        <v>808</v>
      </c>
      <c r="D177" s="631">
        <f>IF(D169="","",IF(D169="No","n/a",IF(G177=0,"",I177)))</f>
        <v>9</v>
      </c>
      <c r="E177" s="628"/>
      <c r="F177" s="258"/>
      <c r="G177" s="670">
        <f>MIN(G170:G176)</f>
        <v>1</v>
      </c>
      <c r="H177" s="680">
        <f>MIN(H169:H176)</f>
        <v>9</v>
      </c>
      <c r="I177" s="680">
        <f t="array" ref="I177">MIN(IF(ISNUMBER(I168:I176),I168:I176))</f>
        <v>9</v>
      </c>
    </row>
    <row r="178" spans="1:18" s="369" customFormat="1" ht="16.350000000000001" customHeight="1">
      <c r="C178" s="454"/>
      <c r="D178" s="454"/>
      <c r="E178" s="707"/>
      <c r="G178" s="681"/>
      <c r="H178" s="681"/>
      <c r="I178" s="682"/>
      <c r="J178" s="681"/>
      <c r="K178" s="681"/>
      <c r="L178" s="681"/>
      <c r="M178" s="681"/>
      <c r="N178" s="681"/>
      <c r="O178" s="681"/>
      <c r="P178" s="681"/>
      <c r="Q178" s="681"/>
      <c r="R178" s="681"/>
    </row>
    <row r="179" spans="1:18" s="369" customFormat="1" ht="16.350000000000001" customHeight="1">
      <c r="C179" s="454"/>
      <c r="D179" s="454"/>
      <c r="E179" s="707"/>
      <c r="G179" s="681"/>
      <c r="H179" s="681"/>
      <c r="I179" s="682"/>
      <c r="J179" s="681"/>
      <c r="K179" s="681"/>
      <c r="L179" s="681"/>
      <c r="M179" s="681"/>
      <c r="N179" s="681"/>
      <c r="O179" s="681"/>
      <c r="P179" s="681"/>
      <c r="Q179" s="681"/>
      <c r="R179" s="681"/>
    </row>
    <row r="180" spans="1:18" s="369" customFormat="1" ht="16.350000000000001" customHeight="1">
      <c r="C180" s="454"/>
      <c r="D180" s="454"/>
      <c r="E180" s="707"/>
      <c r="G180" s="681"/>
      <c r="H180" s="681"/>
      <c r="I180" s="682"/>
      <c r="J180" s="681"/>
      <c r="K180" s="681"/>
      <c r="L180" s="681"/>
      <c r="M180" s="681"/>
      <c r="N180" s="681"/>
      <c r="O180" s="681"/>
      <c r="P180" s="681"/>
      <c r="Q180" s="681"/>
      <c r="R180" s="681"/>
    </row>
    <row r="181" spans="1:18" s="369" customFormat="1" ht="16.350000000000001" customHeight="1">
      <c r="C181" s="454"/>
      <c r="D181" s="454"/>
      <c r="E181" s="707"/>
      <c r="G181" s="681"/>
      <c r="H181" s="681"/>
      <c r="I181" s="682"/>
      <c r="J181" s="681"/>
      <c r="K181" s="681"/>
      <c r="L181" s="681"/>
      <c r="M181" s="681"/>
      <c r="N181" s="681"/>
      <c r="O181" s="681"/>
      <c r="P181" s="681"/>
      <c r="Q181" s="681"/>
      <c r="R181" s="681"/>
    </row>
    <row r="182" spans="1:18" s="369" customFormat="1" ht="16.350000000000001" customHeight="1">
      <c r="C182" s="454"/>
      <c r="D182" s="454"/>
      <c r="E182" s="707"/>
      <c r="G182" s="681"/>
      <c r="H182" s="681"/>
      <c r="I182" s="682"/>
      <c r="J182" s="681"/>
      <c r="K182" s="681"/>
      <c r="L182" s="681"/>
      <c r="M182" s="681"/>
      <c r="N182" s="681"/>
      <c r="O182" s="681"/>
      <c r="P182" s="681"/>
      <c r="Q182" s="681"/>
      <c r="R182" s="681"/>
    </row>
    <row r="183" spans="1:18" s="369" customFormat="1" ht="16.350000000000001" customHeight="1">
      <c r="C183" s="454"/>
      <c r="D183" s="454"/>
      <c r="E183" s="707"/>
      <c r="G183" s="681"/>
      <c r="H183" s="681"/>
      <c r="I183" s="682"/>
      <c r="J183" s="681"/>
      <c r="K183" s="681"/>
      <c r="L183" s="681"/>
      <c r="M183" s="681"/>
      <c r="N183" s="681"/>
      <c r="O183" s="681"/>
      <c r="P183" s="681"/>
      <c r="Q183" s="681"/>
      <c r="R183" s="681"/>
    </row>
    <row r="184" spans="1:18" s="369" customFormat="1" ht="16.350000000000001" customHeight="1">
      <c r="C184" s="454"/>
      <c r="D184" s="454"/>
      <c r="E184" s="707"/>
      <c r="G184" s="681"/>
      <c r="H184" s="681"/>
      <c r="I184" s="682"/>
      <c r="J184" s="681"/>
      <c r="K184" s="681"/>
      <c r="L184" s="681"/>
      <c r="M184" s="681"/>
      <c r="N184" s="681"/>
      <c r="O184" s="681"/>
      <c r="P184" s="681"/>
      <c r="Q184" s="681"/>
      <c r="R184" s="681"/>
    </row>
    <row r="185" spans="1:18" s="369" customFormat="1" ht="16.350000000000001" customHeight="1">
      <c r="C185" s="454"/>
      <c r="D185" s="454"/>
      <c r="E185" s="707"/>
      <c r="G185" s="681"/>
      <c r="H185" s="681"/>
      <c r="I185" s="682"/>
      <c r="J185" s="681"/>
      <c r="K185" s="681"/>
      <c r="L185" s="681"/>
      <c r="M185" s="681"/>
      <c r="N185" s="681"/>
      <c r="O185" s="681"/>
      <c r="P185" s="681"/>
      <c r="Q185" s="681"/>
      <c r="R185" s="681"/>
    </row>
    <row r="186" spans="1:18" s="369" customFormat="1" ht="16.350000000000001" customHeight="1">
      <c r="C186" s="454"/>
      <c r="D186" s="454"/>
      <c r="E186" s="707"/>
      <c r="G186" s="681"/>
      <c r="H186" s="681"/>
      <c r="I186" s="682"/>
      <c r="J186" s="681"/>
      <c r="K186" s="681"/>
      <c r="L186" s="681"/>
      <c r="M186" s="681"/>
      <c r="N186" s="681"/>
      <c r="O186" s="681"/>
      <c r="P186" s="681"/>
      <c r="Q186" s="681"/>
      <c r="R186" s="681"/>
    </row>
    <row r="187" spans="1:18" s="369" customFormat="1" ht="16.350000000000001" customHeight="1">
      <c r="C187" s="454"/>
      <c r="D187" s="454"/>
      <c r="E187" s="707"/>
      <c r="G187" s="681"/>
      <c r="H187" s="681"/>
      <c r="I187" s="682"/>
      <c r="J187" s="681"/>
      <c r="K187" s="681"/>
      <c r="L187" s="681"/>
      <c r="M187" s="681"/>
      <c r="N187" s="681"/>
      <c r="O187" s="681"/>
      <c r="P187" s="681"/>
      <c r="Q187" s="681"/>
      <c r="R187" s="681"/>
    </row>
    <row r="188" spans="1:18" s="369" customFormat="1" ht="16.350000000000001" customHeight="1">
      <c r="C188" s="454"/>
      <c r="D188" s="454"/>
      <c r="E188" s="707"/>
      <c r="G188" s="681"/>
      <c r="H188" s="681"/>
      <c r="I188" s="682"/>
      <c r="J188" s="681"/>
      <c r="K188" s="681"/>
      <c r="L188" s="681"/>
      <c r="M188" s="681"/>
      <c r="N188" s="681"/>
      <c r="O188" s="681"/>
      <c r="P188" s="681"/>
      <c r="Q188" s="681"/>
      <c r="R188" s="681"/>
    </row>
    <row r="189" spans="1:18" s="369" customFormat="1" ht="47.45" customHeight="1">
      <c r="C189" s="454"/>
      <c r="D189" s="454"/>
      <c r="E189" s="707"/>
      <c r="G189" s="681"/>
      <c r="H189" s="681"/>
      <c r="I189" s="682"/>
      <c r="J189" s="681"/>
      <c r="K189" s="681"/>
      <c r="L189" s="681"/>
      <c r="M189" s="681"/>
      <c r="N189" s="681"/>
      <c r="O189" s="681"/>
      <c r="P189" s="681"/>
      <c r="Q189" s="681"/>
      <c r="R189" s="681"/>
    </row>
    <row r="190" spans="1:18" s="369" customFormat="1" ht="33.75" customHeight="1">
      <c r="C190" s="454"/>
      <c r="D190" s="454"/>
      <c r="E190" s="707"/>
      <c r="G190" s="681"/>
      <c r="H190" s="681"/>
      <c r="I190" s="682"/>
      <c r="J190" s="681"/>
      <c r="K190" s="681"/>
      <c r="L190" s="681"/>
      <c r="M190" s="681"/>
      <c r="N190" s="681"/>
      <c r="O190" s="681"/>
      <c r="P190" s="681"/>
      <c r="Q190" s="681"/>
      <c r="R190" s="681"/>
    </row>
    <row r="191" spans="1:18" s="369" customFormat="1" ht="32.25" customHeight="1">
      <c r="C191" s="454"/>
      <c r="D191" s="454"/>
      <c r="E191" s="707"/>
      <c r="G191" s="681"/>
      <c r="H191" s="681"/>
      <c r="I191" s="682"/>
      <c r="J191" s="681"/>
      <c r="K191" s="681"/>
      <c r="L191" s="681"/>
      <c r="M191" s="681"/>
      <c r="N191" s="681"/>
      <c r="O191" s="681"/>
      <c r="P191" s="681"/>
      <c r="Q191" s="681"/>
      <c r="R191" s="681"/>
    </row>
    <row r="192" spans="1:18" s="369" customFormat="1" ht="24.75" customHeight="1">
      <c r="C192" s="454"/>
      <c r="D192" s="454"/>
      <c r="E192" s="707"/>
      <c r="G192" s="681"/>
      <c r="H192" s="681"/>
      <c r="I192" s="682"/>
      <c r="J192" s="681"/>
      <c r="K192" s="681"/>
      <c r="L192" s="681"/>
      <c r="M192" s="681"/>
      <c r="N192" s="681"/>
      <c r="O192" s="681"/>
      <c r="P192" s="681"/>
      <c r="Q192" s="681"/>
      <c r="R192" s="681"/>
    </row>
    <row r="193" spans="1:18" s="369" customFormat="1" ht="16.350000000000001" customHeight="1">
      <c r="A193" s="1046" t="s">
        <v>792</v>
      </c>
      <c r="B193" s="1047"/>
      <c r="C193" s="1037" t="s">
        <v>836</v>
      </c>
      <c r="D193" s="1037"/>
      <c r="E193" s="750" t="s">
        <v>794</v>
      </c>
      <c r="G193" s="681"/>
      <c r="H193" s="681"/>
      <c r="I193" s="682"/>
      <c r="J193" s="681"/>
      <c r="K193" s="681"/>
      <c r="L193" s="681"/>
      <c r="M193" s="681"/>
      <c r="N193" s="681"/>
      <c r="O193" s="681"/>
      <c r="P193" s="681"/>
      <c r="Q193" s="681"/>
      <c r="R193" s="681"/>
    </row>
    <row r="194" spans="1:18" ht="12" customHeight="1">
      <c r="A194" s="163"/>
      <c r="B194" s="163"/>
      <c r="C194" s="1045" t="str">
        <f>IF(OR(AND(D196="Yes",Worksheet!H24&gt;0),AND(D196="No",Worksheet!H24&lt;=0),LEN(D196)=0),"","Inconsistency between Worksheet BUAC input and buac.0 response")</f>
        <v/>
      </c>
      <c r="D194" s="1045"/>
      <c r="E194" s="629"/>
      <c r="F194" s="258"/>
      <c r="H194" s="673"/>
      <c r="I194" s="673"/>
    </row>
    <row r="195" spans="1:18" s="462" customFormat="1" ht="12">
      <c r="A195" s="458"/>
      <c r="B195" s="459" t="s">
        <v>837</v>
      </c>
      <c r="C195" s="460" t="s">
        <v>798</v>
      </c>
      <c r="D195" s="460" t="s">
        <v>799</v>
      </c>
      <c r="E195" s="628"/>
      <c r="F195" s="461"/>
      <c r="G195" s="674"/>
      <c r="H195" s="675" t="s">
        <v>800</v>
      </c>
      <c r="I195" s="675"/>
      <c r="J195" s="674" t="s">
        <v>802</v>
      </c>
      <c r="K195" s="674"/>
      <c r="L195" s="674"/>
      <c r="M195" s="674"/>
      <c r="N195" s="674"/>
      <c r="O195" s="674"/>
      <c r="P195" s="674"/>
      <c r="Q195" s="674"/>
      <c r="R195" s="674"/>
    </row>
    <row r="196" spans="1:18" ht="27.6" customHeight="1">
      <c r="A196" s="163"/>
      <c r="B196" s="441" t="s">
        <v>838</v>
      </c>
      <c r="C196" s="743" t="str">
        <f>BUAC!B34</f>
        <v>Was there any billed consumption on unmetered accounts in the audit year?</v>
      </c>
      <c r="D196" s="264" t="s">
        <v>49</v>
      </c>
      <c r="E196" s="628"/>
      <c r="F196" s="258"/>
      <c r="H196" s="669" t="str">
        <f>IF(D196="",X,"")</f>
        <v/>
      </c>
      <c r="I196" s="676"/>
      <c r="J196" s="669" t="s">
        <v>835</v>
      </c>
    </row>
    <row r="197" spans="1:18" ht="27.6" customHeight="1">
      <c r="A197" s="163"/>
      <c r="B197" s="441" t="s">
        <v>209</v>
      </c>
      <c r="C197" s="743" t="str">
        <f>BUAC!B35</f>
        <v>What portion of billed accounts are unmetered (% by number of accounts)?</v>
      </c>
      <c r="D197" s="264"/>
      <c r="E197" s="628" t="str">
        <f>IF(OR($D$200=10,$D$200="n/a"),"",IFERROR(IF(H197=MIN($H$197:$H$199),"Limiting",""),""))</f>
        <v/>
      </c>
      <c r="F197" s="258"/>
      <c r="H197" s="677" t="e">
        <f>VLOOKUP('Interactive Data Grading'!D197,BUAC!$C$6:$F$15,4,FALSE)</f>
        <v>#N/A</v>
      </c>
      <c r="I197" s="677"/>
    </row>
    <row r="198" spans="1:18" ht="27.6" customHeight="1">
      <c r="A198" s="163"/>
      <c r="B198" s="441" t="s">
        <v>210</v>
      </c>
      <c r="C198" s="743" t="str">
        <f>BUAC!B36</f>
        <v>Methodology to quantify consumption for unmetered accounts?</v>
      </c>
      <c r="D198" s="264"/>
      <c r="E198" s="628" t="str">
        <f>IF(OR($D$200=10,$D$200="n/a"),"",IFERROR(IF(H198=MIN($H$197:$H$199),"Limiting",""),""))</f>
        <v/>
      </c>
      <c r="F198" s="258"/>
      <c r="H198" s="677" t="e">
        <f>VLOOKUP('Interactive Data Grading'!D198,BUAC!$D$6:$F$15,3,FALSE)</f>
        <v>#N/A</v>
      </c>
      <c r="I198" s="678"/>
    </row>
    <row r="199" spans="1:18" ht="27.6" customHeight="1">
      <c r="A199" s="163"/>
      <c r="B199" s="441" t="s">
        <v>211</v>
      </c>
      <c r="C199" s="743" t="str">
        <f>BUAC!B37</f>
        <v>How frequently is unmetered customer consumption estimated?</v>
      </c>
      <c r="D199" s="264"/>
      <c r="E199" s="628" t="str">
        <f>IF(OR($D$200=10,$D$200="n/a"),"",IFERROR(IF(H199=MIN($H$197:$H$199),"Limiting",""),""))</f>
        <v/>
      </c>
      <c r="F199" s="258"/>
      <c r="H199" s="677" t="e">
        <f>VLOOKUP('Interactive Data Grading'!D199,BUAC!$E$6:$F$15,2,FALSE)</f>
        <v>#N/A</v>
      </c>
      <c r="I199" s="678"/>
    </row>
    <row r="200" spans="1:18" ht="27.6" customHeight="1">
      <c r="A200" s="163"/>
      <c r="B200" s="163"/>
      <c r="C200" s="259" t="s">
        <v>808</v>
      </c>
      <c r="D200" s="631" t="str">
        <f>IFERROR((IF(D196="No","n/a",H200)),"")</f>
        <v>n/a</v>
      </c>
      <c r="E200" s="628"/>
      <c r="F200" s="258"/>
      <c r="H200" s="680" t="e">
        <f>MIN(H196:H199)</f>
        <v>#N/A</v>
      </c>
      <c r="I200" s="677"/>
    </row>
    <row r="201" spans="1:18" s="369" customFormat="1" ht="16.350000000000001" customHeight="1">
      <c r="C201" s="454"/>
      <c r="D201" s="454"/>
      <c r="E201" s="707"/>
      <c r="G201" s="681"/>
      <c r="H201" s="681"/>
      <c r="I201" s="682"/>
      <c r="J201" s="681"/>
      <c r="K201" s="681"/>
      <c r="L201" s="681"/>
      <c r="M201" s="681"/>
      <c r="N201" s="681"/>
      <c r="O201" s="681"/>
      <c r="P201" s="681"/>
      <c r="Q201" s="681"/>
      <c r="R201" s="681"/>
    </row>
    <row r="202" spans="1:18" s="369" customFormat="1" ht="16.350000000000001" customHeight="1">
      <c r="C202" s="454"/>
      <c r="D202" s="454"/>
      <c r="E202" s="707"/>
      <c r="G202" s="681"/>
      <c r="H202" s="681"/>
      <c r="I202" s="682"/>
      <c r="J202" s="681"/>
      <c r="K202" s="681"/>
      <c r="L202" s="681"/>
      <c r="M202" s="681"/>
      <c r="N202" s="681"/>
      <c r="O202" s="681"/>
      <c r="P202" s="681"/>
      <c r="Q202" s="681"/>
      <c r="R202" s="681"/>
    </row>
    <row r="203" spans="1:18" s="369" customFormat="1" ht="16.350000000000001" customHeight="1">
      <c r="C203" s="454"/>
      <c r="D203" s="454"/>
      <c r="E203" s="707"/>
      <c r="G203" s="681"/>
      <c r="H203" s="681"/>
      <c r="I203" s="682"/>
      <c r="J203" s="681"/>
      <c r="K203" s="681"/>
      <c r="L203" s="681"/>
      <c r="M203" s="681"/>
      <c r="N203" s="681"/>
      <c r="O203" s="681"/>
      <c r="P203" s="681"/>
      <c r="Q203" s="681"/>
      <c r="R203" s="681"/>
    </row>
    <row r="204" spans="1:18" s="369" customFormat="1" ht="16.350000000000001" customHeight="1">
      <c r="C204" s="454"/>
      <c r="D204" s="454"/>
      <c r="E204" s="707"/>
      <c r="G204" s="681"/>
      <c r="H204" s="681"/>
      <c r="I204" s="682"/>
      <c r="J204" s="681"/>
      <c r="K204" s="681"/>
      <c r="L204" s="681"/>
      <c r="M204" s="681"/>
      <c r="N204" s="681"/>
      <c r="O204" s="681"/>
      <c r="P204" s="681"/>
      <c r="Q204" s="681"/>
      <c r="R204" s="681"/>
    </row>
    <row r="205" spans="1:18" s="369" customFormat="1" ht="16.350000000000001" customHeight="1">
      <c r="C205" s="454"/>
      <c r="D205" s="454"/>
      <c r="E205" s="707"/>
      <c r="G205" s="681"/>
      <c r="H205" s="681"/>
      <c r="I205" s="682"/>
      <c r="J205" s="681"/>
      <c r="K205" s="681"/>
      <c r="L205" s="681"/>
      <c r="M205" s="681"/>
      <c r="N205" s="681"/>
      <c r="O205" s="681"/>
      <c r="P205" s="681"/>
      <c r="Q205" s="681"/>
      <c r="R205" s="681"/>
    </row>
    <row r="206" spans="1:18" s="369" customFormat="1" ht="16.350000000000001" customHeight="1">
      <c r="C206" s="454"/>
      <c r="D206" s="454"/>
      <c r="E206" s="707"/>
      <c r="G206" s="681"/>
      <c r="H206" s="681"/>
      <c r="I206" s="682"/>
      <c r="J206" s="681"/>
      <c r="K206" s="681"/>
      <c r="L206" s="681"/>
      <c r="M206" s="681"/>
      <c r="N206" s="681"/>
      <c r="O206" s="681"/>
      <c r="P206" s="681"/>
      <c r="Q206" s="681"/>
      <c r="R206" s="681"/>
    </row>
    <row r="207" spans="1:18" s="369" customFormat="1" ht="16.350000000000001" customHeight="1">
      <c r="C207" s="454"/>
      <c r="D207" s="454"/>
      <c r="E207" s="707"/>
      <c r="G207" s="681"/>
      <c r="H207" s="681"/>
      <c r="I207" s="682"/>
      <c r="J207" s="681"/>
      <c r="K207" s="681"/>
      <c r="L207" s="681"/>
      <c r="M207" s="681"/>
      <c r="N207" s="681"/>
      <c r="O207" s="681"/>
      <c r="P207" s="681"/>
      <c r="Q207" s="681"/>
      <c r="R207" s="681"/>
    </row>
    <row r="208" spans="1:18" s="369" customFormat="1" ht="16.350000000000001" customHeight="1">
      <c r="C208" s="454"/>
      <c r="D208" s="454"/>
      <c r="E208" s="707"/>
      <c r="G208" s="681"/>
      <c r="H208" s="681"/>
      <c r="I208" s="682"/>
      <c r="J208" s="681"/>
      <c r="K208" s="681"/>
      <c r="L208" s="681"/>
      <c r="M208" s="681"/>
      <c r="N208" s="681"/>
      <c r="O208" s="681"/>
      <c r="P208" s="681"/>
      <c r="Q208" s="681"/>
      <c r="R208" s="681"/>
    </row>
    <row r="209" spans="1:18" s="369" customFormat="1" ht="57.6" customHeight="1">
      <c r="C209" s="454"/>
      <c r="D209" s="454"/>
      <c r="E209" s="707"/>
      <c r="G209" s="681"/>
      <c r="H209" s="681"/>
      <c r="I209" s="682"/>
      <c r="J209" s="681"/>
      <c r="K209" s="681"/>
      <c r="L209" s="681"/>
      <c r="M209" s="681"/>
      <c r="N209" s="681"/>
      <c r="O209" s="681"/>
      <c r="P209" s="681"/>
      <c r="Q209" s="681"/>
      <c r="R209" s="681"/>
    </row>
    <row r="210" spans="1:18" s="369" customFormat="1" ht="57.6" customHeight="1">
      <c r="C210" s="454"/>
      <c r="D210" s="454"/>
      <c r="E210" s="707"/>
      <c r="G210" s="681"/>
      <c r="H210" s="681"/>
      <c r="I210" s="682"/>
      <c r="J210" s="681"/>
      <c r="K210" s="681"/>
      <c r="L210" s="681"/>
      <c r="M210" s="681"/>
      <c r="N210" s="681"/>
      <c r="O210" s="681"/>
      <c r="P210" s="681"/>
      <c r="Q210" s="681"/>
      <c r="R210" s="681"/>
    </row>
    <row r="211" spans="1:18" s="369" customFormat="1" ht="57.6" customHeight="1">
      <c r="C211" s="454"/>
      <c r="D211" s="454"/>
      <c r="E211" s="707"/>
      <c r="G211" s="681"/>
      <c r="H211" s="681"/>
      <c r="I211" s="682"/>
      <c r="J211" s="681"/>
      <c r="K211" s="681"/>
      <c r="L211" s="681"/>
      <c r="M211" s="681"/>
      <c r="N211" s="681"/>
      <c r="O211" s="681"/>
      <c r="P211" s="681"/>
      <c r="Q211" s="681"/>
      <c r="R211" s="681"/>
    </row>
    <row r="212" spans="1:18" s="369" customFormat="1" ht="33.75" customHeight="1">
      <c r="C212" s="454"/>
      <c r="D212" s="454"/>
      <c r="E212" s="707"/>
      <c r="G212" s="681"/>
      <c r="H212" s="681"/>
      <c r="I212" s="682"/>
      <c r="J212" s="681"/>
      <c r="K212" s="681"/>
      <c r="L212" s="681"/>
      <c r="M212" s="681"/>
      <c r="N212" s="681"/>
      <c r="O212" s="681"/>
      <c r="P212" s="681"/>
      <c r="Q212" s="681"/>
      <c r="R212" s="681"/>
    </row>
    <row r="213" spans="1:18" s="369" customFormat="1" ht="16.350000000000001" customHeight="1">
      <c r="C213" s="454"/>
      <c r="D213" s="454"/>
      <c r="E213" s="707"/>
      <c r="G213" s="681"/>
      <c r="H213" s="681"/>
      <c r="I213" s="682"/>
      <c r="J213" s="681"/>
      <c r="K213" s="681"/>
      <c r="L213" s="681"/>
      <c r="M213" s="681"/>
      <c r="N213" s="681"/>
      <c r="O213" s="681"/>
      <c r="P213" s="681"/>
      <c r="Q213" s="681"/>
      <c r="R213" s="681"/>
    </row>
    <row r="214" spans="1:18" s="369" customFormat="1" ht="16.350000000000001" customHeight="1">
      <c r="C214" s="454"/>
      <c r="D214" s="454"/>
      <c r="E214" s="707"/>
      <c r="G214" s="681"/>
      <c r="H214" s="681"/>
      <c r="I214" s="682"/>
      <c r="J214" s="681"/>
      <c r="K214" s="681"/>
      <c r="L214" s="681"/>
      <c r="M214" s="681"/>
      <c r="N214" s="681"/>
      <c r="O214" s="681"/>
      <c r="P214" s="681"/>
      <c r="Q214" s="681"/>
      <c r="R214" s="681"/>
    </row>
    <row r="215" spans="1:18" s="369" customFormat="1" ht="18.75" customHeight="1">
      <c r="C215" s="454"/>
      <c r="D215" s="454"/>
      <c r="E215" s="707"/>
      <c r="G215" s="681"/>
      <c r="H215" s="681"/>
      <c r="I215" s="682"/>
      <c r="J215" s="681"/>
      <c r="K215" s="681"/>
      <c r="L215" s="681"/>
      <c r="M215" s="681"/>
      <c r="N215" s="681"/>
      <c r="O215" s="681"/>
      <c r="P215" s="681"/>
      <c r="Q215" s="681"/>
      <c r="R215" s="681"/>
    </row>
    <row r="216" spans="1:18" s="369" customFormat="1" ht="16.350000000000001" customHeight="1">
      <c r="A216" s="1046" t="s">
        <v>792</v>
      </c>
      <c r="B216" s="1047"/>
      <c r="C216" s="1037" t="s">
        <v>839</v>
      </c>
      <c r="D216" s="1037"/>
      <c r="E216" s="750" t="s">
        <v>794</v>
      </c>
      <c r="G216" s="681"/>
      <c r="H216" s="681"/>
      <c r="I216" s="682"/>
      <c r="J216" s="681"/>
      <c r="K216" s="681"/>
      <c r="L216" s="681"/>
      <c r="M216" s="681"/>
      <c r="N216" s="681"/>
      <c r="O216" s="681"/>
      <c r="P216" s="681"/>
      <c r="Q216" s="681"/>
      <c r="R216" s="681"/>
    </row>
    <row r="217" spans="1:18" ht="12" customHeight="1">
      <c r="A217" s="163"/>
      <c r="B217" s="163"/>
      <c r="C217" s="1045" t="str">
        <f>IF(OR(AND(D219="Yes",Worksheet!H25&gt;0),AND(D219="No",Worksheet!H25&lt;=0),LEN(D219)=0),"","Inconsistency between Worksheet UMAC input and umac.0 response")</f>
        <v/>
      </c>
      <c r="D217" s="1045"/>
      <c r="E217" s="629"/>
      <c r="F217" s="258"/>
      <c r="H217" s="673"/>
      <c r="I217" s="673"/>
    </row>
    <row r="218" spans="1:18" s="462" customFormat="1" ht="12">
      <c r="A218" s="458"/>
      <c r="B218" s="459" t="s">
        <v>840</v>
      </c>
      <c r="C218" s="460" t="s">
        <v>798</v>
      </c>
      <c r="D218" s="460" t="s">
        <v>799</v>
      </c>
      <c r="E218" s="628"/>
      <c r="F218" s="461"/>
      <c r="G218" s="674"/>
      <c r="H218" s="675" t="s">
        <v>800</v>
      </c>
      <c r="I218" s="675"/>
      <c r="J218" s="674" t="s">
        <v>802</v>
      </c>
      <c r="K218" s="674"/>
      <c r="L218" s="674"/>
      <c r="M218" s="674"/>
      <c r="N218" s="674"/>
      <c r="O218" s="674"/>
      <c r="P218" s="674"/>
      <c r="Q218" s="674"/>
      <c r="R218" s="674"/>
    </row>
    <row r="219" spans="1:18" ht="27.6" customHeight="1">
      <c r="A219" s="163"/>
      <c r="B219" s="441" t="s">
        <v>841</v>
      </c>
      <c r="C219" s="743" t="str">
        <f>UMAC!B34</f>
        <v>Did the water utility have any unbilled-metered consumption in the audit year?</v>
      </c>
      <c r="D219" s="264" t="s">
        <v>62</v>
      </c>
      <c r="E219" s="628"/>
      <c r="F219" s="258"/>
      <c r="H219" s="669" t="str">
        <f>IF(D219="",X,"")</f>
        <v/>
      </c>
      <c r="I219" s="676"/>
      <c r="J219" s="669" t="s">
        <v>835</v>
      </c>
    </row>
    <row r="220" spans="1:18" ht="27.6" customHeight="1">
      <c r="A220" s="163"/>
      <c r="B220" s="441" t="s">
        <v>226</v>
      </c>
      <c r="C220" s="743" t="str">
        <f>UMAC!B35</f>
        <v>Does the water utility policy articulate which accounts are exempt from billing?</v>
      </c>
      <c r="D220" s="264" t="s">
        <v>244</v>
      </c>
      <c r="E220" s="628" t="str">
        <f>IF(OR($D$224=10,$D$224="n/a"),"",IFERROR(IF(H220=MIN($H$220:$H$223),"Limiting",""),""))</f>
        <v/>
      </c>
      <c r="F220" s="258"/>
      <c r="H220" s="677">
        <f>VLOOKUP('Interactive Data Grading'!D220,UMAC!$C$6:$G$15,5,FALSE)</f>
        <v>10</v>
      </c>
      <c r="I220" s="677"/>
    </row>
    <row r="221" spans="1:18" ht="27.6" customHeight="1">
      <c r="A221" s="163"/>
      <c r="B221" s="441" t="s">
        <v>227</v>
      </c>
      <c r="C221" s="743" t="str">
        <f>UMAC!B36</f>
        <v>How many unbilled metered accounts exist?</v>
      </c>
      <c r="D221" s="264" t="s">
        <v>245</v>
      </c>
      <c r="E221" s="628" t="str">
        <f>IF(OR($D$224=10,$D$224="n/a"),"",IFERROR(IF(H221=MIN($H$220:$H$223),"Limiting",""),""))</f>
        <v/>
      </c>
      <c r="F221" s="258"/>
      <c r="H221" s="677">
        <f>VLOOKUP('Interactive Data Grading'!D221,UMAC!$D$6:$G$15,4,FALSE)</f>
        <v>10</v>
      </c>
      <c r="I221" s="678"/>
    </row>
    <row r="222" spans="1:18" ht="41.85" customHeight="1">
      <c r="A222" s="163"/>
      <c r="B222" s="441" t="s">
        <v>228</v>
      </c>
      <c r="C222" s="743" t="str">
        <f>UMAC!B37</f>
        <v>How often is each unbilled customer meter read? 
For systems with multiple read frequencies, select the reading frequency that describes the majority of your customers.</v>
      </c>
      <c r="D222" s="264" t="s">
        <v>246</v>
      </c>
      <c r="E222" s="628" t="str">
        <f>IF(OR($D$224=10,$D$224="n/a"),"",IFERROR(IF(H222=MIN($H$220:$H$223),"Limiting",""),""))</f>
        <v/>
      </c>
      <c r="F222" s="258"/>
      <c r="H222" s="677">
        <f>VLOOKUP('Interactive Data Grading'!D222,UMAC!$E$6:$G$15,3,FALSE)</f>
        <v>10</v>
      </c>
      <c r="I222" s="678"/>
    </row>
    <row r="223" spans="1:18" ht="27.6" customHeight="1">
      <c r="A223" s="163"/>
      <c r="B223" s="441" t="s">
        <v>229</v>
      </c>
      <c r="C223" s="743" t="str">
        <f>UMAC!B38</f>
        <v>How often are unbilled metered volumes reviewed for error?</v>
      </c>
      <c r="D223" s="264" t="s">
        <v>247</v>
      </c>
      <c r="E223" s="628" t="str">
        <f>IF(OR($D$224=10,$D$224="n/a"),"",IFERROR(IF(H223=MIN($H$220:$H$223),"Limiting",""),""))</f>
        <v/>
      </c>
      <c r="F223" s="258"/>
      <c r="H223" s="677">
        <f>VLOOKUP('Interactive Data Grading'!D223,UMAC!$F$6:$G$15,2,FALSE)</f>
        <v>10</v>
      </c>
      <c r="I223" s="677"/>
    </row>
    <row r="224" spans="1:18" ht="27.6" customHeight="1">
      <c r="A224" s="163"/>
      <c r="B224" s="163"/>
      <c r="C224" s="259" t="s">
        <v>808</v>
      </c>
      <c r="D224" s="631">
        <f>IFERROR((IF(D219="No","n/a",H224)),"")</f>
        <v>10</v>
      </c>
      <c r="E224" s="628"/>
      <c r="F224" s="258"/>
      <c r="H224" s="680">
        <f>MIN(H219:H223)</f>
        <v>10</v>
      </c>
      <c r="I224" s="677"/>
    </row>
    <row r="225" spans="1:18" s="369" customFormat="1" ht="16.350000000000001" customHeight="1">
      <c r="C225" s="454"/>
      <c r="D225" s="454"/>
      <c r="E225" s="707"/>
      <c r="G225" s="681"/>
      <c r="H225" s="681"/>
      <c r="I225" s="682"/>
      <c r="J225" s="681"/>
      <c r="K225" s="681"/>
      <c r="L225" s="681"/>
      <c r="M225" s="681"/>
      <c r="N225" s="681"/>
      <c r="O225" s="681"/>
      <c r="P225" s="681"/>
      <c r="Q225" s="681"/>
      <c r="R225" s="681"/>
    </row>
    <row r="226" spans="1:18" s="369" customFormat="1" ht="16.350000000000001" customHeight="1">
      <c r="C226" s="454"/>
      <c r="D226" s="454"/>
      <c r="E226" s="707"/>
      <c r="G226" s="681"/>
      <c r="H226" s="681"/>
      <c r="I226" s="682"/>
      <c r="J226" s="681"/>
      <c r="K226" s="681"/>
      <c r="L226" s="681"/>
      <c r="M226" s="681"/>
      <c r="N226" s="681"/>
      <c r="O226" s="681"/>
      <c r="P226" s="681"/>
      <c r="Q226" s="681"/>
      <c r="R226" s="681"/>
    </row>
    <row r="227" spans="1:18" s="369" customFormat="1" ht="16.350000000000001" customHeight="1">
      <c r="C227" s="454"/>
      <c r="D227" s="454"/>
      <c r="E227" s="707"/>
      <c r="G227" s="681"/>
      <c r="H227" s="681"/>
      <c r="I227" s="682"/>
      <c r="J227" s="681"/>
      <c r="K227" s="681"/>
      <c r="L227" s="681"/>
      <c r="M227" s="681"/>
      <c r="N227" s="681"/>
      <c r="O227" s="681"/>
      <c r="P227" s="681"/>
      <c r="Q227" s="681"/>
      <c r="R227" s="681"/>
    </row>
    <row r="228" spans="1:18" s="369" customFormat="1" ht="16.350000000000001" customHeight="1">
      <c r="C228" s="454"/>
      <c r="D228" s="454"/>
      <c r="E228" s="707"/>
      <c r="G228" s="681"/>
      <c r="H228" s="681"/>
      <c r="I228" s="682"/>
      <c r="J228" s="681"/>
      <c r="K228" s="681"/>
      <c r="L228" s="681"/>
      <c r="M228" s="681"/>
      <c r="N228" s="681"/>
      <c r="O228" s="681"/>
      <c r="P228" s="681"/>
      <c r="Q228" s="681"/>
      <c r="R228" s="681"/>
    </row>
    <row r="229" spans="1:18" s="369" customFormat="1" ht="16.350000000000001" customHeight="1">
      <c r="C229" s="454"/>
      <c r="D229" s="454"/>
      <c r="E229" s="707"/>
      <c r="G229" s="681"/>
      <c r="H229" s="681"/>
      <c r="I229" s="682"/>
      <c r="J229" s="681"/>
      <c r="K229" s="681"/>
      <c r="L229" s="681"/>
      <c r="M229" s="681"/>
      <c r="N229" s="681"/>
      <c r="O229" s="681"/>
      <c r="P229" s="681"/>
      <c r="Q229" s="681"/>
      <c r="R229" s="681"/>
    </row>
    <row r="230" spans="1:18" s="369" customFormat="1" ht="40.35" customHeight="1">
      <c r="C230" s="454"/>
      <c r="D230" s="454"/>
      <c r="E230" s="707"/>
      <c r="G230" s="681"/>
      <c r="H230" s="681"/>
      <c r="I230" s="682"/>
      <c r="J230" s="681"/>
      <c r="K230" s="681"/>
      <c r="L230" s="681"/>
      <c r="M230" s="681"/>
      <c r="N230" s="681"/>
      <c r="O230" s="681"/>
      <c r="P230" s="681"/>
      <c r="Q230" s="681"/>
      <c r="R230" s="681"/>
    </row>
    <row r="231" spans="1:18" s="369" customFormat="1" ht="40.35" customHeight="1">
      <c r="C231" s="454"/>
      <c r="D231" s="454"/>
      <c r="E231" s="707"/>
      <c r="G231" s="681"/>
      <c r="H231" s="681"/>
      <c r="I231" s="682"/>
      <c r="J231" s="681"/>
      <c r="K231" s="681"/>
      <c r="L231" s="681"/>
      <c r="M231" s="681"/>
      <c r="N231" s="681"/>
      <c r="O231" s="681"/>
      <c r="P231" s="681"/>
      <c r="Q231" s="681"/>
      <c r="R231" s="681"/>
    </row>
    <row r="232" spans="1:18" s="369" customFormat="1" ht="40.35" customHeight="1">
      <c r="C232" s="454"/>
      <c r="D232" s="454"/>
      <c r="E232" s="707"/>
      <c r="G232" s="681"/>
      <c r="H232" s="681"/>
      <c r="I232" s="682"/>
      <c r="J232" s="681"/>
      <c r="K232" s="681"/>
      <c r="L232" s="681"/>
      <c r="M232" s="681"/>
      <c r="N232" s="681"/>
      <c r="O232" s="681"/>
      <c r="P232" s="681"/>
      <c r="Q232" s="681"/>
      <c r="R232" s="681"/>
    </row>
    <row r="233" spans="1:18" s="369" customFormat="1" ht="23.25" customHeight="1">
      <c r="C233" s="454"/>
      <c r="D233" s="454"/>
      <c r="E233" s="707"/>
      <c r="G233" s="681"/>
      <c r="H233" s="681"/>
      <c r="I233" s="682"/>
      <c r="J233" s="681"/>
      <c r="K233" s="681"/>
      <c r="L233" s="681"/>
      <c r="M233" s="681"/>
      <c r="N233" s="681"/>
      <c r="O233" s="681"/>
      <c r="P233" s="681"/>
      <c r="Q233" s="681"/>
      <c r="R233" s="681"/>
    </row>
    <row r="234" spans="1:18" s="369" customFormat="1" ht="13.5" customHeight="1">
      <c r="C234" s="454"/>
      <c r="D234" s="454"/>
      <c r="E234" s="707"/>
      <c r="G234" s="681"/>
      <c r="H234" s="681"/>
      <c r="I234" s="682"/>
      <c r="J234" s="681"/>
      <c r="K234" s="681"/>
      <c r="L234" s="681"/>
      <c r="M234" s="681"/>
      <c r="N234" s="681"/>
      <c r="O234" s="681"/>
      <c r="P234" s="681"/>
      <c r="Q234" s="681"/>
      <c r="R234" s="681"/>
    </row>
    <row r="235" spans="1:18" s="369" customFormat="1" ht="16.350000000000001" customHeight="1">
      <c r="C235" s="454"/>
      <c r="D235" s="454"/>
      <c r="E235" s="707"/>
      <c r="G235" s="681"/>
      <c r="H235" s="681"/>
      <c r="I235" s="682"/>
      <c r="J235" s="681"/>
      <c r="K235" s="681"/>
      <c r="L235" s="681"/>
      <c r="M235" s="681"/>
      <c r="N235" s="681"/>
      <c r="O235" s="681"/>
      <c r="P235" s="681"/>
      <c r="Q235" s="681"/>
      <c r="R235" s="681"/>
    </row>
    <row r="236" spans="1:18" s="369" customFormat="1" ht="12.75" customHeight="1">
      <c r="C236" s="454"/>
      <c r="D236" s="454"/>
      <c r="E236" s="707"/>
      <c r="G236" s="681"/>
      <c r="H236" s="681"/>
      <c r="I236" s="682"/>
      <c r="J236" s="681"/>
      <c r="K236" s="681"/>
      <c r="L236" s="681"/>
      <c r="M236" s="681"/>
      <c r="N236" s="681"/>
      <c r="O236" s="681"/>
      <c r="P236" s="681"/>
      <c r="Q236" s="681"/>
      <c r="R236" s="681"/>
    </row>
    <row r="237" spans="1:18" s="369" customFormat="1" ht="12.75" customHeight="1">
      <c r="C237" s="454"/>
      <c r="D237" s="454"/>
      <c r="E237" s="707"/>
      <c r="G237" s="681"/>
      <c r="H237" s="681"/>
      <c r="I237" s="682"/>
      <c r="J237" s="681"/>
      <c r="K237" s="681"/>
      <c r="L237" s="681"/>
      <c r="M237" s="681"/>
      <c r="N237" s="681"/>
      <c r="O237" s="681"/>
      <c r="P237" s="681"/>
      <c r="Q237" s="681"/>
      <c r="R237" s="681"/>
    </row>
    <row r="238" spans="1:18" s="369" customFormat="1" ht="12.75" customHeight="1">
      <c r="C238" s="454"/>
      <c r="D238" s="454"/>
      <c r="E238" s="707"/>
      <c r="G238" s="681"/>
      <c r="H238" s="681"/>
      <c r="I238" s="682"/>
      <c r="J238" s="681"/>
      <c r="K238" s="681"/>
      <c r="L238" s="681"/>
      <c r="M238" s="681"/>
      <c r="N238" s="681"/>
      <c r="O238" s="681"/>
      <c r="P238" s="681"/>
      <c r="Q238" s="681"/>
      <c r="R238" s="681"/>
    </row>
    <row r="239" spans="1:18" s="369" customFormat="1" ht="51" customHeight="1">
      <c r="C239" s="454"/>
      <c r="D239" s="454"/>
      <c r="E239" s="707"/>
      <c r="G239" s="681"/>
      <c r="H239" s="681"/>
      <c r="I239" s="682"/>
      <c r="J239" s="681"/>
      <c r="K239" s="681"/>
      <c r="L239" s="681"/>
      <c r="M239" s="681"/>
      <c r="N239" s="681"/>
      <c r="O239" s="681"/>
      <c r="P239" s="681"/>
      <c r="Q239" s="681"/>
      <c r="R239" s="681"/>
    </row>
    <row r="240" spans="1:18" s="369" customFormat="1" ht="16.350000000000001" customHeight="1">
      <c r="A240" s="1046" t="s">
        <v>792</v>
      </c>
      <c r="B240" s="1047"/>
      <c r="C240" s="1037" t="s">
        <v>842</v>
      </c>
      <c r="D240" s="1037"/>
      <c r="E240" s="750" t="s">
        <v>794</v>
      </c>
      <c r="G240" s="681"/>
      <c r="H240" s="681"/>
      <c r="I240" s="682"/>
      <c r="J240" s="681"/>
      <c r="K240" s="681"/>
      <c r="L240" s="681"/>
      <c r="M240" s="681"/>
      <c r="N240" s="681"/>
      <c r="O240" s="681"/>
      <c r="P240" s="681"/>
      <c r="Q240" s="681"/>
      <c r="R240" s="681"/>
    </row>
    <row r="241" spans="1:18" ht="9.75" customHeight="1">
      <c r="A241" s="163"/>
      <c r="B241" s="163"/>
      <c r="C241" s="1039" t="str">
        <f>IF(Worksheet!W26=1,"This Data Grading Criteria is hidden when the 'default' input is used on the Worksheet","")</f>
        <v/>
      </c>
      <c r="D241" s="1039"/>
      <c r="E241" s="629"/>
      <c r="F241" s="258"/>
      <c r="H241" s="673"/>
      <c r="I241" s="673"/>
    </row>
    <row r="242" spans="1:18" s="462" customFormat="1" ht="12">
      <c r="A242" s="458"/>
      <c r="B242" s="459" t="s">
        <v>843</v>
      </c>
      <c r="C242" s="460" t="s">
        <v>798</v>
      </c>
      <c r="D242" s="460" t="s">
        <v>799</v>
      </c>
      <c r="E242" s="628"/>
      <c r="F242" s="461"/>
      <c r="G242" s="674"/>
      <c r="H242" s="675" t="s">
        <v>800</v>
      </c>
      <c r="I242" s="675"/>
      <c r="J242" s="674" t="s">
        <v>802</v>
      </c>
      <c r="K242" s="674"/>
      <c r="L242" s="674"/>
      <c r="M242" s="674"/>
      <c r="N242" s="674"/>
      <c r="O242" s="674"/>
      <c r="P242" s="674"/>
      <c r="Q242" s="674"/>
      <c r="R242" s="674"/>
    </row>
    <row r="243" spans="1:18" ht="27.6" customHeight="1">
      <c r="A243" s="163"/>
      <c r="B243" s="441" t="s">
        <v>844</v>
      </c>
      <c r="C243" s="743" t="str">
        <f>UUAC!B34</f>
        <v xml:space="preserve">On the Worksheet, the status of the default option is: </v>
      </c>
      <c r="D243" s="262" t="str">
        <f>IF(AND(Worksheet!W26=2,Worksheet!Q26&gt;0),UUAC!A2,UUAC!A3)</f>
        <v>A system specific volume has been entered</v>
      </c>
      <c r="E243" s="628"/>
      <c r="F243" s="258"/>
      <c r="I243" s="676"/>
      <c r="J243" s="669" t="s">
        <v>845</v>
      </c>
    </row>
    <row r="244" spans="1:18" ht="27.6" customHeight="1">
      <c r="A244" s="163"/>
      <c r="B244" s="441" t="s">
        <v>253</v>
      </c>
      <c r="C244" s="743" t="str">
        <f>UUAC!B35</f>
        <v>How well-understood is the extent of unbilled unmetered use?</v>
      </c>
      <c r="D244" s="260" t="s">
        <v>268</v>
      </c>
      <c r="E244" s="628" t="str">
        <f>IF(OR($D$247=10,$D$247=3),"",IFERROR(IF(H244=MIN($H$244:$H$246),"Limiting",""),""))</f>
        <v/>
      </c>
      <c r="F244" s="258"/>
      <c r="H244" s="677">
        <f>VLOOKUP('Interactive Data Grading'!D244,UUAC!$C$6:$F$15,4,FALSE)</f>
        <v>10</v>
      </c>
      <c r="I244" s="677"/>
    </row>
    <row r="245" spans="1:18" ht="27.6" customHeight="1">
      <c r="A245" s="163"/>
      <c r="B245" s="441" t="s">
        <v>254</v>
      </c>
      <c r="C245" s="743" t="str">
        <f>UUAC!B36</f>
        <v>Which best describes the records that are kept for events of unbilled unmetered use?</v>
      </c>
      <c r="D245" s="261" t="s">
        <v>269</v>
      </c>
      <c r="E245" s="628" t="str">
        <f>IF(OR($D$247=10,$D$247=3),"",IFERROR(IF(H245=MIN($H$244:$H$246),"Limiting",""),""))</f>
        <v/>
      </c>
      <c r="F245" s="258"/>
      <c r="H245" s="677">
        <f>VLOOKUP('Interactive Data Grading'!D245,UUAC!$D$6:$F$15,3,FALSE)</f>
        <v>10</v>
      </c>
      <c r="I245" s="678"/>
    </row>
    <row r="246" spans="1:18" ht="27.6" customHeight="1">
      <c r="A246" s="163"/>
      <c r="B246" s="441" t="s">
        <v>255</v>
      </c>
      <c r="C246" s="743" t="str">
        <f>UUAC!B37</f>
        <v>How is the majority of unbilled unmetered use estimated?</v>
      </c>
      <c r="D246" s="261" t="s">
        <v>270</v>
      </c>
      <c r="E246" s="628" t="str">
        <f>IF(OR($D$247=10,$D$247=3),"",IFERROR(IF(H246=MIN($H$244:$H$246),"Limiting",""),""))</f>
        <v/>
      </c>
      <c r="F246" s="258"/>
      <c r="H246" s="677">
        <f>VLOOKUP('Interactive Data Grading'!D246,UUAC!$E$6:$F$15,2,FALSE)</f>
        <v>10</v>
      </c>
      <c r="I246" s="678"/>
    </row>
    <row r="247" spans="1:18" ht="27.6" customHeight="1">
      <c r="A247" s="163"/>
      <c r="B247" s="163"/>
      <c r="C247" s="259" t="s">
        <v>808</v>
      </c>
      <c r="D247" s="753">
        <f>IFERROR((IF(D243=UUAC!A3,3,H247)),"")</f>
        <v>10</v>
      </c>
      <c r="E247" s="628"/>
      <c r="F247" s="258"/>
      <c r="H247" s="680">
        <f>MIN(H244:H246)</f>
        <v>10</v>
      </c>
      <c r="I247" s="677"/>
    </row>
    <row r="248" spans="1:18" s="369" customFormat="1" ht="16.350000000000001" customHeight="1">
      <c r="C248" s="454"/>
      <c r="D248" s="454"/>
      <c r="E248" s="707"/>
      <c r="G248" s="681"/>
      <c r="H248" s="681"/>
      <c r="I248" s="682"/>
      <c r="J248" s="681"/>
      <c r="K248" s="681"/>
      <c r="L248" s="681"/>
      <c r="M248" s="681"/>
      <c r="N248" s="681"/>
      <c r="O248" s="681"/>
      <c r="P248" s="681"/>
      <c r="Q248" s="681"/>
      <c r="R248" s="681"/>
    </row>
    <row r="249" spans="1:18" s="369" customFormat="1" ht="16.350000000000001" customHeight="1">
      <c r="C249" s="454"/>
      <c r="D249" s="454"/>
      <c r="E249" s="707"/>
      <c r="G249" s="681"/>
      <c r="H249" s="681"/>
      <c r="I249" s="682"/>
      <c r="J249" s="681"/>
      <c r="K249" s="681"/>
      <c r="L249" s="681"/>
      <c r="M249" s="681"/>
      <c r="N249" s="681"/>
      <c r="O249" s="681"/>
      <c r="P249" s="681"/>
      <c r="Q249" s="681"/>
      <c r="R249" s="681"/>
    </row>
    <row r="250" spans="1:18" s="369" customFormat="1" ht="16.350000000000001" customHeight="1">
      <c r="C250" s="454"/>
      <c r="D250" s="454"/>
      <c r="E250" s="707"/>
      <c r="G250" s="681"/>
      <c r="H250" s="681"/>
      <c r="I250" s="682"/>
      <c r="J250" s="681"/>
      <c r="K250" s="681"/>
      <c r="L250" s="681"/>
      <c r="M250" s="681"/>
      <c r="N250" s="681"/>
      <c r="O250" s="681"/>
      <c r="P250" s="681"/>
      <c r="Q250" s="681"/>
      <c r="R250" s="681"/>
    </row>
    <row r="251" spans="1:18" s="369" customFormat="1" ht="16.350000000000001" customHeight="1">
      <c r="C251" s="454"/>
      <c r="D251" s="454"/>
      <c r="E251" s="707"/>
      <c r="G251" s="681"/>
      <c r="H251" s="681"/>
      <c r="I251" s="682"/>
      <c r="J251" s="681"/>
      <c r="K251" s="681"/>
      <c r="L251" s="681"/>
      <c r="M251" s="681"/>
      <c r="N251" s="681"/>
      <c r="O251" s="681"/>
      <c r="P251" s="681"/>
      <c r="Q251" s="681"/>
      <c r="R251" s="681"/>
    </row>
    <row r="252" spans="1:18" s="369" customFormat="1" ht="16.350000000000001" customHeight="1">
      <c r="C252" s="454"/>
      <c r="D252" s="454"/>
      <c r="E252" s="707"/>
      <c r="G252" s="681"/>
      <c r="H252" s="681"/>
      <c r="I252" s="682"/>
      <c r="J252" s="681"/>
      <c r="K252" s="681"/>
      <c r="L252" s="681"/>
      <c r="M252" s="681"/>
      <c r="N252" s="681"/>
      <c r="O252" s="681"/>
      <c r="P252" s="681"/>
      <c r="Q252" s="681"/>
      <c r="R252" s="681"/>
    </row>
    <row r="253" spans="1:18" s="369" customFormat="1" ht="16.350000000000001" customHeight="1">
      <c r="C253" s="454"/>
      <c r="D253" s="454"/>
      <c r="E253" s="707"/>
      <c r="G253" s="681"/>
      <c r="H253" s="681"/>
      <c r="I253" s="682"/>
      <c r="J253" s="681"/>
      <c r="K253" s="681"/>
      <c r="L253" s="681"/>
      <c r="M253" s="681"/>
      <c r="N253" s="681"/>
      <c r="O253" s="681"/>
      <c r="P253" s="681"/>
      <c r="Q253" s="681"/>
      <c r="R253" s="681"/>
    </row>
    <row r="254" spans="1:18" s="369" customFormat="1" ht="16.350000000000001" customHeight="1">
      <c r="C254" s="454"/>
      <c r="D254" s="454"/>
      <c r="E254" s="707"/>
      <c r="G254" s="681"/>
      <c r="H254" s="681"/>
      <c r="I254" s="682"/>
      <c r="J254" s="681"/>
      <c r="K254" s="681"/>
      <c r="L254" s="681"/>
      <c r="M254" s="681"/>
      <c r="N254" s="681"/>
      <c r="O254" s="681"/>
      <c r="P254" s="681"/>
      <c r="Q254" s="681"/>
      <c r="R254" s="681"/>
    </row>
    <row r="255" spans="1:18" s="369" customFormat="1" ht="16.350000000000001" customHeight="1">
      <c r="C255" s="454"/>
      <c r="D255" s="454"/>
      <c r="E255" s="707"/>
      <c r="G255" s="681"/>
      <c r="H255" s="681"/>
      <c r="I255" s="682"/>
      <c r="J255" s="681"/>
      <c r="K255" s="681"/>
      <c r="L255" s="681"/>
      <c r="M255" s="681"/>
      <c r="N255" s="681"/>
      <c r="O255" s="681"/>
      <c r="P255" s="681"/>
      <c r="Q255" s="681"/>
      <c r="R255" s="681"/>
    </row>
    <row r="256" spans="1:18" s="369" customFormat="1" ht="40.9" customHeight="1">
      <c r="C256" s="454"/>
      <c r="D256" s="454"/>
      <c r="E256" s="707"/>
      <c r="G256" s="681"/>
      <c r="H256" s="681"/>
      <c r="I256" s="682"/>
      <c r="J256" s="681"/>
      <c r="K256" s="681"/>
      <c r="L256" s="681"/>
      <c r="M256" s="681"/>
      <c r="N256" s="681"/>
      <c r="O256" s="681"/>
      <c r="P256" s="681"/>
      <c r="Q256" s="681"/>
      <c r="R256" s="681"/>
    </row>
    <row r="257" spans="1:18" s="369" customFormat="1" ht="40.9" customHeight="1">
      <c r="C257" s="454"/>
      <c r="D257" s="454"/>
      <c r="E257" s="707"/>
      <c r="G257" s="681"/>
      <c r="H257" s="681"/>
      <c r="I257" s="682"/>
      <c r="J257" s="681"/>
      <c r="K257" s="681"/>
      <c r="L257" s="681"/>
      <c r="M257" s="681"/>
      <c r="N257" s="681"/>
      <c r="O257" s="681"/>
      <c r="P257" s="681"/>
      <c r="Q257" s="681"/>
      <c r="R257" s="681"/>
    </row>
    <row r="258" spans="1:18" s="369" customFormat="1" ht="40.9" customHeight="1">
      <c r="C258" s="454"/>
      <c r="D258" s="454"/>
      <c r="E258" s="707"/>
      <c r="G258" s="681"/>
      <c r="H258" s="681"/>
      <c r="I258" s="682"/>
      <c r="J258" s="681"/>
      <c r="K258" s="681"/>
      <c r="L258" s="681"/>
      <c r="M258" s="681"/>
      <c r="N258" s="681"/>
      <c r="O258" s="681"/>
      <c r="P258" s="681"/>
      <c r="Q258" s="681"/>
      <c r="R258" s="681"/>
    </row>
    <row r="259" spans="1:18" s="369" customFormat="1" ht="40.9" customHeight="1">
      <c r="C259" s="454"/>
      <c r="D259" s="454"/>
      <c r="E259" s="707"/>
      <c r="G259" s="681"/>
      <c r="H259" s="681"/>
      <c r="I259" s="682"/>
      <c r="J259" s="681"/>
      <c r="K259" s="681"/>
      <c r="L259" s="681"/>
      <c r="M259" s="681"/>
      <c r="N259" s="681"/>
      <c r="O259" s="681"/>
      <c r="P259" s="681"/>
      <c r="Q259" s="681"/>
      <c r="R259" s="681"/>
    </row>
    <row r="260" spans="1:18" s="369" customFormat="1" ht="40.9" customHeight="1">
      <c r="C260" s="454"/>
      <c r="D260" s="454"/>
      <c r="E260" s="707"/>
      <c r="G260" s="681"/>
      <c r="H260" s="681"/>
      <c r="I260" s="682"/>
      <c r="J260" s="681"/>
      <c r="K260" s="681"/>
      <c r="L260" s="681"/>
      <c r="M260" s="681"/>
      <c r="N260" s="681"/>
      <c r="O260" s="681"/>
      <c r="P260" s="681"/>
      <c r="Q260" s="681"/>
      <c r="R260" s="681"/>
    </row>
    <row r="261" spans="1:18" s="369" customFormat="1" ht="31.5" customHeight="1">
      <c r="C261" s="454"/>
      <c r="D261" s="454"/>
      <c r="E261" s="707"/>
      <c r="G261" s="681"/>
      <c r="H261" s="681"/>
      <c r="I261" s="682"/>
      <c r="J261" s="681"/>
      <c r="K261" s="681"/>
      <c r="L261" s="681"/>
      <c r="M261" s="681"/>
      <c r="N261" s="681"/>
      <c r="O261" s="681"/>
      <c r="P261" s="681"/>
      <c r="Q261" s="681"/>
      <c r="R261" s="681"/>
    </row>
    <row r="262" spans="1:18" s="369" customFormat="1" ht="23.25" customHeight="1">
      <c r="C262" s="454"/>
      <c r="D262" s="454"/>
      <c r="E262" s="707"/>
      <c r="G262" s="681"/>
      <c r="H262" s="681"/>
      <c r="I262" s="682"/>
      <c r="J262" s="681"/>
      <c r="K262" s="681"/>
      <c r="L262" s="681"/>
      <c r="M262" s="681"/>
      <c r="N262" s="681"/>
      <c r="O262" s="681"/>
      <c r="P262" s="681"/>
      <c r="Q262" s="681"/>
      <c r="R262" s="681"/>
    </row>
    <row r="263" spans="1:18" s="369" customFormat="1" ht="16.350000000000001" customHeight="1">
      <c r="A263" s="1046" t="s">
        <v>792</v>
      </c>
      <c r="B263" s="1047"/>
      <c r="C263" s="1037" t="s">
        <v>846</v>
      </c>
      <c r="D263" s="1037"/>
      <c r="E263" s="750" t="s">
        <v>794</v>
      </c>
      <c r="G263" s="681"/>
      <c r="H263" s="681"/>
      <c r="I263" s="682"/>
      <c r="J263" s="681"/>
      <c r="K263" s="681"/>
      <c r="L263" s="681"/>
      <c r="M263" s="681"/>
      <c r="N263" s="681"/>
      <c r="O263" s="681"/>
      <c r="P263" s="681"/>
      <c r="Q263" s="681"/>
      <c r="R263" s="681"/>
    </row>
    <row r="264" spans="1:18" ht="9.75" customHeight="1">
      <c r="A264" s="163"/>
      <c r="B264" s="163"/>
      <c r="C264" s="1039" t="str">
        <f>IF(Worksheet!W39=1,"This Data Grading Criteria is hidden when the 'default' input is used on the Worksheet","")</f>
        <v>This Data Grading Criteria is hidden when the 'default' input is used on the Worksheet</v>
      </c>
      <c r="D264" s="1039"/>
      <c r="E264" s="629"/>
      <c r="F264" s="258"/>
      <c r="H264" s="673"/>
      <c r="I264" s="673"/>
    </row>
    <row r="265" spans="1:18" s="462" customFormat="1" ht="12">
      <c r="A265" s="458"/>
      <c r="B265" s="459" t="s">
        <v>847</v>
      </c>
      <c r="C265" s="460" t="s">
        <v>798</v>
      </c>
      <c r="D265" s="460" t="s">
        <v>799</v>
      </c>
      <c r="E265" s="628"/>
      <c r="F265" s="461"/>
      <c r="G265" s="674"/>
      <c r="H265" s="675" t="s">
        <v>800</v>
      </c>
      <c r="I265" s="675"/>
      <c r="J265" s="674" t="s">
        <v>802</v>
      </c>
      <c r="K265" s="674"/>
      <c r="L265" s="674"/>
      <c r="M265" s="674"/>
      <c r="N265" s="674"/>
      <c r="O265" s="674"/>
      <c r="P265" s="674"/>
      <c r="Q265" s="674"/>
      <c r="R265" s="674"/>
    </row>
    <row r="266" spans="1:18" ht="27.6" customHeight="1">
      <c r="A266" s="163"/>
      <c r="B266" s="441" t="s">
        <v>848</v>
      </c>
      <c r="C266" s="743" t="str">
        <f>SDHE!B34</f>
        <v xml:space="preserve">On the Worksheet, the status of the default option is: </v>
      </c>
      <c r="D266" s="263" t="str">
        <f>IF(AND(Worksheet!W39=2,Worksheet!Q39&gt;0),SDHE!A2,SDHE!A3)</f>
        <v>Default is used because Custom Value is selected but no value has been entered</v>
      </c>
      <c r="F266" s="258"/>
      <c r="H266" s="669" t="s">
        <v>849</v>
      </c>
      <c r="I266" s="676"/>
      <c r="J266" s="669" t="s">
        <v>845</v>
      </c>
    </row>
    <row r="267" spans="1:18" ht="27.6" customHeight="1">
      <c r="A267" s="163"/>
      <c r="B267" s="441" t="s">
        <v>352</v>
      </c>
      <c r="C267" s="743" t="str">
        <f>SDHE!B35</f>
        <v>Which best describes how the input was derived?</v>
      </c>
      <c r="D267" s="261"/>
      <c r="E267" s="628" t="str">
        <f>IF(OR($D$271=10,$D$271=3),"",IFERROR(IF(H267=MIN($H$267:$H$270),"Limiting",""),""))</f>
        <v/>
      </c>
      <c r="F267" s="258"/>
      <c r="H267" s="677" t="e">
        <f>VLOOKUP('Interactive Data Grading'!D267,SDHE!$C$6:$G$15,5,FALSE)</f>
        <v>#N/A</v>
      </c>
      <c r="I267" s="677"/>
    </row>
    <row r="268" spans="1:18" ht="27.6" customHeight="1">
      <c r="A268" s="163"/>
      <c r="B268" s="441" t="s">
        <v>353</v>
      </c>
      <c r="C268" s="743" t="str">
        <f>SDHE!B36</f>
        <v>Which best describes validation performed in the billing software for multipliers (conversions between unit of meter reading and unit of billing)?</v>
      </c>
      <c r="D268" s="261"/>
      <c r="E268" s="628" t="str">
        <f>IF(OR($D$271=10,$D$271=3),"",IFERROR(IF(H268=MIN($H$267:$H$270),"Limiting",""),""))</f>
        <v/>
      </c>
      <c r="F268" s="258"/>
      <c r="H268" s="677" t="e">
        <f>VLOOKUP('Interactive Data Grading'!D268,SDHE!$D$6:$G$15,4,FALSE)</f>
        <v>#N/A</v>
      </c>
      <c r="I268" s="678"/>
    </row>
    <row r="269" spans="1:18" ht="35.25" customHeight="1">
      <c r="A269" s="163"/>
      <c r="B269" s="441" t="s">
        <v>354</v>
      </c>
      <c r="C269" s="743" t="str">
        <f>SDHE!B37</f>
        <v>Which best describes the policy for new service accounts to ensure there is no lapse between start of customer water usage and start of measurement/billing?</v>
      </c>
      <c r="D269" s="261"/>
      <c r="E269" s="628" t="str">
        <f>IF(OR($D$271=10,$D$271=3),"",IFERROR(IF(H269=MIN($H$267:$H$270),"Limiting",""),""))</f>
        <v/>
      </c>
      <c r="F269" s="258"/>
      <c r="H269" s="677" t="e">
        <f>VLOOKUP('Interactive Data Grading'!D269,SDHE!$E$6:$G$15,3,FALSE)</f>
        <v>#N/A</v>
      </c>
      <c r="I269" s="678"/>
    </row>
    <row r="270" spans="1:18" ht="27.6" customHeight="1">
      <c r="A270" s="163"/>
      <c r="B270" s="441" t="s">
        <v>355</v>
      </c>
      <c r="C270" s="743" t="str">
        <f>SDHE!B38</f>
        <v>Which best describes auditing that takes place on the billing process?</v>
      </c>
      <c r="D270" s="261"/>
      <c r="E270" s="628" t="str">
        <f>IF(OR($D$271=10,$D$271=3),"",IFERROR(IF(H270=MIN($H$267:$H$270),"Limiting",""),""))</f>
        <v/>
      </c>
      <c r="F270" s="258"/>
      <c r="H270" s="677" t="e">
        <f>VLOOKUP('Interactive Data Grading'!D270,SDHE!$F$6:$G$15,2,FALSE)</f>
        <v>#N/A</v>
      </c>
      <c r="I270" s="678"/>
      <c r="N270" s="1038"/>
      <c r="O270" s="1038"/>
    </row>
    <row r="271" spans="1:18" ht="27.6" customHeight="1">
      <c r="A271" s="163"/>
      <c r="B271" s="163"/>
      <c r="C271" s="259" t="s">
        <v>808</v>
      </c>
      <c r="D271" s="753">
        <f>IFERROR((IF(D266=SDHE!A3,3,H271)),"")</f>
        <v>3</v>
      </c>
      <c r="E271" s="628"/>
      <c r="F271" s="258"/>
      <c r="H271" s="680" t="e">
        <f>MIN(H267:H270)</f>
        <v>#N/A</v>
      </c>
      <c r="I271" s="677"/>
    </row>
    <row r="272" spans="1:18"/>
    <row r="273" spans="1:18"/>
    <row r="274" spans="1:18"/>
    <row r="275" spans="1:18"/>
    <row r="276" spans="1:18"/>
    <row r="277" spans="1:18"/>
    <row r="278" spans="1:18"/>
    <row r="279" spans="1:18" s="369" customFormat="1" ht="16.350000000000001" customHeight="1">
      <c r="C279" s="454"/>
      <c r="D279" s="454"/>
      <c r="E279" s="707"/>
      <c r="G279" s="681"/>
      <c r="H279" s="681"/>
      <c r="I279" s="682"/>
      <c r="J279" s="681"/>
      <c r="K279" s="681"/>
      <c r="L279" s="681"/>
      <c r="M279" s="681"/>
      <c r="N279" s="681"/>
      <c r="O279" s="681"/>
      <c r="P279" s="681"/>
      <c r="Q279" s="681"/>
      <c r="R279" s="681"/>
    </row>
    <row r="280" spans="1:18" s="369" customFormat="1" ht="16.350000000000001" customHeight="1">
      <c r="C280" s="454"/>
      <c r="D280" s="454"/>
      <c r="E280" s="707"/>
      <c r="G280" s="681"/>
      <c r="H280" s="681"/>
      <c r="I280" s="682"/>
      <c r="J280" s="681"/>
      <c r="K280" s="681"/>
      <c r="L280" s="681"/>
      <c r="M280" s="681"/>
      <c r="N280" s="681"/>
      <c r="O280" s="681"/>
      <c r="P280" s="681"/>
      <c r="Q280" s="681"/>
      <c r="R280" s="681"/>
    </row>
    <row r="281" spans="1:18" s="369" customFormat="1" ht="52.9" customHeight="1">
      <c r="C281" s="454"/>
      <c r="D281" s="454"/>
      <c r="E281" s="707"/>
      <c r="G281" s="681"/>
      <c r="H281" s="681"/>
      <c r="I281" s="682"/>
      <c r="J281" s="681"/>
      <c r="K281" s="681"/>
      <c r="L281" s="681"/>
      <c r="M281" s="681"/>
      <c r="N281" s="681"/>
      <c r="O281" s="681"/>
      <c r="P281" s="681"/>
      <c r="Q281" s="681"/>
      <c r="R281" s="681"/>
    </row>
    <row r="282" spans="1:18" s="369" customFormat="1" ht="52.9" customHeight="1">
      <c r="C282" s="454"/>
      <c r="D282" s="454"/>
      <c r="E282" s="707"/>
      <c r="G282" s="681"/>
      <c r="H282" s="681"/>
      <c r="I282" s="682"/>
      <c r="J282" s="681"/>
      <c r="K282" s="681"/>
      <c r="L282" s="681"/>
      <c r="M282" s="681"/>
      <c r="N282" s="681"/>
      <c r="O282" s="681"/>
      <c r="P282" s="681"/>
      <c r="Q282" s="681"/>
      <c r="R282" s="681"/>
    </row>
    <row r="283" spans="1:18" s="369" customFormat="1" ht="52.9" customHeight="1">
      <c r="C283" s="454"/>
      <c r="D283" s="454"/>
      <c r="E283" s="707"/>
      <c r="G283" s="681"/>
      <c r="H283" s="681"/>
      <c r="I283" s="682"/>
      <c r="J283" s="681"/>
      <c r="K283" s="681"/>
      <c r="L283" s="681"/>
      <c r="M283" s="681"/>
      <c r="N283" s="681"/>
      <c r="O283" s="681"/>
      <c r="P283" s="681"/>
      <c r="Q283" s="681"/>
      <c r="R283" s="681"/>
    </row>
    <row r="284" spans="1:18" s="369" customFormat="1" ht="33" customHeight="1">
      <c r="C284" s="454"/>
      <c r="D284" s="454"/>
      <c r="E284" s="707"/>
      <c r="G284" s="681"/>
      <c r="H284" s="681"/>
      <c r="I284" s="682"/>
      <c r="J284" s="681"/>
      <c r="K284" s="681"/>
      <c r="L284" s="681"/>
      <c r="M284" s="681"/>
      <c r="N284" s="681"/>
      <c r="O284" s="681"/>
      <c r="P284" s="681"/>
      <c r="Q284" s="681"/>
      <c r="R284" s="681"/>
    </row>
    <row r="285" spans="1:18" s="369" customFormat="1" ht="25.5" customHeight="1">
      <c r="C285" s="454"/>
      <c r="D285" s="454"/>
      <c r="E285" s="707"/>
      <c r="G285" s="681"/>
      <c r="H285" s="681"/>
      <c r="I285" s="682"/>
      <c r="J285" s="681"/>
      <c r="K285" s="681"/>
      <c r="L285" s="681"/>
      <c r="M285" s="681"/>
      <c r="N285" s="681"/>
      <c r="O285" s="681"/>
      <c r="P285" s="681"/>
      <c r="Q285" s="681"/>
      <c r="R285" s="681"/>
    </row>
    <row r="286" spans="1:18" s="369" customFormat="1" ht="26.25" customHeight="1">
      <c r="C286" s="454"/>
      <c r="D286" s="454"/>
      <c r="E286" s="707"/>
      <c r="G286" s="681"/>
      <c r="H286" s="681"/>
      <c r="I286" s="682"/>
      <c r="J286" s="681"/>
      <c r="K286" s="681"/>
      <c r="L286" s="681"/>
      <c r="M286" s="681"/>
      <c r="N286" s="681"/>
      <c r="O286" s="681"/>
      <c r="P286" s="681"/>
      <c r="Q286" s="681"/>
      <c r="R286" s="681"/>
    </row>
    <row r="287" spans="1:18" s="369" customFormat="1" ht="16.350000000000001" customHeight="1">
      <c r="A287" s="1046" t="s">
        <v>792</v>
      </c>
      <c r="B287" s="1047"/>
      <c r="C287" s="1037" t="s">
        <v>850</v>
      </c>
      <c r="D287" s="1037"/>
      <c r="E287" s="750" t="s">
        <v>794</v>
      </c>
      <c r="G287" s="681"/>
      <c r="H287" s="681"/>
      <c r="I287" s="682"/>
      <c r="J287" s="681"/>
      <c r="K287" s="681"/>
      <c r="L287" s="681"/>
      <c r="M287" s="681"/>
      <c r="N287" s="681"/>
      <c r="O287" s="681"/>
      <c r="P287" s="681"/>
      <c r="Q287" s="681"/>
      <c r="R287" s="681"/>
    </row>
    <row r="288" spans="1:18" ht="12" customHeight="1">
      <c r="A288" s="163"/>
      <c r="B288" s="163"/>
      <c r="C288" s="1045" t="str">
        <f>IF(OR(AND(D290="Yes",Worksheet!Y25&gt;0),AND(D290="No",Worksheet!Y25&lt;=0),LEN(D290)=0),"","Inconsistency between Worksheet CMI input and cmi.0 response")</f>
        <v/>
      </c>
      <c r="D288" s="1045"/>
      <c r="E288" s="629"/>
      <c r="F288" s="258"/>
      <c r="H288" s="673"/>
      <c r="I288" s="673"/>
    </row>
    <row r="289" spans="1:18" s="462" customFormat="1" ht="12">
      <c r="A289" s="458"/>
      <c r="B289" s="459" t="s">
        <v>851</v>
      </c>
      <c r="C289" s="460" t="s">
        <v>798</v>
      </c>
      <c r="D289" s="460" t="s">
        <v>799</v>
      </c>
      <c r="E289" s="628"/>
      <c r="F289" s="461"/>
      <c r="G289" s="674"/>
      <c r="H289" s="675" t="s">
        <v>800</v>
      </c>
      <c r="I289" s="675"/>
      <c r="J289" s="674" t="s">
        <v>802</v>
      </c>
      <c r="K289" s="674"/>
      <c r="L289" s="674"/>
      <c r="M289" s="674"/>
      <c r="N289" s="674"/>
      <c r="O289" s="674"/>
      <c r="P289" s="674"/>
      <c r="Q289" s="674"/>
      <c r="R289" s="674"/>
    </row>
    <row r="290" spans="1:18" ht="29.45" customHeight="1">
      <c r="A290" s="163"/>
      <c r="B290" s="441" t="s">
        <v>348</v>
      </c>
      <c r="C290" s="743" t="str">
        <f>CMI!B34</f>
        <v>Was there any metered customer usage during the audit period?</v>
      </c>
      <c r="D290" s="264" t="s">
        <v>62</v>
      </c>
      <c r="E290" s="628"/>
      <c r="F290" s="258"/>
      <c r="G290" s="669">
        <f t="shared" ref="G290:G299" si="16">IF(LEN(D290)&gt;0,1,0)</f>
        <v>1</v>
      </c>
      <c r="I290" s="676"/>
      <c r="J290" s="669" t="s">
        <v>852</v>
      </c>
    </row>
    <row r="291" spans="1:18" ht="29.45" customHeight="1">
      <c r="A291" s="163"/>
      <c r="B291" s="441" t="s">
        <v>294</v>
      </c>
      <c r="C291" s="743" t="str">
        <f>CMI!B35</f>
        <v>Do you test meters reactively (when triggered by customer complaint or billing/consumption flag)?</v>
      </c>
      <c r="D291" s="264" t="s">
        <v>343</v>
      </c>
      <c r="E291" s="628" t="str">
        <f t="shared" ref="E291:E298" si="17">IFERROR(IF(OR($D$300=10,NOT(ISNUMBER($D$300))),"",IF(H291=$H$300,"Limiting","")),"")</f>
        <v/>
      </c>
      <c r="F291" s="258"/>
      <c r="G291" s="669">
        <f>IF(LEN(D291)&gt;0,1,0)</f>
        <v>1</v>
      </c>
      <c r="H291" s="677">
        <f>VLOOKUP('Interactive Data Grading'!D291,CMI!$C$6:$J$16,8,FALSE)</f>
        <v>10</v>
      </c>
      <c r="I291" s="677">
        <f>H291</f>
        <v>10</v>
      </c>
    </row>
    <row r="292" spans="1:18" ht="39.75" customHeight="1">
      <c r="A292" s="163"/>
      <c r="B292" s="441" t="s">
        <v>295</v>
      </c>
      <c r="C292" s="743" t="str">
        <f>CMI!B36</f>
        <v>For small size customer meters, which best describes the frequency of proactive testing (effort beyond when triggered by customer complaint or billing/consumption flags)?</v>
      </c>
      <c r="D292" s="264" t="s">
        <v>340</v>
      </c>
      <c r="E292" s="628" t="str">
        <f t="shared" si="17"/>
        <v/>
      </c>
      <c r="F292" s="258"/>
      <c r="G292" s="669">
        <f t="shared" si="16"/>
        <v>1</v>
      </c>
      <c r="H292" s="677">
        <f>VLOOKUP('Interactive Data Grading'!D292,CMI!$D$6:$J$16,7,FALSE)</f>
        <v>9</v>
      </c>
      <c r="I292" s="677">
        <f>H292</f>
        <v>9</v>
      </c>
      <c r="N292" s="1038"/>
      <c r="O292" s="1038"/>
    </row>
    <row r="293" spans="1:18" ht="29.45" customHeight="1">
      <c r="A293" s="163"/>
      <c r="B293" s="441" t="s">
        <v>349</v>
      </c>
      <c r="C293" s="743" t="str">
        <f>CMI!B37</f>
        <v xml:space="preserve">Which best describes what meters are included in the proactive small size customer meter testing activities? </v>
      </c>
      <c r="D293" s="264" t="s">
        <v>345</v>
      </c>
      <c r="E293" s="628" t="str">
        <f t="shared" si="17"/>
        <v/>
      </c>
      <c r="F293" s="258"/>
      <c r="G293" s="669">
        <f>IF(OR($D$292=CMI!$D$23,$D$292=CMI!$D$24,$D$292=CMI!$D$27),1,IF(LEN(D293)&gt;0,1,0))</f>
        <v>1</v>
      </c>
      <c r="H293" s="677">
        <f>VLOOKUP('Interactive Data Grading'!D293,CMI!$E$6:$J$16,6,FALSE)</f>
        <v>10</v>
      </c>
      <c r="I293" s="677">
        <f>IF(OR(D292=CMI!D23,D292=CMI!D24),X,H293)</f>
        <v>10</v>
      </c>
      <c r="J293" s="669" t="s">
        <v>295</v>
      </c>
    </row>
    <row r="294" spans="1:18" ht="29.45" customHeight="1">
      <c r="A294" s="163"/>
      <c r="B294" s="441" t="s">
        <v>297</v>
      </c>
      <c r="C294" s="743" t="str">
        <f>CMI!B38</f>
        <v>For mid and large size customer meters, which best describes the frequency of the proactive testing program?</v>
      </c>
      <c r="D294" s="264" t="s">
        <v>331</v>
      </c>
      <c r="E294" s="628" t="str">
        <f t="shared" si="17"/>
        <v>Limiting</v>
      </c>
      <c r="F294" s="258"/>
      <c r="G294" s="669">
        <f t="shared" si="16"/>
        <v>1</v>
      </c>
      <c r="H294" s="677">
        <f>VLOOKUP('Interactive Data Grading'!D294,CMI!$F$6:$J$16,5,FALSE)</f>
        <v>4</v>
      </c>
      <c r="I294" s="677">
        <f>H294</f>
        <v>4</v>
      </c>
    </row>
    <row r="295" spans="1:18" ht="29.45" customHeight="1">
      <c r="A295" s="163"/>
      <c r="B295" s="441" t="s">
        <v>350</v>
      </c>
      <c r="C295" s="743" t="str">
        <f>CMI!B39</f>
        <v xml:space="preserve">Which best describes what meters are included in the proactive mid- and large customer meter testing activities? </v>
      </c>
      <c r="D295" s="264" t="s">
        <v>336</v>
      </c>
      <c r="E295" s="628" t="str">
        <f t="shared" si="17"/>
        <v/>
      </c>
      <c r="F295" s="258"/>
      <c r="G295" s="757">
        <f>IF(OR($D$294=CMI!$F$23,$D$294=CMI!F$24),1,IF(LEN(D295)&gt;0,1,0))</f>
        <v>1</v>
      </c>
      <c r="H295" s="677">
        <f>VLOOKUP('Interactive Data Grading'!D295,CMI!$G$6:$J$16,4,FALSE)</f>
        <v>7</v>
      </c>
      <c r="I295" s="677" t="e">
        <f>IF(OR(D294=CMI!F23,D294=CMI!F24),X,H295)</f>
        <v>#NAME?</v>
      </c>
      <c r="J295" s="669" t="s">
        <v>297</v>
      </c>
    </row>
    <row r="296" spans="1:18" ht="29.45" customHeight="1">
      <c r="A296" s="163"/>
      <c r="B296" s="441" t="s">
        <v>299</v>
      </c>
      <c r="C296" s="743" t="str">
        <f>CMI!B40</f>
        <v>Which best describes how the input was derived?</v>
      </c>
      <c r="D296" s="264" t="s">
        <v>339</v>
      </c>
      <c r="E296" s="628" t="str">
        <f t="shared" si="17"/>
        <v/>
      </c>
      <c r="F296" s="258"/>
      <c r="G296" s="669">
        <f t="shared" si="16"/>
        <v>1</v>
      </c>
      <c r="H296" s="677">
        <f>VLOOKUP('Interactive Data Grading'!D296,CMI!$H$6:$J$16,3,FALSE)</f>
        <v>8</v>
      </c>
      <c r="I296" s="677">
        <f>H296</f>
        <v>8</v>
      </c>
    </row>
    <row r="297" spans="1:18" ht="29.45" customHeight="1">
      <c r="A297" s="163"/>
      <c r="B297" s="441" t="s">
        <v>300</v>
      </c>
      <c r="C297" s="743" t="str">
        <f>CMI!B41</f>
        <v>Has the input derivation been reviewed by someone with expert knowledge in the M36 methodology?</v>
      </c>
      <c r="D297" s="264" t="s">
        <v>62</v>
      </c>
      <c r="E297" s="628" t="str">
        <f t="shared" si="17"/>
        <v/>
      </c>
      <c r="F297" s="258"/>
      <c r="G297" s="669">
        <f t="shared" si="16"/>
        <v>1</v>
      </c>
      <c r="H297" s="677">
        <f>VLOOKUP('Interactive Data Grading'!D297,CMI!$I$6:$J$16,2,FALSE)</f>
        <v>10</v>
      </c>
      <c r="I297" s="677">
        <f>H297</f>
        <v>10</v>
      </c>
    </row>
    <row r="298" spans="1:18" ht="29.45" customHeight="1">
      <c r="A298" s="163"/>
      <c r="B298" s="441" t="s">
        <v>301</v>
      </c>
      <c r="C298" s="743" t="str">
        <f>CMI!B42</f>
        <v>To what extent does meter replacement occur and for which meters?</v>
      </c>
      <c r="D298" s="264" t="s">
        <v>332</v>
      </c>
      <c r="E298" s="628" t="str">
        <f t="shared" si="17"/>
        <v/>
      </c>
      <c r="F298" s="258"/>
      <c r="G298" s="669">
        <f t="shared" si="16"/>
        <v>1</v>
      </c>
      <c r="H298" s="677"/>
      <c r="I298" s="677"/>
      <c r="J298" s="669" t="s">
        <v>853</v>
      </c>
    </row>
    <row r="299" spans="1:18" ht="29.45" customHeight="1">
      <c r="A299" s="163"/>
      <c r="B299" s="441" t="s">
        <v>302</v>
      </c>
      <c r="C299" s="743" t="str">
        <f>CMI!B43</f>
        <v>Which best describes the reliability of meter installation records?</v>
      </c>
      <c r="D299" s="264" t="s">
        <v>329</v>
      </c>
      <c r="E299" s="628"/>
      <c r="F299" s="258"/>
      <c r="G299" s="669">
        <f t="shared" si="16"/>
        <v>1</v>
      </c>
      <c r="H299" s="677"/>
      <c r="I299" s="677"/>
      <c r="J299" s="669" t="s">
        <v>853</v>
      </c>
    </row>
    <row r="300" spans="1:18" ht="29.45" customHeight="1">
      <c r="A300" s="163"/>
      <c r="B300" s="163"/>
      <c r="C300" s="259" t="s">
        <v>808</v>
      </c>
      <c r="D300" s="867">
        <f>IF(D290="No","n/a",IF(G300=0,"",I300))</f>
        <v>4</v>
      </c>
      <c r="E300" s="628"/>
      <c r="F300" s="258"/>
      <c r="G300" s="669">
        <f>MIN(G290:G299)</f>
        <v>1</v>
      </c>
      <c r="H300" s="680">
        <f t="array" ref="H300">MIN(IF(ISNUMBER(H291:H297),H291:H297))</f>
        <v>4</v>
      </c>
      <c r="I300" s="680">
        <f t="array" ref="I300">MIN(IF(ISNUMBER(I290:I299),I290:I299))</f>
        <v>4</v>
      </c>
    </row>
    <row r="301" spans="1:18" s="369" customFormat="1" ht="16.350000000000001" customHeight="1">
      <c r="C301" s="454"/>
      <c r="D301" s="454"/>
      <c r="E301" s="707"/>
      <c r="G301" s="681"/>
      <c r="H301" s="681"/>
      <c r="I301" s="682"/>
      <c r="J301" s="681"/>
      <c r="K301" s="681"/>
      <c r="L301" s="681"/>
      <c r="M301" s="681"/>
      <c r="N301" s="681"/>
      <c r="O301" s="681"/>
      <c r="P301" s="681"/>
      <c r="Q301" s="681"/>
      <c r="R301" s="681"/>
    </row>
    <row r="302" spans="1:18" s="369" customFormat="1" ht="16.350000000000001" customHeight="1">
      <c r="C302" s="454"/>
      <c r="D302" s="454"/>
      <c r="E302" s="707"/>
      <c r="G302" s="681"/>
      <c r="H302" s="681"/>
      <c r="I302" s="682"/>
      <c r="J302" s="681"/>
      <c r="K302" s="681"/>
      <c r="L302" s="681"/>
      <c r="M302" s="681"/>
      <c r="N302" s="681"/>
      <c r="O302" s="681"/>
      <c r="P302" s="681"/>
      <c r="Q302" s="681"/>
      <c r="R302" s="681"/>
    </row>
    <row r="303" spans="1:18" s="369" customFormat="1" ht="16.350000000000001" customHeight="1">
      <c r="C303" s="454"/>
      <c r="D303" s="454"/>
      <c r="E303" s="707"/>
      <c r="G303" s="681"/>
      <c r="H303" s="681"/>
      <c r="I303" s="682"/>
      <c r="J303" s="681"/>
      <c r="K303" s="681"/>
      <c r="L303" s="681"/>
      <c r="M303" s="681"/>
      <c r="N303" s="681"/>
      <c r="O303" s="681"/>
      <c r="P303" s="681"/>
      <c r="Q303" s="681"/>
      <c r="R303" s="681"/>
    </row>
    <row r="304" spans="1:18" s="369" customFormat="1" ht="16.350000000000001" customHeight="1">
      <c r="C304" s="454"/>
      <c r="D304" s="454"/>
      <c r="E304" s="707"/>
      <c r="G304" s="681"/>
      <c r="H304" s="681"/>
      <c r="I304" s="682"/>
      <c r="J304" s="681"/>
      <c r="K304" s="681"/>
      <c r="L304" s="681"/>
      <c r="M304" s="681"/>
      <c r="N304" s="681"/>
      <c r="O304" s="681"/>
      <c r="P304" s="681"/>
      <c r="Q304" s="681"/>
      <c r="R304" s="681"/>
    </row>
    <row r="305" spans="1:18" s="369" customFormat="1" ht="16.350000000000001" customHeight="1">
      <c r="C305" s="454"/>
      <c r="D305" s="454"/>
      <c r="E305" s="707"/>
      <c r="G305" s="681"/>
      <c r="H305" s="681"/>
      <c r="I305" s="682"/>
      <c r="J305" s="681"/>
      <c r="K305" s="681"/>
      <c r="L305" s="681"/>
      <c r="M305" s="681"/>
      <c r="N305" s="681"/>
      <c r="O305" s="681"/>
      <c r="P305" s="681"/>
      <c r="Q305" s="681"/>
      <c r="R305" s="681"/>
    </row>
    <row r="306" spans="1:18" s="369" customFormat="1" ht="16.350000000000001" customHeight="1">
      <c r="C306" s="454"/>
      <c r="D306" s="454"/>
      <c r="E306" s="707"/>
      <c r="G306" s="681"/>
      <c r="H306" s="681"/>
      <c r="I306" s="682"/>
      <c r="J306" s="681"/>
      <c r="K306" s="681"/>
      <c r="L306" s="681"/>
      <c r="M306" s="681"/>
      <c r="N306" s="681"/>
      <c r="O306" s="681"/>
      <c r="P306" s="681"/>
      <c r="Q306" s="681"/>
      <c r="R306" s="681"/>
    </row>
    <row r="307" spans="1:18" s="369" customFormat="1" ht="16.350000000000001" customHeight="1">
      <c r="C307" s="454"/>
      <c r="D307" s="454"/>
      <c r="E307" s="707"/>
      <c r="G307" s="681"/>
      <c r="H307" s="681"/>
      <c r="I307" s="682"/>
      <c r="J307" s="681"/>
      <c r="K307" s="681"/>
      <c r="L307" s="681"/>
      <c r="M307" s="681"/>
      <c r="N307" s="681"/>
      <c r="O307" s="681"/>
      <c r="P307" s="681"/>
      <c r="Q307" s="681"/>
      <c r="R307" s="681"/>
    </row>
    <row r="308" spans="1:18" s="369" customFormat="1" ht="16.350000000000001" customHeight="1">
      <c r="C308" s="454"/>
      <c r="D308" s="454"/>
      <c r="E308" s="707"/>
      <c r="G308" s="681"/>
      <c r="H308" s="681"/>
      <c r="I308" s="682"/>
      <c r="J308" s="681"/>
      <c r="K308" s="681"/>
      <c r="L308" s="681"/>
      <c r="M308" s="681"/>
      <c r="N308" s="681"/>
      <c r="O308" s="681"/>
      <c r="P308" s="681"/>
      <c r="Q308" s="681"/>
      <c r="R308" s="681"/>
    </row>
    <row r="309" spans="1:18" s="369" customFormat="1" ht="16.350000000000001" customHeight="1">
      <c r="C309" s="454"/>
      <c r="D309" s="454"/>
      <c r="E309" s="707"/>
      <c r="G309" s="681"/>
      <c r="H309" s="681"/>
      <c r="I309" s="682"/>
      <c r="J309" s="681"/>
      <c r="K309" s="681"/>
      <c r="L309" s="681"/>
      <c r="M309" s="681"/>
      <c r="N309" s="681"/>
      <c r="O309" s="681"/>
      <c r="P309" s="681"/>
      <c r="Q309" s="681"/>
      <c r="R309" s="681"/>
    </row>
    <row r="310" spans="1:18" s="369" customFormat="1" ht="9" customHeight="1">
      <c r="C310" s="454"/>
      <c r="D310" s="454"/>
      <c r="E310" s="707"/>
      <c r="G310" s="681"/>
      <c r="H310" s="681"/>
      <c r="I310" s="682"/>
      <c r="J310" s="681"/>
      <c r="K310" s="681"/>
      <c r="L310" s="681"/>
      <c r="M310" s="681"/>
      <c r="N310" s="681"/>
      <c r="O310" s="681"/>
      <c r="P310" s="681"/>
      <c r="Q310" s="681"/>
      <c r="R310" s="681"/>
    </row>
    <row r="311" spans="1:18" s="369" customFormat="1" ht="9" customHeight="1">
      <c r="C311" s="454"/>
      <c r="D311" s="454"/>
      <c r="E311" s="707"/>
      <c r="G311" s="681"/>
      <c r="H311" s="681"/>
      <c r="I311" s="682"/>
      <c r="J311" s="681"/>
      <c r="K311" s="681"/>
      <c r="L311" s="681"/>
      <c r="M311" s="681"/>
      <c r="N311" s="681"/>
      <c r="O311" s="681"/>
      <c r="P311" s="681"/>
      <c r="Q311" s="681"/>
      <c r="R311" s="681"/>
    </row>
    <row r="312" spans="1:18" s="369" customFormat="1" ht="9" customHeight="1">
      <c r="C312" s="454"/>
      <c r="D312" s="454"/>
      <c r="E312" s="707"/>
      <c r="G312" s="681"/>
      <c r="H312" s="681"/>
      <c r="I312" s="682"/>
      <c r="J312" s="681"/>
      <c r="K312" s="681"/>
      <c r="L312" s="681"/>
      <c r="M312" s="681"/>
      <c r="N312" s="681"/>
      <c r="O312" s="681"/>
      <c r="P312" s="681"/>
      <c r="Q312" s="681"/>
      <c r="R312" s="681"/>
    </row>
    <row r="313" spans="1:18" s="369" customFormat="1" ht="9" customHeight="1">
      <c r="C313" s="454"/>
      <c r="D313" s="454"/>
      <c r="E313" s="707"/>
      <c r="G313" s="681"/>
      <c r="H313" s="681"/>
      <c r="I313" s="682"/>
      <c r="J313" s="681"/>
      <c r="K313" s="681"/>
      <c r="L313" s="681"/>
      <c r="M313" s="681"/>
      <c r="N313" s="681"/>
      <c r="O313" s="681"/>
      <c r="P313" s="681"/>
      <c r="Q313" s="681"/>
      <c r="R313" s="681"/>
    </row>
    <row r="314" spans="1:18" s="369" customFormat="1" ht="16.350000000000001" customHeight="1">
      <c r="C314" s="454"/>
      <c r="D314" s="454"/>
      <c r="E314" s="707"/>
      <c r="G314" s="681"/>
      <c r="H314" s="681"/>
      <c r="I314" s="682"/>
      <c r="J314" s="681"/>
      <c r="K314" s="681"/>
      <c r="L314" s="681"/>
      <c r="M314" s="681"/>
      <c r="N314" s="681"/>
      <c r="O314" s="681"/>
      <c r="P314" s="681"/>
      <c r="Q314" s="681"/>
      <c r="R314" s="681"/>
    </row>
    <row r="315" spans="1:18" s="369" customFormat="1" ht="12" customHeight="1">
      <c r="C315" s="454"/>
      <c r="D315" s="454"/>
      <c r="E315" s="707"/>
      <c r="G315" s="681"/>
      <c r="H315" s="681"/>
      <c r="I315" s="682"/>
      <c r="J315" s="681"/>
      <c r="K315" s="681"/>
      <c r="L315" s="681"/>
      <c r="M315" s="681"/>
      <c r="N315" s="681"/>
      <c r="O315" s="681"/>
      <c r="P315" s="681"/>
      <c r="Q315" s="681"/>
      <c r="R315" s="681"/>
    </row>
    <row r="316" spans="1:18" s="369" customFormat="1" ht="16.350000000000001" customHeight="1">
      <c r="A316" s="1046" t="s">
        <v>792</v>
      </c>
      <c r="B316" s="1047"/>
      <c r="C316" s="1037" t="s">
        <v>854</v>
      </c>
      <c r="D316" s="1037"/>
      <c r="E316" s="750" t="s">
        <v>794</v>
      </c>
      <c r="G316" s="681"/>
      <c r="H316" s="681"/>
      <c r="I316" s="682"/>
      <c r="J316" s="681"/>
      <c r="K316" s="681"/>
      <c r="L316" s="681"/>
      <c r="M316" s="681"/>
      <c r="N316" s="681"/>
      <c r="O316" s="681"/>
      <c r="P316" s="681"/>
      <c r="Q316" s="681"/>
      <c r="R316" s="681"/>
    </row>
    <row r="317" spans="1:18" ht="9.75" customHeight="1">
      <c r="A317" s="163"/>
      <c r="B317" s="163"/>
      <c r="C317" s="1039" t="str">
        <f>IF(Worksheet!W43=1,"This Data Grading Criteria is hidden when the 'default' input is used on the Worksheet","")</f>
        <v>This Data Grading Criteria is hidden when the 'default' input is used on the Worksheet</v>
      </c>
      <c r="D317" s="1039"/>
      <c r="E317" s="629"/>
      <c r="F317" s="258"/>
      <c r="H317" s="673"/>
      <c r="I317" s="673"/>
    </row>
    <row r="318" spans="1:18" s="462" customFormat="1" ht="12">
      <c r="A318" s="458"/>
      <c r="B318" s="459" t="s">
        <v>855</v>
      </c>
      <c r="C318" s="460" t="s">
        <v>798</v>
      </c>
      <c r="D318" s="460" t="s">
        <v>799</v>
      </c>
      <c r="E318" s="628"/>
      <c r="F318" s="461"/>
      <c r="G318" s="674"/>
      <c r="H318" s="675" t="s">
        <v>800</v>
      </c>
      <c r="I318" s="675"/>
      <c r="J318" s="674" t="s">
        <v>802</v>
      </c>
      <c r="K318" s="674"/>
      <c r="L318" s="674"/>
      <c r="M318" s="674"/>
      <c r="N318" s="674"/>
      <c r="O318" s="674"/>
      <c r="P318" s="674"/>
      <c r="Q318" s="674"/>
      <c r="R318" s="674"/>
    </row>
    <row r="319" spans="1:18" ht="27.6" customHeight="1">
      <c r="A319" s="163"/>
      <c r="B319" s="441" t="s">
        <v>856</v>
      </c>
      <c r="C319" s="743" t="str">
        <f>UC!B34</f>
        <v xml:space="preserve">On the Worksheet, the status of the default option is: </v>
      </c>
      <c r="D319" s="263" t="str">
        <f>IF(AND(Worksheet!W43=2,Worksheet!Q43&gt;0),UC!A2,UC!A3)</f>
        <v>Default is used because Custom Value is selected but no value has been entered</v>
      </c>
      <c r="E319" s="628"/>
      <c r="F319" s="258"/>
      <c r="I319" s="676"/>
      <c r="J319" s="669" t="s">
        <v>845</v>
      </c>
    </row>
    <row r="320" spans="1:18" ht="27.6" customHeight="1">
      <c r="A320" s="163"/>
      <c r="B320" s="441" t="s">
        <v>275</v>
      </c>
      <c r="C320" s="743" t="str">
        <f>UC!B35</f>
        <v>Which best describes how the input was derived?</v>
      </c>
      <c r="D320" s="261"/>
      <c r="E320" s="628" t="str">
        <f>IF(OR($D$322=10,$D$322=3),"",IFERROR(IF(H320=MIN($H$320:$H$321),"Limiting",""),""))</f>
        <v/>
      </c>
      <c r="F320" s="258"/>
      <c r="H320" s="677" t="e">
        <f>VLOOKUP('Interactive Data Grading'!D320,UC!$C$6:$E$15,3,FALSE)</f>
        <v>#N/A</v>
      </c>
      <c r="I320" s="677"/>
    </row>
    <row r="321" spans="1:18" ht="27.6" customHeight="1">
      <c r="A321" s="163"/>
      <c r="B321" s="441" t="s">
        <v>276</v>
      </c>
      <c r="C321" s="743" t="str">
        <f>UC!B36</f>
        <v>Which best describes the extent of unauthorized consumption tracking and oversight?</v>
      </c>
      <c r="D321" s="261"/>
      <c r="E321" s="628" t="str">
        <f>IF(OR($D$322=10,$D$322=3),"",IFERROR(IF(H321=MIN($H$320:$H$321),"Limiting",""),""))</f>
        <v/>
      </c>
      <c r="F321" s="258"/>
      <c r="H321" s="677" t="e">
        <f>VLOOKUP('Interactive Data Grading'!D321,UC!$D$6:$E$15,2,FALSE)</f>
        <v>#N/A</v>
      </c>
      <c r="I321" s="678"/>
    </row>
    <row r="322" spans="1:18" ht="27.6" customHeight="1">
      <c r="A322" s="163"/>
      <c r="B322" s="163"/>
      <c r="C322" s="259" t="s">
        <v>808</v>
      </c>
      <c r="D322" s="753">
        <f>IFERROR((IF(D319=UC!A3,3,H322)),"")</f>
        <v>3</v>
      </c>
      <c r="E322" s="628"/>
      <c r="F322" s="258"/>
      <c r="H322" s="680" t="e">
        <f>MIN(H320:H321)</f>
        <v>#N/A</v>
      </c>
      <c r="I322" s="677"/>
    </row>
    <row r="323" spans="1:18"/>
    <row r="324" spans="1:18"/>
    <row r="325" spans="1:18" s="369" customFormat="1" ht="16.350000000000001" customHeight="1">
      <c r="C325" s="454"/>
      <c r="D325" s="454"/>
      <c r="E325" s="707"/>
      <c r="G325" s="681"/>
      <c r="H325" s="681"/>
      <c r="I325" s="682"/>
      <c r="J325" s="681"/>
      <c r="K325" s="681"/>
      <c r="L325" s="681"/>
      <c r="M325" s="681"/>
      <c r="N325" s="681"/>
      <c r="O325" s="681"/>
      <c r="P325" s="681"/>
      <c r="Q325" s="681"/>
      <c r="R325" s="681"/>
    </row>
    <row r="326" spans="1:18" s="369" customFormat="1" ht="16.350000000000001" customHeight="1">
      <c r="C326" s="454"/>
      <c r="D326" s="454"/>
      <c r="E326" s="707"/>
      <c r="G326" s="681"/>
      <c r="H326" s="681"/>
      <c r="I326" s="682"/>
      <c r="J326" s="681"/>
      <c r="K326" s="681"/>
      <c r="L326" s="681"/>
      <c r="M326" s="681"/>
      <c r="N326" s="681"/>
      <c r="O326" s="681"/>
      <c r="P326" s="681"/>
      <c r="Q326" s="681"/>
      <c r="R326" s="681"/>
    </row>
    <row r="327" spans="1:18" s="369" customFormat="1" ht="16.350000000000001" customHeight="1">
      <c r="C327" s="454"/>
      <c r="D327" s="454"/>
      <c r="E327" s="707"/>
      <c r="G327" s="681"/>
      <c r="H327" s="681"/>
      <c r="I327" s="682"/>
      <c r="J327" s="681"/>
      <c r="K327" s="681"/>
      <c r="L327" s="681"/>
      <c r="M327" s="681"/>
      <c r="N327" s="681"/>
      <c r="O327" s="681"/>
      <c r="P327" s="681"/>
      <c r="Q327" s="681"/>
      <c r="R327" s="681"/>
    </row>
    <row r="328" spans="1:18" s="369" customFormat="1" ht="16.350000000000001" customHeight="1">
      <c r="C328" s="454"/>
      <c r="D328" s="454"/>
      <c r="E328" s="707"/>
      <c r="G328" s="681"/>
      <c r="H328" s="681"/>
      <c r="I328" s="682"/>
      <c r="J328" s="681"/>
      <c r="K328" s="681"/>
      <c r="L328" s="681"/>
      <c r="M328" s="681"/>
      <c r="N328" s="681"/>
      <c r="O328" s="681"/>
      <c r="P328" s="681"/>
      <c r="Q328" s="681"/>
      <c r="R328" s="681"/>
    </row>
    <row r="329" spans="1:18" s="369" customFormat="1" ht="16.350000000000001" customHeight="1">
      <c r="C329" s="454"/>
      <c r="D329" s="454"/>
      <c r="E329" s="707"/>
      <c r="G329" s="681"/>
      <c r="H329" s="681"/>
      <c r="I329" s="682"/>
      <c r="J329" s="681"/>
      <c r="K329" s="681"/>
      <c r="L329" s="681"/>
      <c r="M329" s="681"/>
      <c r="N329" s="681"/>
      <c r="O329" s="681"/>
      <c r="P329" s="681"/>
      <c r="Q329" s="681"/>
      <c r="R329" s="681"/>
    </row>
    <row r="330" spans="1:18" s="369" customFormat="1" ht="16.350000000000001" customHeight="1">
      <c r="C330" s="454"/>
      <c r="D330" s="454"/>
      <c r="E330" s="707"/>
      <c r="G330" s="681"/>
      <c r="H330" s="681"/>
      <c r="I330" s="682"/>
      <c r="J330" s="681"/>
      <c r="K330" s="681"/>
      <c r="L330" s="681"/>
      <c r="M330" s="681"/>
      <c r="N330" s="681"/>
      <c r="O330" s="681"/>
      <c r="P330" s="681"/>
      <c r="Q330" s="681"/>
      <c r="R330" s="681"/>
    </row>
    <row r="331" spans="1:18" s="369" customFormat="1" ht="16.350000000000001" customHeight="1">
      <c r="C331" s="454"/>
      <c r="D331" s="454"/>
      <c r="E331" s="707"/>
      <c r="G331" s="681"/>
      <c r="H331" s="681"/>
      <c r="I331" s="682"/>
      <c r="J331" s="681"/>
      <c r="K331" s="681"/>
      <c r="L331" s="681"/>
      <c r="M331" s="681"/>
      <c r="N331" s="681"/>
      <c r="O331" s="681"/>
      <c r="P331" s="681"/>
      <c r="Q331" s="681"/>
      <c r="R331" s="681"/>
    </row>
    <row r="332" spans="1:18" s="369" customFormat="1" ht="16.350000000000001" customHeight="1">
      <c r="C332" s="454"/>
      <c r="D332" s="454"/>
      <c r="E332" s="707"/>
      <c r="G332" s="681"/>
      <c r="H332" s="681"/>
      <c r="I332" s="682"/>
      <c r="J332" s="681"/>
      <c r="K332" s="681"/>
      <c r="L332" s="681"/>
      <c r="M332" s="681"/>
      <c r="N332" s="681"/>
      <c r="O332" s="681"/>
      <c r="P332" s="681"/>
      <c r="Q332" s="681"/>
      <c r="R332" s="681"/>
    </row>
    <row r="333" spans="1:18" s="369" customFormat="1" ht="16.350000000000001" customHeight="1">
      <c r="C333" s="454"/>
      <c r="D333" s="454"/>
      <c r="E333" s="707"/>
      <c r="G333" s="681"/>
      <c r="H333" s="681"/>
      <c r="I333" s="682"/>
      <c r="J333" s="681"/>
      <c r="K333" s="681"/>
      <c r="L333" s="681"/>
      <c r="M333" s="681"/>
      <c r="N333" s="681"/>
      <c r="O333" s="681"/>
      <c r="P333" s="681"/>
      <c r="Q333" s="681"/>
      <c r="R333" s="681"/>
    </row>
    <row r="334" spans="1:18" s="369" customFormat="1" ht="16.350000000000001" customHeight="1">
      <c r="C334" s="454"/>
      <c r="D334" s="454"/>
      <c r="E334" s="707"/>
      <c r="G334" s="681"/>
      <c r="H334" s="681"/>
      <c r="I334" s="682"/>
      <c r="J334" s="681"/>
      <c r="K334" s="681"/>
      <c r="L334" s="681"/>
      <c r="M334" s="681"/>
      <c r="N334" s="681"/>
      <c r="O334" s="681"/>
      <c r="P334" s="681"/>
      <c r="Q334" s="681"/>
      <c r="R334" s="681"/>
    </row>
    <row r="335" spans="1:18" s="369" customFormat="1" ht="16.350000000000001" customHeight="1">
      <c r="C335" s="454"/>
      <c r="D335" s="454"/>
      <c r="E335" s="707"/>
      <c r="G335" s="681"/>
      <c r="H335" s="681"/>
      <c r="I335" s="682"/>
      <c r="J335" s="681"/>
      <c r="K335" s="681"/>
      <c r="L335" s="681"/>
      <c r="M335" s="681"/>
      <c r="N335" s="681"/>
      <c r="O335" s="681"/>
      <c r="P335" s="681"/>
      <c r="Q335" s="681"/>
      <c r="R335" s="681"/>
    </row>
    <row r="336" spans="1:18" s="369" customFormat="1" ht="16.350000000000001" customHeight="1">
      <c r="C336" s="454"/>
      <c r="D336" s="454"/>
      <c r="E336" s="707"/>
      <c r="G336" s="681"/>
      <c r="H336" s="681"/>
      <c r="I336" s="682"/>
      <c r="J336" s="681"/>
      <c r="K336" s="681"/>
      <c r="L336" s="681"/>
      <c r="M336" s="681"/>
      <c r="N336" s="681"/>
      <c r="O336" s="681"/>
      <c r="P336" s="681"/>
      <c r="Q336" s="681"/>
      <c r="R336" s="681"/>
    </row>
    <row r="337" spans="1:18" s="369" customFormat="1" ht="16.350000000000001" customHeight="1">
      <c r="C337" s="454"/>
      <c r="D337" s="454"/>
      <c r="E337" s="707"/>
      <c r="G337" s="681"/>
      <c r="H337" s="681"/>
      <c r="I337" s="682"/>
      <c r="J337" s="681"/>
      <c r="K337" s="681"/>
      <c r="L337" s="681"/>
      <c r="M337" s="681"/>
      <c r="N337" s="681"/>
      <c r="O337" s="681"/>
      <c r="P337" s="681"/>
      <c r="Q337" s="681"/>
      <c r="R337" s="681"/>
    </row>
    <row r="338" spans="1:18" s="369" customFormat="1" ht="41.45" customHeight="1">
      <c r="C338" s="454"/>
      <c r="D338" s="454"/>
      <c r="E338" s="707"/>
      <c r="G338" s="681"/>
      <c r="H338" s="681"/>
      <c r="I338" s="682"/>
      <c r="J338" s="681"/>
      <c r="K338" s="681"/>
      <c r="L338" s="681"/>
      <c r="M338" s="681"/>
      <c r="N338" s="681"/>
      <c r="O338" s="681"/>
      <c r="P338" s="681"/>
      <c r="Q338" s="681"/>
      <c r="R338" s="681"/>
    </row>
    <row r="339" spans="1:18" s="369" customFormat="1" ht="41.45" customHeight="1">
      <c r="C339" s="454"/>
      <c r="D339" s="454"/>
      <c r="E339" s="707"/>
      <c r="G339" s="681"/>
      <c r="H339" s="681"/>
      <c r="I339" s="682"/>
      <c r="J339" s="681"/>
      <c r="K339" s="681"/>
      <c r="L339" s="681"/>
      <c r="M339" s="681"/>
      <c r="N339" s="681"/>
      <c r="O339" s="681"/>
      <c r="P339" s="681"/>
      <c r="Q339" s="681"/>
      <c r="R339" s="681"/>
    </row>
    <row r="340" spans="1:18" s="369" customFormat="1" ht="41.45" customHeight="1">
      <c r="C340" s="454"/>
      <c r="D340" s="454"/>
      <c r="E340" s="707"/>
      <c r="G340" s="681"/>
      <c r="H340" s="681"/>
      <c r="I340" s="682"/>
      <c r="J340" s="681"/>
      <c r="K340" s="681"/>
      <c r="L340" s="681"/>
      <c r="M340" s="681"/>
      <c r="N340" s="681"/>
      <c r="O340" s="681"/>
      <c r="P340" s="681"/>
      <c r="Q340" s="681"/>
      <c r="R340" s="681"/>
    </row>
    <row r="341" spans="1:18" s="369" customFormat="1" ht="37.5" customHeight="1">
      <c r="C341" s="454"/>
      <c r="D341" s="454"/>
      <c r="E341" s="707"/>
      <c r="G341" s="681"/>
      <c r="H341" s="681"/>
      <c r="I341" s="682"/>
      <c r="J341" s="681"/>
      <c r="K341" s="681"/>
      <c r="L341" s="681"/>
      <c r="M341" s="681"/>
      <c r="N341" s="681"/>
      <c r="O341" s="681"/>
      <c r="P341" s="681"/>
      <c r="Q341" s="681"/>
      <c r="R341" s="681"/>
    </row>
    <row r="342" spans="1:18" s="369" customFormat="1" ht="26.25" customHeight="1">
      <c r="C342" s="454"/>
      <c r="D342" s="454"/>
      <c r="E342" s="707"/>
      <c r="G342" s="681"/>
      <c r="H342" s="681"/>
      <c r="I342" s="682"/>
      <c r="J342" s="681"/>
      <c r="K342" s="681"/>
      <c r="L342" s="681"/>
      <c r="M342" s="681"/>
      <c r="N342" s="681"/>
      <c r="O342" s="681"/>
      <c r="P342" s="681"/>
      <c r="Q342" s="681"/>
      <c r="R342" s="681"/>
    </row>
    <row r="343" spans="1:18" s="369" customFormat="1" ht="16.350000000000001" customHeight="1">
      <c r="A343" s="1046" t="s">
        <v>792</v>
      </c>
      <c r="B343" s="1047"/>
      <c r="C343" s="1037" t="s">
        <v>857</v>
      </c>
      <c r="D343" s="1037"/>
      <c r="E343" s="750" t="s">
        <v>794</v>
      </c>
      <c r="G343" s="681"/>
      <c r="H343" s="681"/>
      <c r="I343" s="682"/>
      <c r="J343" s="681"/>
      <c r="K343" s="681"/>
      <c r="L343" s="681"/>
      <c r="M343" s="681"/>
      <c r="N343" s="681"/>
      <c r="O343" s="681"/>
      <c r="P343" s="681"/>
      <c r="Q343" s="681"/>
      <c r="R343" s="681"/>
    </row>
    <row r="344" spans="1:18" ht="9.75" customHeight="1">
      <c r="A344" s="163"/>
      <c r="B344" s="163"/>
      <c r="C344" s="163"/>
      <c r="D344" s="163"/>
      <c r="E344" s="629"/>
      <c r="F344" s="258"/>
      <c r="H344" s="673"/>
      <c r="I344" s="673"/>
    </row>
    <row r="345" spans="1:18" s="462" customFormat="1" ht="12">
      <c r="A345" s="458"/>
      <c r="B345" s="459" t="s">
        <v>563</v>
      </c>
      <c r="C345" s="460" t="s">
        <v>798</v>
      </c>
      <c r="D345" s="460" t="s">
        <v>799</v>
      </c>
      <c r="E345" s="628"/>
      <c r="F345" s="461"/>
      <c r="G345" s="674"/>
      <c r="H345" s="675" t="s">
        <v>800</v>
      </c>
      <c r="I345" s="675"/>
      <c r="J345" s="674" t="s">
        <v>802</v>
      </c>
      <c r="K345" s="674"/>
      <c r="L345" s="674"/>
      <c r="M345" s="674"/>
      <c r="N345" s="674"/>
      <c r="O345" s="674"/>
      <c r="P345" s="674"/>
      <c r="Q345" s="674"/>
      <c r="R345" s="674"/>
    </row>
    <row r="346" spans="1:18" ht="27.6" customHeight="1">
      <c r="A346" s="163"/>
      <c r="B346" s="441" t="s">
        <v>374</v>
      </c>
      <c r="C346" s="743" t="str">
        <f>Lm!B35</f>
        <v>How was the input derived?</v>
      </c>
      <c r="D346" s="264" t="s">
        <v>388</v>
      </c>
      <c r="E346" s="628" t="str">
        <f>IFERROR(IF(OR($H346=10,NOT(ISNUMBER($H346))),"",IF(H346=$H$350,"Limiting","")),"")</f>
        <v/>
      </c>
      <c r="F346" s="258"/>
      <c r="G346" s="683">
        <f t="shared" ref="G346:G348" si="18">IF(LEN(D346)&gt;0,1,0)</f>
        <v>1</v>
      </c>
      <c r="H346" s="677">
        <f>VLOOKUP('Interactive Data Grading'!D346,Lm!$C$6:$G$15,5,FALSE)</f>
        <v>10</v>
      </c>
      <c r="I346" s="677">
        <f>H346</f>
        <v>10</v>
      </c>
    </row>
    <row r="347" spans="1:18" ht="27.6" customHeight="1">
      <c r="A347" s="163"/>
      <c r="B347" s="441" t="s">
        <v>375</v>
      </c>
      <c r="C347" s="743" t="str">
        <f>Lm!B36</f>
        <v>Are hydrant laterals included in the input derivation?</v>
      </c>
      <c r="D347" s="264" t="s">
        <v>62</v>
      </c>
      <c r="E347" s="628" t="str">
        <f t="shared" ref="E347:E349" si="19">IFERROR(IF(OR($H347=10,NOT(ISNUMBER($H347))),"",IF(H347=$H$350,"Limiting","")),"")</f>
        <v/>
      </c>
      <c r="F347" s="258"/>
      <c r="G347" s="683">
        <f>IF(OR(LEN(D347)&gt;0,D346=Lm!$C$6),1,0)</f>
        <v>1</v>
      </c>
      <c r="H347" s="677">
        <f>VLOOKUP('Interactive Data Grading'!D347,Lm!$D$6:$G$15,4,FALSE)</f>
        <v>10</v>
      </c>
      <c r="I347" s="677">
        <f>H347</f>
        <v>10</v>
      </c>
      <c r="J347" s="669" t="s">
        <v>374</v>
      </c>
    </row>
    <row r="348" spans="1:18" ht="27.6" customHeight="1">
      <c r="A348" s="163"/>
      <c r="B348" s="441" t="s">
        <v>376</v>
      </c>
      <c r="C348" s="743" t="str">
        <f>Lm!B37</f>
        <v>Which best describes how the Mains inventory (GIS, ledger, etc) is kept up to date?</v>
      </c>
      <c r="D348" s="264" t="s">
        <v>389</v>
      </c>
      <c r="E348" s="628" t="str">
        <f t="shared" si="19"/>
        <v/>
      </c>
      <c r="F348" s="258"/>
      <c r="G348" s="683">
        <f t="shared" si="18"/>
        <v>1</v>
      </c>
      <c r="H348" s="677">
        <f>VLOOKUP('Interactive Data Grading'!D348,Lm!$E$6:$G$15,3,FALSE)</f>
        <v>10</v>
      </c>
      <c r="I348" s="677">
        <f>H348</f>
        <v>10</v>
      </c>
    </row>
    <row r="349" spans="1:18" ht="27.6" customHeight="1">
      <c r="A349" s="163"/>
      <c r="B349" s="441" t="s">
        <v>377</v>
      </c>
      <c r="C349" s="743" t="str">
        <f>Lm!B38</f>
        <v>Which best describes how the Mains inventory (GIS, ledger, etc) is field validated to confirm field conditions match the inventory?</v>
      </c>
      <c r="D349" s="264" t="s">
        <v>390</v>
      </c>
      <c r="E349" s="628" t="str">
        <f t="shared" si="19"/>
        <v/>
      </c>
      <c r="F349" s="258"/>
      <c r="G349" s="683">
        <f>IF(OR(LEN(D349)&gt;0,$D$348=Lm!$E$8),1,0)</f>
        <v>1</v>
      </c>
      <c r="H349" s="677">
        <f>VLOOKUP('Interactive Data Grading'!D349,Lm!$F$6:$G$15,2,FALSE)</f>
        <v>10</v>
      </c>
      <c r="I349" s="677">
        <f>H349</f>
        <v>10</v>
      </c>
      <c r="J349" s="669" t="s">
        <v>376</v>
      </c>
    </row>
    <row r="350" spans="1:18" ht="27.6" customHeight="1">
      <c r="A350" s="163"/>
      <c r="B350" s="163"/>
      <c r="C350" s="259" t="s">
        <v>808</v>
      </c>
      <c r="D350" s="631">
        <f>IF(G350&lt;1,"",I350)</f>
        <v>10</v>
      </c>
      <c r="E350" s="628"/>
      <c r="F350" s="258"/>
      <c r="G350" s="683">
        <f>MIN(G346:G349)</f>
        <v>1</v>
      </c>
      <c r="H350" s="680">
        <f>MIN(H346:H349)</f>
        <v>10</v>
      </c>
      <c r="I350" s="680">
        <f t="array" ref="I350">MIN(IF(ISNUMBER(I346:I349),I346:I349))</f>
        <v>10</v>
      </c>
    </row>
    <row r="351" spans="1:18" s="369" customFormat="1" ht="16.350000000000001" customHeight="1">
      <c r="C351" s="454"/>
      <c r="D351" s="454"/>
      <c r="E351" s="707"/>
      <c r="G351" s="681"/>
      <c r="H351" s="681"/>
      <c r="I351" s="682"/>
      <c r="J351" s="681"/>
      <c r="K351" s="681"/>
      <c r="L351" s="681"/>
      <c r="M351" s="681"/>
      <c r="N351" s="681"/>
      <c r="O351" s="681"/>
      <c r="P351" s="681"/>
      <c r="Q351" s="681"/>
      <c r="R351" s="681"/>
    </row>
    <row r="352" spans="1:18" s="369" customFormat="1" ht="16.350000000000001" customHeight="1">
      <c r="C352" s="454"/>
      <c r="D352" s="454"/>
      <c r="E352" s="707"/>
      <c r="G352" s="681"/>
      <c r="H352" s="681"/>
      <c r="I352" s="682"/>
      <c r="J352" s="681"/>
      <c r="K352" s="681"/>
      <c r="L352" s="681"/>
      <c r="M352" s="681"/>
      <c r="N352" s="681"/>
      <c r="O352" s="681"/>
      <c r="P352" s="681"/>
      <c r="Q352" s="681"/>
      <c r="R352" s="681"/>
    </row>
    <row r="353" spans="1:18" s="369" customFormat="1" ht="16.350000000000001" customHeight="1">
      <c r="C353" s="454"/>
      <c r="D353" s="454"/>
      <c r="E353" s="707"/>
      <c r="G353" s="681"/>
      <c r="H353" s="681"/>
      <c r="I353" s="682"/>
      <c r="J353" s="681"/>
      <c r="K353" s="681"/>
      <c r="L353" s="681"/>
      <c r="M353" s="681"/>
      <c r="N353" s="681"/>
      <c r="O353" s="681"/>
      <c r="P353" s="681"/>
      <c r="Q353" s="681"/>
      <c r="R353" s="681"/>
    </row>
    <row r="354" spans="1:18" s="369" customFormat="1" ht="16.350000000000001" customHeight="1">
      <c r="C354" s="454"/>
      <c r="D354" s="454"/>
      <c r="E354" s="707"/>
      <c r="G354" s="681"/>
      <c r="H354" s="681"/>
      <c r="I354" s="682"/>
      <c r="J354" s="681"/>
      <c r="K354" s="681"/>
      <c r="L354" s="681"/>
      <c r="M354" s="681"/>
      <c r="N354" s="681"/>
      <c r="O354" s="681"/>
      <c r="P354" s="681"/>
      <c r="Q354" s="681"/>
      <c r="R354" s="681"/>
    </row>
    <row r="355" spans="1:18" s="369" customFormat="1" ht="16.350000000000001" customHeight="1">
      <c r="C355" s="454"/>
      <c r="D355" s="454"/>
      <c r="E355" s="707"/>
      <c r="G355" s="681"/>
      <c r="H355" s="681"/>
      <c r="I355" s="682"/>
      <c r="J355" s="681"/>
      <c r="K355" s="681"/>
      <c r="L355" s="681"/>
      <c r="M355" s="681"/>
      <c r="N355" s="681"/>
      <c r="O355" s="681"/>
      <c r="P355" s="681"/>
      <c r="Q355" s="681"/>
      <c r="R355" s="681"/>
    </row>
    <row r="356" spans="1:18" s="369" customFormat="1" ht="16.350000000000001" customHeight="1">
      <c r="C356" s="454"/>
      <c r="D356" s="454"/>
      <c r="E356" s="707"/>
      <c r="G356" s="681"/>
      <c r="H356" s="681"/>
      <c r="I356" s="682"/>
      <c r="J356" s="681"/>
      <c r="K356" s="681"/>
      <c r="L356" s="681"/>
      <c r="M356" s="681"/>
      <c r="N356" s="681"/>
      <c r="O356" s="681"/>
      <c r="P356" s="681"/>
      <c r="Q356" s="681"/>
      <c r="R356" s="681"/>
    </row>
    <row r="357" spans="1:18" s="369" customFormat="1" ht="16.350000000000001" customHeight="1">
      <c r="C357" s="454"/>
      <c r="D357" s="454"/>
      <c r="E357" s="707"/>
      <c r="G357" s="681"/>
      <c r="H357" s="681"/>
      <c r="I357" s="682"/>
      <c r="J357" s="681"/>
      <c r="K357" s="681"/>
      <c r="L357" s="681"/>
      <c r="M357" s="681"/>
      <c r="N357" s="681"/>
      <c r="O357" s="681"/>
      <c r="P357" s="681"/>
      <c r="Q357" s="681"/>
      <c r="R357" s="681"/>
    </row>
    <row r="358" spans="1:18" s="369" customFormat="1" ht="16.350000000000001" customHeight="1">
      <c r="C358" s="454"/>
      <c r="D358" s="454"/>
      <c r="E358" s="707"/>
      <c r="G358" s="681"/>
      <c r="H358" s="681"/>
      <c r="I358" s="682"/>
      <c r="J358" s="681"/>
      <c r="K358" s="681"/>
      <c r="L358" s="681"/>
      <c r="M358" s="681"/>
      <c r="N358" s="681"/>
      <c r="O358" s="681"/>
      <c r="P358" s="681"/>
      <c r="Q358" s="681"/>
      <c r="R358" s="681"/>
    </row>
    <row r="359" spans="1:18" s="369" customFormat="1" ht="16.350000000000001" customHeight="1">
      <c r="C359" s="454"/>
      <c r="D359" s="454"/>
      <c r="E359" s="707"/>
      <c r="G359" s="681"/>
      <c r="H359" s="681"/>
      <c r="I359" s="682"/>
      <c r="J359" s="681"/>
      <c r="K359" s="681"/>
      <c r="L359" s="681"/>
      <c r="M359" s="681"/>
      <c r="N359" s="681"/>
      <c r="O359" s="681"/>
      <c r="P359" s="681"/>
      <c r="Q359" s="681"/>
      <c r="R359" s="681"/>
    </row>
    <row r="360" spans="1:18" s="369" customFormat="1" ht="50.45" customHeight="1">
      <c r="C360" s="454"/>
      <c r="D360" s="454"/>
      <c r="E360" s="707"/>
      <c r="G360" s="681"/>
      <c r="H360" s="681"/>
      <c r="I360" s="682"/>
      <c r="J360" s="681"/>
      <c r="K360" s="681"/>
      <c r="L360" s="681"/>
      <c r="M360" s="681"/>
      <c r="N360" s="681"/>
      <c r="O360" s="681"/>
      <c r="P360" s="681"/>
      <c r="Q360" s="681"/>
      <c r="R360" s="681"/>
    </row>
    <row r="361" spans="1:18" s="369" customFormat="1" ht="50.45" customHeight="1">
      <c r="C361" s="454"/>
      <c r="D361" s="454"/>
      <c r="E361" s="707"/>
      <c r="G361" s="681"/>
      <c r="H361" s="681"/>
      <c r="I361" s="682"/>
      <c r="J361" s="681"/>
      <c r="K361" s="681"/>
      <c r="L361" s="681"/>
      <c r="M361" s="681"/>
      <c r="N361" s="681"/>
      <c r="O361" s="681"/>
      <c r="P361" s="681"/>
      <c r="Q361" s="681"/>
      <c r="R361" s="681"/>
    </row>
    <row r="362" spans="1:18" s="369" customFormat="1" ht="50.45" customHeight="1">
      <c r="C362" s="454"/>
      <c r="D362" s="454"/>
      <c r="E362" s="707"/>
      <c r="G362" s="681"/>
      <c r="H362" s="681"/>
      <c r="I362" s="682"/>
      <c r="J362" s="681"/>
      <c r="K362" s="681"/>
      <c r="L362" s="681"/>
      <c r="M362" s="681"/>
      <c r="N362" s="681"/>
      <c r="O362" s="681"/>
      <c r="P362" s="681"/>
      <c r="Q362" s="681"/>
      <c r="R362" s="681"/>
    </row>
    <row r="363" spans="1:18" s="369" customFormat="1" ht="34.5" customHeight="1">
      <c r="C363" s="454"/>
      <c r="D363" s="454"/>
      <c r="E363" s="707"/>
      <c r="G363" s="681"/>
      <c r="H363" s="681"/>
      <c r="I363" s="682"/>
      <c r="J363" s="681"/>
      <c r="K363" s="681"/>
      <c r="L363" s="681"/>
      <c r="M363" s="681"/>
      <c r="N363" s="681"/>
      <c r="O363" s="681"/>
      <c r="P363" s="681"/>
      <c r="Q363" s="681"/>
      <c r="R363" s="681"/>
    </row>
    <row r="364" spans="1:18" s="369" customFormat="1" ht="29.25" customHeight="1">
      <c r="C364" s="454"/>
      <c r="D364" s="454"/>
      <c r="E364" s="707"/>
      <c r="G364" s="681"/>
      <c r="H364" s="681"/>
      <c r="I364" s="682"/>
      <c r="J364" s="681"/>
      <c r="K364" s="681"/>
      <c r="L364" s="681"/>
      <c r="M364" s="681"/>
      <c r="N364" s="681"/>
      <c r="O364" s="681"/>
      <c r="P364" s="681"/>
      <c r="Q364" s="681"/>
      <c r="R364" s="681"/>
    </row>
    <row r="365" spans="1:18" s="369" customFormat="1" ht="29.25" customHeight="1">
      <c r="C365" s="454"/>
      <c r="D365" s="454"/>
      <c r="E365" s="707"/>
      <c r="G365" s="681"/>
      <c r="H365" s="681"/>
      <c r="I365" s="682"/>
      <c r="J365" s="681"/>
      <c r="K365" s="681"/>
      <c r="L365" s="681"/>
      <c r="M365" s="681"/>
      <c r="N365" s="681"/>
      <c r="O365" s="681"/>
      <c r="P365" s="681"/>
      <c r="Q365" s="681"/>
      <c r="R365" s="681"/>
    </row>
    <row r="366" spans="1:18" s="369" customFormat="1" ht="16.350000000000001" customHeight="1">
      <c r="A366" s="1046" t="s">
        <v>792</v>
      </c>
      <c r="B366" s="1047"/>
      <c r="C366" s="1037" t="s">
        <v>858</v>
      </c>
      <c r="D366" s="1037"/>
      <c r="E366" s="750" t="s">
        <v>794</v>
      </c>
      <c r="G366" s="681"/>
      <c r="H366" s="681"/>
      <c r="I366" s="682"/>
      <c r="J366" s="681"/>
      <c r="K366" s="681"/>
      <c r="L366" s="681"/>
      <c r="M366" s="681"/>
      <c r="N366" s="681"/>
      <c r="O366" s="681"/>
      <c r="P366" s="681"/>
      <c r="Q366" s="681"/>
      <c r="R366" s="681"/>
    </row>
    <row r="367" spans="1:18" ht="9.75" customHeight="1">
      <c r="A367" s="163"/>
      <c r="B367" s="163"/>
      <c r="C367" s="163"/>
      <c r="D367" s="163"/>
      <c r="E367" s="629"/>
      <c r="F367" s="258"/>
      <c r="H367" s="673"/>
      <c r="I367" s="673"/>
    </row>
    <row r="368" spans="1:18" s="462" customFormat="1" ht="12">
      <c r="A368" s="458"/>
      <c r="B368" s="459" t="s">
        <v>567</v>
      </c>
      <c r="C368" s="460" t="s">
        <v>798</v>
      </c>
      <c r="D368" s="460" t="s">
        <v>799</v>
      </c>
      <c r="E368" s="628"/>
      <c r="F368" s="461"/>
      <c r="G368" s="674"/>
      <c r="H368" s="675" t="s">
        <v>800</v>
      </c>
      <c r="I368" s="675"/>
      <c r="J368" s="674" t="s">
        <v>802</v>
      </c>
      <c r="K368" s="674" t="s">
        <v>859</v>
      </c>
      <c r="L368" s="674"/>
      <c r="M368" s="674"/>
      <c r="N368" s="674"/>
      <c r="O368" s="674"/>
      <c r="P368" s="674"/>
      <c r="Q368" s="674"/>
      <c r="R368" s="674"/>
    </row>
    <row r="369" spans="1:18" ht="27.6" customHeight="1">
      <c r="A369" s="163"/>
      <c r="B369" s="441" t="s">
        <v>392</v>
      </c>
      <c r="C369" s="743" t="str">
        <f>Nc!B35</f>
        <v>How was the input derived?</v>
      </c>
      <c r="D369" s="264" t="s">
        <v>407</v>
      </c>
      <c r="E369" s="628" t="str">
        <f>IFERROR(IF(OR($D$374=10,NOT(ISNUMBER($D$374))),"",IF(I369=$I$374,"Limiting","")),"")</f>
        <v/>
      </c>
      <c r="F369" s="258"/>
      <c r="H369" s="677">
        <f>VLOOKUP('Interactive Data Grading'!D369,Nc!$C$6:$H$15,6,FALSE)</f>
        <v>10</v>
      </c>
      <c r="I369" s="677">
        <f>H369</f>
        <v>10</v>
      </c>
      <c r="K369" s="669" t="str">
        <f>IFERROR(IF(OR($D$374=10,NOT(ISNUMBER($D$374))),"",IF(I369=$I$374,"Limiting","")),"")</f>
        <v/>
      </c>
    </row>
    <row r="370" spans="1:18" ht="27.6" customHeight="1">
      <c r="A370" s="163"/>
      <c r="B370" s="441" t="s">
        <v>393</v>
      </c>
      <c r="C370" s="743" t="str">
        <f>Nc!B36</f>
        <v>What is the count of services based on?</v>
      </c>
      <c r="D370" s="264" t="s">
        <v>408</v>
      </c>
      <c r="E370" s="628" t="str">
        <f t="shared" ref="E370:E373" si="20">IFERROR(IF(OR($D$374=10,NOT(ISNUMBER($D$374))),"",IF(I370=$I$374,"Limiting","")),"")</f>
        <v/>
      </c>
      <c r="F370" s="258"/>
      <c r="G370" s="683">
        <f>IF(OR(LEN(D370)&gt;0,$D$369=Nc!$C$23),1,0)</f>
        <v>1</v>
      </c>
      <c r="H370" s="677">
        <f>VLOOKUP('Interactive Data Grading'!D370,Nc!$D$6:$H$15,5,FALSE)</f>
        <v>10</v>
      </c>
      <c r="I370" s="677">
        <f>H370</f>
        <v>10</v>
      </c>
      <c r="J370" s="669" t="s">
        <v>392</v>
      </c>
      <c r="K370" s="669" t="str">
        <f t="shared" ref="K370:K373" si="21">IFERROR(IF(OR($D$374=10,NOT(ISNUMBER($D$374))),"",IF(I370=$I$374,"Limiting","")),"")</f>
        <v/>
      </c>
    </row>
    <row r="371" spans="1:18" ht="27.6" customHeight="1">
      <c r="A371" s="163"/>
      <c r="B371" s="441" t="s">
        <v>394</v>
      </c>
      <c r="C371" s="743" t="str">
        <f>Nc!B37</f>
        <v xml:space="preserve">Are inactive (but still pressurized) service lines included in the input? These may be metered or unmetered.  </v>
      </c>
      <c r="D371" s="264" t="s">
        <v>62</v>
      </c>
      <c r="E371" s="628" t="str">
        <f t="shared" si="20"/>
        <v/>
      </c>
      <c r="F371" s="258"/>
      <c r="G371" s="683">
        <f>IF(OR(LEN(D371)&gt;0,D369=Nc!$C$23),1,0)</f>
        <v>1</v>
      </c>
      <c r="H371" s="677">
        <f>VLOOKUP('Interactive Data Grading'!D371,Nc!$E$6:$H$15,4,FALSE)</f>
        <v>10</v>
      </c>
      <c r="I371" s="677">
        <f t="shared" ref="I371:I373" si="22">H371</f>
        <v>10</v>
      </c>
      <c r="J371" s="669" t="s">
        <v>392</v>
      </c>
      <c r="K371" s="669" t="str">
        <f t="shared" si="21"/>
        <v/>
      </c>
    </row>
    <row r="372" spans="1:18" ht="27.6" customHeight="1">
      <c r="A372" s="163"/>
      <c r="B372" s="441" t="s">
        <v>395</v>
      </c>
      <c r="C372" s="743" t="str">
        <f>Nc!B38</f>
        <v>Which best describes how the inventory of service connections (GIS, billing system, etc) is kept up to date?</v>
      </c>
      <c r="D372" s="264" t="s">
        <v>409</v>
      </c>
      <c r="E372" s="628" t="str">
        <f t="shared" si="20"/>
        <v/>
      </c>
      <c r="F372" s="258"/>
      <c r="G372" s="683">
        <f t="shared" ref="G372" si="23">IF(LEN(D372)&gt;0,1,0)</f>
        <v>1</v>
      </c>
      <c r="H372" s="677">
        <f>VLOOKUP('Interactive Data Grading'!D372,Nc!$F$6:$H$15,3,FALSE)</f>
        <v>10</v>
      </c>
      <c r="I372" s="677">
        <f t="shared" si="22"/>
        <v>10</v>
      </c>
      <c r="K372" s="669" t="str">
        <f t="shared" si="21"/>
        <v/>
      </c>
    </row>
    <row r="373" spans="1:18" ht="45.6" customHeight="1">
      <c r="A373" s="163"/>
      <c r="B373" s="441" t="s">
        <v>396</v>
      </c>
      <c r="C373" s="743" t="str">
        <f>Nc!B39</f>
        <v>Which best describes how the inventory of service connections (GIS, billing system, etc) is field validated to confirm field conditions match the inventory?</v>
      </c>
      <c r="D373" s="264" t="s">
        <v>410</v>
      </c>
      <c r="E373" s="628" t="str">
        <f t="shared" si="20"/>
        <v/>
      </c>
      <c r="F373" s="258"/>
      <c r="G373" s="685">
        <f>IF(OR(LEN(D373)&gt;0,D372=Nc!F23),1,0)</f>
        <v>1</v>
      </c>
      <c r="H373" s="677">
        <f>VLOOKUP('Interactive Data Grading'!D373,Nc!$G$6:$H$15,2,FALSE)</f>
        <v>10</v>
      </c>
      <c r="I373" s="677">
        <f t="shared" si="22"/>
        <v>10</v>
      </c>
      <c r="J373" s="669" t="s">
        <v>395</v>
      </c>
      <c r="K373" s="669" t="str">
        <f t="shared" si="21"/>
        <v/>
      </c>
    </row>
    <row r="374" spans="1:18" ht="27.6" customHeight="1">
      <c r="A374" s="163"/>
      <c r="B374" s="163"/>
      <c r="C374" s="259" t="s">
        <v>808</v>
      </c>
      <c r="D374" s="631">
        <f>IF(G374&lt;1,"",I374)</f>
        <v>10</v>
      </c>
      <c r="E374" s="628"/>
      <c r="F374" s="258"/>
      <c r="G374" s="685">
        <f>MIN(G370:G373)</f>
        <v>1</v>
      </c>
      <c r="H374" s="680">
        <f>MIN(H369:H373)</f>
        <v>10</v>
      </c>
      <c r="I374" s="680">
        <f t="array" ref="I374">MIN(IF(ISNUMBER(I369:I373),I369:I373))</f>
        <v>10</v>
      </c>
    </row>
    <row r="375" spans="1:18" s="369" customFormat="1" ht="16.350000000000001" customHeight="1">
      <c r="C375" s="454"/>
      <c r="D375" s="454"/>
      <c r="E375" s="707"/>
      <c r="G375" s="681"/>
      <c r="H375" s="681"/>
      <c r="I375" s="682"/>
      <c r="J375" s="681"/>
      <c r="K375" s="681"/>
      <c r="L375" s="681"/>
      <c r="M375" s="681"/>
      <c r="N375" s="681"/>
      <c r="O375" s="681"/>
      <c r="P375" s="681"/>
      <c r="Q375" s="681"/>
      <c r="R375" s="681"/>
    </row>
    <row r="376" spans="1:18" s="369" customFormat="1" ht="16.350000000000001" customHeight="1">
      <c r="C376" s="454"/>
      <c r="D376" s="454"/>
      <c r="E376" s="707"/>
      <c r="G376" s="681"/>
      <c r="H376" s="681"/>
      <c r="I376" s="682"/>
      <c r="J376" s="681"/>
      <c r="K376" s="681"/>
      <c r="L376" s="681"/>
      <c r="M376" s="681"/>
      <c r="N376" s="681"/>
      <c r="O376" s="681"/>
      <c r="P376" s="681"/>
      <c r="Q376" s="681"/>
      <c r="R376" s="681"/>
    </row>
    <row r="377" spans="1:18" s="369" customFormat="1" ht="2.4500000000000002" customHeight="1">
      <c r="C377" s="454"/>
      <c r="D377" s="454"/>
      <c r="E377" s="707"/>
      <c r="G377" s="681"/>
      <c r="H377" s="681"/>
      <c r="I377" s="682"/>
      <c r="J377" s="681"/>
      <c r="K377" s="681"/>
      <c r="L377" s="681"/>
      <c r="M377" s="681"/>
      <c r="N377" s="681"/>
      <c r="O377" s="681"/>
      <c r="P377" s="681"/>
      <c r="Q377" s="681"/>
      <c r="R377" s="681"/>
    </row>
    <row r="378" spans="1:18" s="369" customFormat="1" ht="16.350000000000001" customHeight="1">
      <c r="C378" s="454"/>
      <c r="D378" s="454"/>
      <c r="E378" s="707"/>
      <c r="G378" s="681"/>
      <c r="H378" s="681"/>
      <c r="I378" s="682"/>
      <c r="J378" s="681"/>
      <c r="K378" s="681"/>
      <c r="L378" s="681"/>
      <c r="M378" s="681"/>
      <c r="N378" s="681"/>
      <c r="O378" s="681"/>
      <c r="P378" s="681"/>
      <c r="Q378" s="681"/>
      <c r="R378" s="681"/>
    </row>
    <row r="379" spans="1:18" s="369" customFormat="1" ht="16.350000000000001" customHeight="1">
      <c r="C379" s="454"/>
      <c r="D379" s="454"/>
      <c r="E379" s="707"/>
      <c r="G379" s="681"/>
      <c r="H379" s="681"/>
      <c r="I379" s="682"/>
      <c r="J379" s="681"/>
      <c r="K379" s="681"/>
      <c r="L379" s="681"/>
      <c r="M379" s="681"/>
      <c r="N379" s="681"/>
      <c r="O379" s="681"/>
      <c r="P379" s="681"/>
      <c r="Q379" s="681"/>
      <c r="R379" s="681"/>
    </row>
    <row r="380" spans="1:18" s="369" customFormat="1" ht="16.350000000000001" customHeight="1">
      <c r="C380" s="454"/>
      <c r="D380" s="454"/>
      <c r="E380" s="707"/>
      <c r="G380" s="681"/>
      <c r="H380" s="681"/>
      <c r="I380" s="682"/>
      <c r="J380" s="681"/>
      <c r="K380" s="681"/>
      <c r="L380" s="681"/>
      <c r="M380" s="681"/>
      <c r="N380" s="681"/>
      <c r="O380" s="681"/>
      <c r="P380" s="681"/>
      <c r="Q380" s="681"/>
      <c r="R380" s="681"/>
    </row>
    <row r="381" spans="1:18" s="369" customFormat="1" ht="16.350000000000001" customHeight="1">
      <c r="C381" s="454"/>
      <c r="D381" s="454"/>
      <c r="E381" s="707"/>
      <c r="G381" s="681"/>
      <c r="H381" s="681"/>
      <c r="I381" s="682"/>
      <c r="J381" s="681"/>
      <c r="K381" s="681"/>
      <c r="L381" s="681"/>
      <c r="M381" s="681"/>
      <c r="N381" s="681"/>
      <c r="O381" s="681"/>
      <c r="P381" s="681"/>
      <c r="Q381" s="681"/>
      <c r="R381" s="681"/>
    </row>
    <row r="382" spans="1:18" s="369" customFormat="1" ht="16.350000000000001" customHeight="1">
      <c r="C382" s="454"/>
      <c r="D382" s="454"/>
      <c r="E382" s="707"/>
      <c r="G382" s="681"/>
      <c r="H382" s="681"/>
      <c r="I382" s="682"/>
      <c r="J382" s="681"/>
      <c r="K382" s="681"/>
      <c r="L382" s="681"/>
      <c r="M382" s="681"/>
      <c r="N382" s="681"/>
      <c r="O382" s="681"/>
      <c r="P382" s="681"/>
      <c r="Q382" s="681"/>
      <c r="R382" s="681"/>
    </row>
    <row r="383" spans="1:18" s="369" customFormat="1" ht="16.350000000000001" customHeight="1">
      <c r="C383" s="454"/>
      <c r="D383" s="454"/>
      <c r="E383" s="707"/>
      <c r="G383" s="681"/>
      <c r="H383" s="681"/>
      <c r="I383" s="682"/>
      <c r="J383" s="681"/>
      <c r="K383" s="681"/>
      <c r="L383" s="681"/>
      <c r="M383" s="681"/>
      <c r="N383" s="681"/>
      <c r="O383" s="681"/>
      <c r="P383" s="681"/>
      <c r="Q383" s="681"/>
      <c r="R383" s="681"/>
    </row>
    <row r="384" spans="1:18" s="369" customFormat="1" ht="16.350000000000001" customHeight="1">
      <c r="C384" s="454"/>
      <c r="D384" s="454"/>
      <c r="E384" s="707"/>
      <c r="G384" s="681"/>
      <c r="H384" s="681"/>
      <c r="I384" s="682"/>
      <c r="J384" s="681"/>
      <c r="K384" s="681"/>
      <c r="L384" s="681"/>
      <c r="M384" s="681"/>
      <c r="N384" s="681"/>
      <c r="O384" s="681"/>
      <c r="P384" s="681"/>
      <c r="Q384" s="681"/>
      <c r="R384" s="681"/>
    </row>
    <row r="385" spans="1:18" s="369" customFormat="1" ht="16.350000000000001" customHeight="1">
      <c r="C385" s="454"/>
      <c r="D385" s="454"/>
      <c r="E385" s="707"/>
      <c r="G385" s="681"/>
      <c r="H385" s="681"/>
      <c r="I385" s="682"/>
      <c r="J385" s="681"/>
      <c r="K385" s="681"/>
      <c r="L385" s="681"/>
      <c r="M385" s="681"/>
      <c r="N385" s="681"/>
      <c r="O385" s="681"/>
      <c r="P385" s="681"/>
      <c r="Q385" s="681"/>
      <c r="R385" s="681"/>
    </row>
    <row r="386" spans="1:18" s="369" customFormat="1" ht="16.350000000000001" customHeight="1">
      <c r="C386" s="454"/>
      <c r="D386" s="454"/>
      <c r="E386" s="707"/>
      <c r="G386" s="681"/>
      <c r="H386" s="681"/>
      <c r="I386" s="682"/>
      <c r="J386" s="681"/>
      <c r="K386" s="681"/>
      <c r="L386" s="681"/>
      <c r="M386" s="681"/>
      <c r="N386" s="681"/>
      <c r="O386" s="681"/>
      <c r="P386" s="681"/>
      <c r="Q386" s="681"/>
      <c r="R386" s="681"/>
    </row>
    <row r="387" spans="1:18" s="369" customFormat="1" ht="16.350000000000001" customHeight="1">
      <c r="C387" s="454"/>
      <c r="D387" s="454"/>
      <c r="E387" s="707"/>
      <c r="G387" s="681"/>
      <c r="H387" s="681"/>
      <c r="I387" s="682"/>
      <c r="J387" s="681"/>
      <c r="K387" s="681"/>
      <c r="L387" s="681"/>
      <c r="M387" s="681"/>
      <c r="N387" s="681"/>
      <c r="O387" s="681"/>
      <c r="P387" s="681"/>
      <c r="Q387" s="681"/>
      <c r="R387" s="681"/>
    </row>
    <row r="388" spans="1:18" s="369" customFormat="1" ht="16.350000000000001" customHeight="1">
      <c r="C388" s="454"/>
      <c r="D388" s="454"/>
      <c r="E388" s="707"/>
      <c r="G388" s="681"/>
      <c r="H388" s="681"/>
      <c r="I388" s="682"/>
      <c r="J388" s="681"/>
      <c r="K388" s="681"/>
      <c r="L388" s="681"/>
      <c r="M388" s="681"/>
      <c r="N388" s="681"/>
      <c r="O388" s="681"/>
      <c r="P388" s="681"/>
      <c r="Q388" s="681"/>
      <c r="R388" s="681"/>
    </row>
    <row r="389" spans="1:18" s="369" customFormat="1" ht="21.75" customHeight="1">
      <c r="C389" s="454"/>
      <c r="D389" s="454"/>
      <c r="E389" s="707"/>
      <c r="G389" s="681"/>
      <c r="H389" s="681"/>
      <c r="I389" s="682"/>
      <c r="J389" s="681"/>
      <c r="K389" s="681"/>
      <c r="L389" s="681"/>
      <c r="M389" s="681"/>
      <c r="N389" s="681"/>
      <c r="O389" s="681"/>
      <c r="P389" s="681"/>
      <c r="Q389" s="681"/>
      <c r="R389" s="681"/>
    </row>
    <row r="390" spans="1:18" s="369" customFormat="1" ht="16.350000000000001" customHeight="1">
      <c r="A390" s="1046" t="s">
        <v>792</v>
      </c>
      <c r="B390" s="1047"/>
      <c r="C390" s="1037" t="s">
        <v>860</v>
      </c>
      <c r="D390" s="1037"/>
      <c r="E390" s="750" t="s">
        <v>794</v>
      </c>
      <c r="G390" s="681"/>
      <c r="H390" s="681"/>
      <c r="I390" s="682"/>
      <c r="J390" s="681"/>
      <c r="K390" s="681"/>
      <c r="L390" s="681"/>
      <c r="M390" s="681"/>
      <c r="N390" s="681"/>
      <c r="O390" s="681"/>
      <c r="P390" s="681"/>
      <c r="Q390" s="681"/>
      <c r="R390" s="681"/>
    </row>
    <row r="391" spans="1:18" ht="9.75" customHeight="1">
      <c r="A391" s="163"/>
      <c r="B391" s="163"/>
      <c r="C391" s="163"/>
      <c r="D391" s="163"/>
      <c r="E391" s="629"/>
      <c r="F391" s="258"/>
      <c r="H391" s="673"/>
      <c r="I391" s="673"/>
    </row>
    <row r="392" spans="1:18" s="462" customFormat="1" ht="12">
      <c r="A392" s="458"/>
      <c r="B392" s="459" t="s">
        <v>573</v>
      </c>
      <c r="C392" s="460" t="s">
        <v>798</v>
      </c>
      <c r="D392" s="460" t="s">
        <v>799</v>
      </c>
      <c r="E392" s="628"/>
      <c r="F392" s="461"/>
      <c r="G392" s="674"/>
      <c r="H392" s="675" t="s">
        <v>800</v>
      </c>
      <c r="I392" s="675"/>
      <c r="J392" s="674" t="s">
        <v>802</v>
      </c>
      <c r="K392" s="674"/>
      <c r="L392" s="674"/>
      <c r="M392" s="674"/>
      <c r="N392" s="674"/>
      <c r="O392" s="674"/>
      <c r="P392" s="674"/>
      <c r="Q392" s="674"/>
      <c r="R392" s="674"/>
    </row>
    <row r="393" spans="1:18" ht="27.6" customHeight="1">
      <c r="A393" s="163"/>
      <c r="B393" s="441" t="s">
        <v>861</v>
      </c>
      <c r="C393" s="745" t="str">
        <f>Lp!B34</f>
        <v xml:space="preserve">Are customer meters typically located at the curbstop or property line? </v>
      </c>
      <c r="D393" s="263" t="str">
        <f>IF(OR(Worksheet!H65="Yes",Worksheet!H65="No"),Worksheet!H65,"Select on Worksheet")</f>
        <v>No</v>
      </c>
      <c r="E393" s="628"/>
      <c r="F393" s="258"/>
      <c r="I393" s="676"/>
      <c r="J393" s="669" t="s">
        <v>862</v>
      </c>
      <c r="K393" s="669" t="s">
        <v>859</v>
      </c>
    </row>
    <row r="394" spans="1:18" ht="27.6" customHeight="1">
      <c r="A394" s="163"/>
      <c r="B394" s="441" t="s">
        <v>413</v>
      </c>
      <c r="C394" s="745" t="str">
        <f>Lp!B35</f>
        <v>How was the input derived?</v>
      </c>
      <c r="D394" s="261" t="s">
        <v>426</v>
      </c>
      <c r="E394" s="628" t="str">
        <f>IFERROR(IF(OR($D$398=10,NOT(ISNUMBER($D$398))),"",IF(I394=$I$398,"Limiting","")),"")</f>
        <v/>
      </c>
      <c r="F394" s="258"/>
      <c r="G394" s="669">
        <f>IF(LEN(D394)&gt;0,1,0)</f>
        <v>1</v>
      </c>
      <c r="H394" s="677">
        <f>VLOOKUP(D394,Lp!$C$6:$G$15,5,FALSE)</f>
        <v>10</v>
      </c>
      <c r="I394" s="678">
        <f>H394</f>
        <v>10</v>
      </c>
    </row>
    <row r="395" spans="1:18" ht="27.6" customHeight="1">
      <c r="A395" s="163"/>
      <c r="B395" s="441" t="s">
        <v>414</v>
      </c>
      <c r="C395" s="745" t="str">
        <f>Lp!B36</f>
        <v>Which best describes how the Customer Service Line and Meter Locations mapping is kept up to date?</v>
      </c>
      <c r="D395" s="261" t="s">
        <v>427</v>
      </c>
      <c r="E395" s="628" t="str">
        <f t="shared" ref="E395:E397" si="24">IFERROR(IF(OR($D$398=10,NOT(ISNUMBER($D$398))),"",IF(I395=$I$398,"Limiting","")),"")</f>
        <v/>
      </c>
      <c r="F395" s="258"/>
      <c r="G395" s="669">
        <f>IF(LEN(D395)&gt;0,1,0)</f>
        <v>1</v>
      </c>
      <c r="H395" s="677">
        <f>VLOOKUP('Interactive Data Grading'!D395,Lp!$D$6:$G$15,4,FALSE)</f>
        <v>10</v>
      </c>
      <c r="I395" s="678">
        <f>IF(OR(D392=VOS!D190,D393=VOS!H192),X,H395)</f>
        <v>10</v>
      </c>
      <c r="J395" s="686"/>
    </row>
    <row r="396" spans="1:18" ht="27.6" customHeight="1">
      <c r="A396" s="163"/>
      <c r="B396" s="441" t="s">
        <v>415</v>
      </c>
      <c r="C396" s="745" t="str">
        <f>Lp!B37</f>
        <v>Which best describes how the Customer Service Line mapping is validated to what is in the field?</v>
      </c>
      <c r="D396" s="261" t="s">
        <v>428</v>
      </c>
      <c r="E396" s="628" t="str">
        <f t="shared" si="24"/>
        <v/>
      </c>
      <c r="F396" s="258"/>
      <c r="G396" s="687">
        <f>IF(OR(LEN(D396)&gt;0,D395=Lp!D23),1,0)</f>
        <v>1</v>
      </c>
      <c r="H396" s="677">
        <f>VLOOKUP('Interactive Data Grading'!D396,Lp!$E$6:$G$15,3,FALSE)</f>
        <v>10</v>
      </c>
      <c r="I396" s="677">
        <f>H396</f>
        <v>10</v>
      </c>
      <c r="J396" s="688" t="s">
        <v>414</v>
      </c>
    </row>
    <row r="397" spans="1:18" ht="33" customHeight="1">
      <c r="A397" s="163"/>
      <c r="B397" s="441" t="s">
        <v>416</v>
      </c>
      <c r="C397" s="745" t="str">
        <f>Lp!B38</f>
        <v>Which best describes the policy to define where the utility's ownership of the service line ends, and the customer's ownership of the service line begins?</v>
      </c>
      <c r="D397" s="261" t="s">
        <v>371</v>
      </c>
      <c r="E397" s="628" t="str">
        <f t="shared" si="24"/>
        <v/>
      </c>
      <c r="F397" s="258"/>
      <c r="G397" s="669">
        <f>IF(LEN(D397)&gt;0,1,0)</f>
        <v>1</v>
      </c>
      <c r="H397" s="677">
        <f>VLOOKUP('Interactive Data Grading'!D397,Lp!$F$6:$G$15,2,FALSE)</f>
        <v>10</v>
      </c>
      <c r="I397" s="677">
        <f>H397</f>
        <v>10</v>
      </c>
      <c r="J397" s="686"/>
    </row>
    <row r="398" spans="1:18" ht="27.6" customHeight="1">
      <c r="A398" s="163"/>
      <c r="B398" s="163"/>
      <c r="C398" s="259" t="s">
        <v>808</v>
      </c>
      <c r="D398" s="631">
        <f>IFERROR((IF(D393="Yes","10",IF(G398=0,"",I398))),"")</f>
        <v>10</v>
      </c>
      <c r="E398" s="628"/>
      <c r="F398" s="258"/>
      <c r="G398" s="670">
        <f>MIN(G394:G397)</f>
        <v>1</v>
      </c>
      <c r="H398" s="680">
        <f>MIN(H394:H397)</f>
        <v>10</v>
      </c>
      <c r="I398" s="680">
        <f t="array" ref="I398">MIN(IF(ISNUMBER(I394:I397),I394:I397))</f>
        <v>10</v>
      </c>
    </row>
    <row r="399" spans="1:18" s="369" customFormat="1" ht="16.350000000000001" customHeight="1">
      <c r="C399" s="455"/>
      <c r="D399" s="455"/>
      <c r="E399" s="707"/>
      <c r="G399" s="681"/>
      <c r="H399" s="681"/>
      <c r="I399" s="682"/>
      <c r="J399" s="681"/>
      <c r="K399" s="681"/>
      <c r="L399" s="681"/>
      <c r="M399" s="681"/>
      <c r="N399" s="681"/>
      <c r="O399" s="681"/>
      <c r="P399" s="681"/>
      <c r="Q399" s="681"/>
      <c r="R399" s="681"/>
    </row>
    <row r="400" spans="1:18" s="369" customFormat="1" ht="16.350000000000001" customHeight="1">
      <c r="C400" s="455"/>
      <c r="D400" s="455"/>
      <c r="E400" s="707"/>
      <c r="G400" s="681"/>
      <c r="H400" s="681"/>
      <c r="I400" s="682"/>
      <c r="J400" s="681"/>
      <c r="K400" s="681"/>
      <c r="L400" s="681"/>
      <c r="M400" s="681"/>
      <c r="N400" s="681"/>
      <c r="O400" s="681"/>
      <c r="P400" s="681"/>
      <c r="Q400" s="681"/>
      <c r="R400" s="681"/>
    </row>
    <row r="401" spans="1:18" s="369" customFormat="1" ht="16.350000000000001" customHeight="1">
      <c r="C401" s="455"/>
      <c r="D401" s="455"/>
      <c r="E401" s="707"/>
      <c r="G401" s="681"/>
      <c r="H401" s="681"/>
      <c r="I401" s="682"/>
      <c r="J401" s="681"/>
      <c r="K401" s="681"/>
      <c r="L401" s="681"/>
      <c r="M401" s="681"/>
      <c r="N401" s="681"/>
      <c r="O401" s="681"/>
      <c r="P401" s="681"/>
      <c r="Q401" s="681"/>
      <c r="R401" s="681"/>
    </row>
    <row r="402" spans="1:18" s="369" customFormat="1" ht="16.350000000000001" customHeight="1">
      <c r="C402" s="455"/>
      <c r="D402" s="455"/>
      <c r="E402" s="707"/>
      <c r="G402" s="681"/>
      <c r="H402" s="681"/>
      <c r="I402" s="682"/>
      <c r="J402" s="681"/>
      <c r="K402" s="681"/>
      <c r="L402" s="681"/>
      <c r="M402" s="681"/>
      <c r="N402" s="681"/>
      <c r="O402" s="681"/>
      <c r="P402" s="681"/>
      <c r="Q402" s="681"/>
      <c r="R402" s="681"/>
    </row>
    <row r="403" spans="1:18" s="369" customFormat="1" ht="16.350000000000001" customHeight="1">
      <c r="C403" s="455"/>
      <c r="D403" s="455"/>
      <c r="E403" s="707"/>
      <c r="G403" s="681"/>
      <c r="H403" s="681"/>
      <c r="I403" s="682"/>
      <c r="J403" s="681"/>
      <c r="K403" s="681"/>
      <c r="L403" s="681"/>
      <c r="M403" s="681"/>
      <c r="N403" s="681"/>
      <c r="O403" s="681"/>
      <c r="P403" s="681"/>
      <c r="Q403" s="681"/>
      <c r="R403" s="681"/>
    </row>
    <row r="404" spans="1:18" s="369" customFormat="1" ht="16.350000000000001" customHeight="1">
      <c r="C404" s="455"/>
      <c r="D404" s="455"/>
      <c r="E404" s="707"/>
      <c r="G404" s="681"/>
      <c r="H404" s="681"/>
      <c r="I404" s="682"/>
      <c r="J404" s="681"/>
      <c r="K404" s="681"/>
      <c r="L404" s="681"/>
      <c r="M404" s="681"/>
      <c r="N404" s="681"/>
      <c r="O404" s="681"/>
      <c r="P404" s="681"/>
      <c r="Q404" s="681"/>
      <c r="R404" s="681"/>
    </row>
    <row r="405" spans="1:18" s="369" customFormat="1" ht="16.350000000000001" customHeight="1">
      <c r="C405" s="455"/>
      <c r="D405" s="455"/>
      <c r="E405" s="707"/>
      <c r="G405" s="681"/>
      <c r="H405" s="681"/>
      <c r="I405" s="682"/>
      <c r="J405" s="681"/>
      <c r="K405" s="681"/>
      <c r="L405" s="681"/>
      <c r="M405" s="681"/>
      <c r="N405" s="681"/>
      <c r="O405" s="681"/>
      <c r="P405" s="681"/>
      <c r="Q405" s="681"/>
      <c r="R405" s="681"/>
    </row>
    <row r="406" spans="1:18" s="369" customFormat="1" ht="16.350000000000001" customHeight="1">
      <c r="C406" s="455"/>
      <c r="D406" s="455"/>
      <c r="E406" s="707"/>
      <c r="G406" s="681"/>
      <c r="H406" s="681"/>
      <c r="I406" s="682"/>
      <c r="J406" s="681"/>
      <c r="K406" s="681"/>
      <c r="L406" s="681"/>
      <c r="M406" s="681"/>
      <c r="N406" s="681"/>
      <c r="O406" s="681"/>
      <c r="P406" s="681"/>
      <c r="Q406" s="681"/>
      <c r="R406" s="681"/>
    </row>
    <row r="407" spans="1:18" s="369" customFormat="1" ht="16.350000000000001" customHeight="1">
      <c r="C407" s="455"/>
      <c r="D407" s="455"/>
      <c r="E407" s="707"/>
      <c r="G407" s="681"/>
      <c r="H407" s="681"/>
      <c r="I407" s="682"/>
      <c r="J407" s="681"/>
      <c r="K407" s="681"/>
      <c r="L407" s="681"/>
      <c r="M407" s="681"/>
      <c r="N407" s="681"/>
      <c r="O407" s="681"/>
      <c r="P407" s="681"/>
      <c r="Q407" s="681"/>
      <c r="R407" s="681"/>
    </row>
    <row r="408" spans="1:18" s="369" customFormat="1" ht="16.350000000000001" customHeight="1">
      <c r="C408" s="455"/>
      <c r="D408" s="455"/>
      <c r="E408" s="707"/>
      <c r="G408" s="681"/>
      <c r="H408" s="681"/>
      <c r="I408" s="682"/>
      <c r="J408" s="681"/>
      <c r="K408" s="681"/>
      <c r="L408" s="681"/>
      <c r="M408" s="681"/>
      <c r="N408" s="681"/>
      <c r="O408" s="681"/>
      <c r="P408" s="681"/>
      <c r="Q408" s="681"/>
      <c r="R408" s="681"/>
    </row>
    <row r="409" spans="1:18" s="369" customFormat="1" ht="16.350000000000001" customHeight="1">
      <c r="C409" s="455"/>
      <c r="D409" s="455"/>
      <c r="E409" s="707"/>
      <c r="G409" s="681"/>
      <c r="H409" s="681"/>
      <c r="I409" s="682"/>
      <c r="J409" s="681"/>
      <c r="K409" s="681"/>
      <c r="L409" s="681"/>
      <c r="M409" s="681"/>
      <c r="N409" s="681"/>
      <c r="O409" s="681"/>
      <c r="P409" s="681"/>
      <c r="Q409" s="681"/>
      <c r="R409" s="681"/>
    </row>
    <row r="410" spans="1:18" s="369" customFormat="1" ht="16.350000000000001" customHeight="1">
      <c r="C410" s="455"/>
      <c r="D410" s="455"/>
      <c r="E410" s="707"/>
      <c r="G410" s="681"/>
      <c r="H410" s="681"/>
      <c r="I410" s="682"/>
      <c r="J410" s="681"/>
      <c r="K410" s="681"/>
      <c r="L410" s="681"/>
      <c r="M410" s="681"/>
      <c r="N410" s="681"/>
      <c r="O410" s="681"/>
      <c r="P410" s="681"/>
      <c r="Q410" s="681"/>
      <c r="R410" s="681"/>
    </row>
    <row r="411" spans="1:18" s="369" customFormat="1" ht="16.350000000000001" customHeight="1">
      <c r="C411" s="455"/>
      <c r="D411" s="455"/>
      <c r="E411" s="707"/>
      <c r="G411" s="681"/>
      <c r="H411" s="681"/>
      <c r="I411" s="682"/>
      <c r="J411" s="681"/>
      <c r="K411" s="681"/>
      <c r="L411" s="681"/>
      <c r="M411" s="681"/>
      <c r="N411" s="681"/>
      <c r="O411" s="681"/>
      <c r="P411" s="681"/>
      <c r="Q411" s="681"/>
      <c r="R411" s="681"/>
    </row>
    <row r="412" spans="1:18" s="369" customFormat="1" ht="16.350000000000001" customHeight="1">
      <c r="C412" s="455"/>
      <c r="D412" s="455"/>
      <c r="E412" s="707"/>
      <c r="G412" s="681"/>
      <c r="H412" s="681"/>
      <c r="I412" s="682"/>
      <c r="J412" s="681"/>
      <c r="K412" s="681"/>
      <c r="L412" s="681"/>
      <c r="M412" s="681"/>
      <c r="N412" s="681"/>
      <c r="O412" s="681"/>
      <c r="P412" s="681"/>
      <c r="Q412" s="681"/>
      <c r="R412" s="681"/>
    </row>
    <row r="413" spans="1:18" s="369" customFormat="1" ht="16.350000000000001" customHeight="1">
      <c r="C413" s="455"/>
      <c r="D413" s="455"/>
      <c r="E413" s="707"/>
      <c r="G413" s="681"/>
      <c r="H413" s="681"/>
      <c r="I413" s="682"/>
      <c r="J413" s="681"/>
      <c r="K413" s="681"/>
      <c r="L413" s="681"/>
      <c r="M413" s="681"/>
      <c r="N413" s="681"/>
      <c r="O413" s="681"/>
      <c r="P413" s="681"/>
      <c r="Q413" s="681"/>
      <c r="R413" s="681"/>
    </row>
    <row r="414" spans="1:18" s="369" customFormat="1" ht="16.350000000000001" customHeight="1">
      <c r="A414" s="1046" t="s">
        <v>792</v>
      </c>
      <c r="B414" s="1047"/>
      <c r="C414" s="1037" t="s">
        <v>863</v>
      </c>
      <c r="D414" s="1037"/>
      <c r="E414" s="750" t="s">
        <v>794</v>
      </c>
      <c r="G414" s="681"/>
      <c r="H414" s="681"/>
      <c r="I414" s="682"/>
      <c r="J414" s="681"/>
      <c r="K414" s="681"/>
      <c r="L414" s="681"/>
      <c r="M414" s="681"/>
      <c r="N414" s="681"/>
      <c r="O414" s="681"/>
      <c r="P414" s="681"/>
      <c r="Q414" s="681"/>
      <c r="R414" s="681"/>
    </row>
    <row r="415" spans="1:18" ht="9.75" customHeight="1">
      <c r="A415" s="163"/>
      <c r="B415" s="163"/>
      <c r="C415" s="163"/>
      <c r="D415" s="163"/>
      <c r="E415" s="629"/>
      <c r="F415" s="258"/>
      <c r="H415" s="673"/>
      <c r="I415" s="673"/>
    </row>
    <row r="416" spans="1:18" s="462" customFormat="1" ht="12">
      <c r="A416" s="458"/>
      <c r="B416" s="459" t="s">
        <v>864</v>
      </c>
      <c r="C416" s="460" t="s">
        <v>798</v>
      </c>
      <c r="D416" s="460" t="s">
        <v>799</v>
      </c>
      <c r="E416" s="628"/>
      <c r="F416" s="461"/>
      <c r="G416" s="674"/>
      <c r="H416" s="675" t="s">
        <v>800</v>
      </c>
      <c r="I416" s="675"/>
      <c r="J416" s="674" t="s">
        <v>802</v>
      </c>
      <c r="K416" s="674" t="s">
        <v>865</v>
      </c>
      <c r="L416" s="674"/>
      <c r="M416" s="674"/>
      <c r="N416" s="674"/>
      <c r="O416" s="674"/>
      <c r="P416" s="674"/>
      <c r="Q416" s="674"/>
      <c r="R416" s="674"/>
    </row>
    <row r="417" spans="1:18" ht="27.6" customHeight="1">
      <c r="A417" s="163"/>
      <c r="B417" s="441" t="s">
        <v>430</v>
      </c>
      <c r="C417" s="743" t="str">
        <f>AOP!B35</f>
        <v>Which best describes checks on the boundary integrity for the system's pressure zone(s)?</v>
      </c>
      <c r="D417" s="264" t="s">
        <v>460</v>
      </c>
      <c r="E417" s="628" t="str">
        <f t="shared" ref="E417:E421" si="25">IFERROR(IF(OR($D$422=10,NOT(ISNUMBER($D$422))),"",IF(I417=$I$422,"Limiting","")),"")</f>
        <v/>
      </c>
      <c r="F417" s="258"/>
      <c r="G417" s="683">
        <f t="shared" ref="G417:G421" si="26">IF(LEN(D417)&gt;0,1,0)</f>
        <v>1</v>
      </c>
      <c r="H417" s="677">
        <f>VLOOKUP('Interactive Data Grading'!D417,AOP!$C$6:$H$17,6,FALSE)</f>
        <v>10</v>
      </c>
      <c r="I417" s="677">
        <f>H417</f>
        <v>10</v>
      </c>
      <c r="K417" s="707" t="str">
        <f>IFERROR(IF(OR($D$422=10,NOT(ISNUMBER($D$422))),"",IF(I417=$I$422,"Limiting","")),"")</f>
        <v/>
      </c>
    </row>
    <row r="418" spans="1:18" ht="27.6" customHeight="1">
      <c r="A418" s="163"/>
      <c r="B418" s="441" t="s">
        <v>431</v>
      </c>
      <c r="C418" s="743" t="str">
        <f>AOP!B36</f>
        <v>Which best describes how one-time pressure readings (i.e. from hydrants) are collected?</v>
      </c>
      <c r="D418" s="264" t="s">
        <v>456</v>
      </c>
      <c r="E418" s="628" t="str">
        <f t="shared" si="25"/>
        <v/>
      </c>
      <c r="F418" s="258"/>
      <c r="G418" s="683">
        <f t="shared" si="26"/>
        <v>1</v>
      </c>
      <c r="H418" s="678">
        <f>VLOOKUP('Interactive Data Grading'!D418,AOP!$D$6:$H$17,5,FALSE)</f>
        <v>10</v>
      </c>
      <c r="I418" s="678">
        <f>IF(H419=10,10,H418)</f>
        <v>10</v>
      </c>
      <c r="J418" s="686" t="s">
        <v>461</v>
      </c>
      <c r="K418" s="707" t="str">
        <f t="shared" ref="K418:K421" si="27">IFERROR(IF(OR($D$422=10,NOT(ISNUMBER($D$422))),"",IF(I418=$I$422,"Limiting","")),"")</f>
        <v/>
      </c>
    </row>
    <row r="419" spans="1:18" ht="27.6" customHeight="1">
      <c r="A419" s="163"/>
      <c r="B419" s="441" t="s">
        <v>432</v>
      </c>
      <c r="C419" s="743" t="str">
        <f>AOP!B37</f>
        <v>Which best describes where continuous pressure data (via temporary data loggers or permanent telemetry) is collected?</v>
      </c>
      <c r="D419" s="264" t="s">
        <v>450</v>
      </c>
      <c r="E419" s="628" t="str">
        <f t="shared" si="25"/>
        <v>Limiting</v>
      </c>
      <c r="F419" s="258"/>
      <c r="G419" s="683">
        <f t="shared" si="26"/>
        <v>1</v>
      </c>
      <c r="H419" s="677">
        <f>VLOOKUP('Interactive Data Grading'!D419,AOP!$E$6:$H$17,4,FALSE)</f>
        <v>8</v>
      </c>
      <c r="I419" s="678">
        <f>H419</f>
        <v>8</v>
      </c>
      <c r="K419" s="707" t="str">
        <f>IFERROR(IF(OR($D$422=10,NOT(ISNUMBER($D$422))),"",IF(I419=$I$422,"Limiting","")),"")</f>
        <v>Limiting</v>
      </c>
    </row>
    <row r="420" spans="1:18" ht="27.6" customHeight="1">
      <c r="A420" s="163"/>
      <c r="B420" s="441" t="s">
        <v>866</v>
      </c>
      <c r="C420" s="743" t="str">
        <f>AOP!B38</f>
        <v xml:space="preserve">
Which best describes how continuous pressure data is collected?</v>
      </c>
      <c r="D420" s="264" t="s">
        <v>458</v>
      </c>
      <c r="E420" s="628" t="str">
        <f t="shared" si="25"/>
        <v/>
      </c>
      <c r="F420" s="258"/>
      <c r="G420" s="683">
        <f>IF(OR(LEN(D420)&gt;0,D419=AOP!E23),1,0)</f>
        <v>1</v>
      </c>
      <c r="H420" s="677">
        <f>VLOOKUP('Interactive Data Grading'!D420,AOP!$F$6:$H$17,3,FALSE)</f>
        <v>10</v>
      </c>
      <c r="I420" s="677">
        <f>IF(D419=AOP!E23,X,H420)</f>
        <v>10</v>
      </c>
      <c r="J420" s="669" t="s">
        <v>867</v>
      </c>
      <c r="K420" s="707" t="str">
        <f t="shared" si="27"/>
        <v/>
      </c>
    </row>
    <row r="421" spans="1:18" ht="27.6" customHeight="1">
      <c r="A421" s="163"/>
      <c r="B421" s="441" t="s">
        <v>434</v>
      </c>
      <c r="C421" s="743" t="str">
        <f>AOP!B39</f>
        <v>How was the input derived?</v>
      </c>
      <c r="D421" s="264" t="s">
        <v>459</v>
      </c>
      <c r="E421" s="628" t="str">
        <f t="shared" si="25"/>
        <v/>
      </c>
      <c r="F421" s="258"/>
      <c r="G421" s="683">
        <f t="shared" si="26"/>
        <v>1</v>
      </c>
      <c r="H421" s="677">
        <f>VLOOKUP('Interactive Data Grading'!D421,AOP!$G$6:$H$17,2,FALSE)</f>
        <v>10</v>
      </c>
      <c r="I421" s="677">
        <f>H421</f>
        <v>10</v>
      </c>
      <c r="K421" s="707" t="str">
        <f t="shared" si="27"/>
        <v/>
      </c>
    </row>
    <row r="422" spans="1:18" ht="27.6" customHeight="1">
      <c r="A422" s="163"/>
      <c r="B422" s="163"/>
      <c r="C422" s="259" t="s">
        <v>808</v>
      </c>
      <c r="D422" s="631">
        <f>IF(G422&lt;1,"",I422)</f>
        <v>8</v>
      </c>
      <c r="E422" s="628"/>
      <c r="F422" s="258"/>
      <c r="G422" s="685">
        <f>MIN(G417:G421)</f>
        <v>1</v>
      </c>
      <c r="H422" s="680">
        <f>MIN(H417:H421)</f>
        <v>8</v>
      </c>
      <c r="I422" s="680">
        <f t="array" ref="I422">MIN(IF(ISNUMBER(I417:I421),I417:I421))</f>
        <v>8</v>
      </c>
    </row>
    <row r="423" spans="1:18" s="369" customFormat="1" ht="16.350000000000001" customHeight="1">
      <c r="C423" s="455"/>
      <c r="D423" s="455"/>
      <c r="E423" s="707"/>
      <c r="G423" s="681"/>
      <c r="H423" s="681"/>
      <c r="I423" s="682"/>
      <c r="J423" s="681"/>
      <c r="K423" s="681"/>
      <c r="L423" s="681"/>
      <c r="M423" s="681"/>
      <c r="N423" s="681"/>
      <c r="O423" s="681"/>
      <c r="P423" s="681"/>
      <c r="Q423" s="681"/>
      <c r="R423" s="681"/>
    </row>
    <row r="424" spans="1:18" s="369" customFormat="1" ht="16.350000000000001" customHeight="1">
      <c r="C424" s="455"/>
      <c r="D424" s="455"/>
      <c r="E424" s="707"/>
      <c r="G424" s="681"/>
      <c r="H424" s="681"/>
      <c r="I424" s="682"/>
      <c r="J424" s="681"/>
      <c r="K424" s="681"/>
      <c r="L424" s="681"/>
      <c r="M424" s="681"/>
      <c r="N424" s="681"/>
      <c r="O424" s="681"/>
      <c r="P424" s="681"/>
      <c r="Q424" s="681"/>
      <c r="R424" s="681"/>
    </row>
    <row r="425" spans="1:18" s="369" customFormat="1" ht="16.350000000000001" customHeight="1">
      <c r="C425" s="455"/>
      <c r="D425" s="455"/>
      <c r="G425" s="681"/>
      <c r="H425" s="681"/>
      <c r="I425" s="682"/>
      <c r="J425" s="681"/>
      <c r="K425" s="681"/>
      <c r="L425" s="681"/>
      <c r="M425" s="681"/>
      <c r="N425" s="681"/>
      <c r="O425" s="681"/>
      <c r="P425" s="681"/>
      <c r="Q425" s="681"/>
      <c r="R425" s="681"/>
    </row>
    <row r="426" spans="1:18" s="369" customFormat="1" ht="16.350000000000001" customHeight="1">
      <c r="C426" s="455"/>
      <c r="D426" s="455"/>
      <c r="E426" s="707"/>
      <c r="G426" s="681"/>
      <c r="H426" s="681"/>
      <c r="I426" s="682"/>
      <c r="J426" s="681"/>
      <c r="K426" s="681"/>
      <c r="L426" s="681"/>
      <c r="M426" s="681"/>
      <c r="N426" s="681"/>
      <c r="O426" s="681"/>
      <c r="P426" s="681"/>
      <c r="Q426" s="681"/>
      <c r="R426" s="681"/>
    </row>
    <row r="427" spans="1:18" s="369" customFormat="1" ht="16.350000000000001" customHeight="1">
      <c r="C427" s="455"/>
      <c r="D427" s="455"/>
      <c r="E427" s="707"/>
      <c r="G427" s="681"/>
      <c r="H427" s="681"/>
      <c r="I427" s="682"/>
      <c r="J427" s="681"/>
      <c r="K427" s="681"/>
      <c r="L427" s="681"/>
      <c r="M427" s="681"/>
      <c r="N427" s="681"/>
      <c r="O427" s="681"/>
      <c r="P427" s="681"/>
      <c r="Q427" s="681"/>
      <c r="R427" s="681"/>
    </row>
    <row r="428" spans="1:18" s="369" customFormat="1" ht="16.350000000000001" customHeight="1">
      <c r="C428" s="455"/>
      <c r="D428" s="455"/>
      <c r="E428" s="707"/>
      <c r="G428" s="681"/>
      <c r="H428" s="681"/>
      <c r="I428" s="682"/>
      <c r="J428" s="681"/>
      <c r="K428" s="681"/>
      <c r="L428" s="681"/>
      <c r="M428" s="681"/>
      <c r="N428" s="681"/>
      <c r="O428" s="681"/>
      <c r="P428" s="681"/>
      <c r="Q428" s="681"/>
      <c r="R428" s="681"/>
    </row>
    <row r="429" spans="1:18" s="369" customFormat="1" ht="16.350000000000001" customHeight="1">
      <c r="C429" s="455"/>
      <c r="D429" s="455"/>
      <c r="E429" s="707"/>
      <c r="G429" s="681"/>
      <c r="H429" s="681"/>
      <c r="I429" s="682"/>
      <c r="J429" s="681"/>
      <c r="K429" s="681"/>
      <c r="L429" s="681"/>
      <c r="M429" s="681"/>
      <c r="N429" s="681"/>
      <c r="O429" s="681"/>
      <c r="P429" s="681"/>
      <c r="Q429" s="681"/>
      <c r="R429" s="681"/>
    </row>
    <row r="430" spans="1:18" s="369" customFormat="1" ht="16.350000000000001" customHeight="1">
      <c r="C430" s="455"/>
      <c r="D430" s="455"/>
      <c r="E430" s="707"/>
      <c r="G430" s="681"/>
      <c r="H430" s="681"/>
      <c r="I430" s="682"/>
      <c r="J430" s="681"/>
      <c r="K430" s="681"/>
      <c r="L430" s="681"/>
      <c r="M430" s="681"/>
      <c r="N430" s="681"/>
      <c r="O430" s="681"/>
      <c r="P430" s="681"/>
      <c r="Q430" s="681"/>
      <c r="R430" s="681"/>
    </row>
    <row r="431" spans="1:18" s="369" customFormat="1" ht="16.350000000000001" customHeight="1">
      <c r="C431" s="455"/>
      <c r="D431" s="455"/>
      <c r="E431" s="707"/>
      <c r="G431" s="681"/>
      <c r="H431" s="681"/>
      <c r="I431" s="682"/>
      <c r="J431" s="681"/>
      <c r="K431" s="681"/>
      <c r="L431" s="681"/>
      <c r="M431" s="681"/>
      <c r="N431" s="681"/>
      <c r="O431" s="681"/>
      <c r="P431" s="681"/>
      <c r="Q431" s="681"/>
      <c r="R431" s="681"/>
    </row>
    <row r="432" spans="1:18" s="369" customFormat="1" ht="16.350000000000001" customHeight="1">
      <c r="C432" s="455"/>
      <c r="D432" s="455"/>
      <c r="E432" s="707"/>
      <c r="G432" s="681"/>
      <c r="H432" s="681"/>
      <c r="I432" s="682"/>
      <c r="J432" s="681"/>
      <c r="K432" s="681"/>
      <c r="L432" s="681"/>
      <c r="M432" s="681"/>
      <c r="N432" s="681"/>
      <c r="O432" s="681"/>
      <c r="P432" s="681"/>
      <c r="Q432" s="681"/>
      <c r="R432" s="681"/>
    </row>
    <row r="433" spans="1:18" s="369" customFormat="1" ht="16.350000000000001" customHeight="1">
      <c r="C433" s="455"/>
      <c r="D433" s="455"/>
      <c r="E433" s="707"/>
      <c r="G433" s="681"/>
      <c r="H433" s="681"/>
      <c r="I433" s="682"/>
      <c r="J433" s="681"/>
      <c r="K433" s="681"/>
      <c r="L433" s="681"/>
      <c r="M433" s="681"/>
      <c r="N433" s="681"/>
      <c r="O433" s="681"/>
      <c r="P433" s="681"/>
      <c r="Q433" s="681"/>
      <c r="R433" s="681"/>
    </row>
    <row r="434" spans="1:18" s="369" customFormat="1" ht="16.350000000000001" customHeight="1">
      <c r="C434" s="455"/>
      <c r="D434" s="455"/>
      <c r="E434" s="707"/>
      <c r="G434" s="681"/>
      <c r="H434" s="681"/>
      <c r="I434" s="682"/>
      <c r="J434" s="681"/>
      <c r="K434" s="681"/>
      <c r="L434" s="681"/>
      <c r="M434" s="681"/>
      <c r="N434" s="681"/>
      <c r="O434" s="681"/>
      <c r="P434" s="681"/>
      <c r="Q434" s="681"/>
      <c r="R434" s="681"/>
    </row>
    <row r="435" spans="1:18" s="369" customFormat="1" ht="16.350000000000001" customHeight="1">
      <c r="C435" s="455"/>
      <c r="D435" s="455"/>
      <c r="E435" s="707"/>
      <c r="G435" s="681"/>
      <c r="H435" s="681"/>
      <c r="I435" s="682"/>
      <c r="J435" s="681"/>
      <c r="K435" s="681"/>
      <c r="L435" s="681"/>
      <c r="M435" s="681"/>
      <c r="N435" s="681"/>
      <c r="O435" s="681"/>
      <c r="P435" s="681"/>
      <c r="Q435" s="681"/>
      <c r="R435" s="681"/>
    </row>
    <row r="436" spans="1:18" s="369" customFormat="1" ht="16.350000000000001" customHeight="1">
      <c r="C436" s="455"/>
      <c r="D436" s="455"/>
      <c r="E436" s="707"/>
      <c r="G436" s="681"/>
      <c r="H436" s="681"/>
      <c r="I436" s="682"/>
      <c r="J436" s="681"/>
      <c r="K436" s="681"/>
      <c r="L436" s="681"/>
      <c r="M436" s="681"/>
      <c r="N436" s="681"/>
      <c r="O436" s="681"/>
      <c r="P436" s="681"/>
      <c r="Q436" s="681"/>
      <c r="R436" s="681"/>
    </row>
    <row r="437" spans="1:18" s="369" customFormat="1" ht="16.350000000000001" customHeight="1">
      <c r="C437" s="455"/>
      <c r="D437" s="455"/>
      <c r="E437" s="707"/>
      <c r="G437" s="681"/>
      <c r="H437" s="681"/>
      <c r="I437" s="682"/>
      <c r="J437" s="681"/>
      <c r="K437" s="681"/>
      <c r="L437" s="681"/>
      <c r="M437" s="681"/>
      <c r="N437" s="681"/>
      <c r="O437" s="681"/>
      <c r="P437" s="681"/>
      <c r="Q437" s="681"/>
      <c r="R437" s="681"/>
    </row>
    <row r="438" spans="1:18" s="369" customFormat="1" ht="16.350000000000001" customHeight="1">
      <c r="A438" s="1046" t="s">
        <v>792</v>
      </c>
      <c r="B438" s="1047"/>
      <c r="C438" s="1037" t="s">
        <v>868</v>
      </c>
      <c r="D438" s="1037"/>
      <c r="E438" s="750" t="s">
        <v>794</v>
      </c>
      <c r="G438" s="681"/>
      <c r="H438" s="681"/>
      <c r="I438" s="682"/>
      <c r="J438" s="681"/>
      <c r="K438" s="681"/>
      <c r="L438" s="681"/>
      <c r="M438" s="681"/>
      <c r="N438" s="681"/>
      <c r="O438" s="681"/>
      <c r="P438" s="681"/>
      <c r="Q438" s="681"/>
      <c r="R438" s="681"/>
    </row>
    <row r="439" spans="1:18" ht="12" customHeight="1">
      <c r="A439" s="163"/>
      <c r="B439" s="163"/>
      <c r="C439" s="1040" t="str">
        <f>IF(OR(AND(D441="Yes",Worksheet!H23&gt;0),AND(D441="No",Worksheet!H23&lt;=0),LEN(D441)=0),"","Inconsistency between Worksheet BMAC input and cruc.0 response")</f>
        <v/>
      </c>
      <c r="D439" s="1040"/>
      <c r="E439" s="629"/>
      <c r="F439" s="258"/>
      <c r="H439" s="673"/>
    </row>
    <row r="440" spans="1:18" s="462" customFormat="1" ht="12">
      <c r="A440" s="458"/>
      <c r="B440" s="459" t="s">
        <v>869</v>
      </c>
      <c r="C440" s="460" t="s">
        <v>798</v>
      </c>
      <c r="D440" s="460" t="s">
        <v>799</v>
      </c>
      <c r="E440" s="628"/>
      <c r="F440" s="461"/>
      <c r="G440" s="674"/>
      <c r="H440" s="675" t="s">
        <v>800</v>
      </c>
      <c r="I440" s="689"/>
      <c r="J440" s="674" t="s">
        <v>802</v>
      </c>
      <c r="K440" s="674"/>
      <c r="L440" s="674"/>
      <c r="M440" s="674"/>
      <c r="N440" s="674"/>
      <c r="O440" s="674"/>
      <c r="P440" s="674"/>
      <c r="Q440" s="674"/>
      <c r="R440" s="674"/>
    </row>
    <row r="441" spans="1:18" ht="27.6" customHeight="1">
      <c r="A441" s="163"/>
      <c r="B441" s="441" t="s">
        <v>870</v>
      </c>
      <c r="C441" s="743" t="str">
        <f>CRUC!B34</f>
        <v>Was any metered consumption billed on a volumetric basis in the audit period?</v>
      </c>
      <c r="D441" s="264" t="s">
        <v>62</v>
      </c>
      <c r="E441" s="628"/>
      <c r="F441" s="258"/>
      <c r="H441" s="677"/>
      <c r="I441" s="677"/>
      <c r="J441" s="690" t="s">
        <v>852</v>
      </c>
    </row>
    <row r="442" spans="1:18" ht="27.6" customHeight="1">
      <c r="A442" s="163"/>
      <c r="B442" s="441" t="s">
        <v>464</v>
      </c>
      <c r="C442" s="743" t="str">
        <f>CRUC!B35</f>
        <v>Which best describes the use and reliability of the current rate structure?</v>
      </c>
      <c r="D442" s="264" t="s">
        <v>477</v>
      </c>
      <c r="E442" s="628" t="str">
        <f>IF(OR($D$446=10,$D$446="n/a"),"",IFERROR(IF(H442=MIN($H$442:$H$445),"Limiting",""),""))</f>
        <v/>
      </c>
      <c r="F442" s="258"/>
      <c r="H442" s="677">
        <f>VLOOKUP('Interactive Data Grading'!D442,CRUC!$C$6:$G$17,5,FALSE)</f>
        <v>10</v>
      </c>
      <c r="I442" s="677"/>
      <c r="J442" s="690"/>
    </row>
    <row r="443" spans="1:18" ht="27.6" customHeight="1">
      <c r="A443" s="163"/>
      <c r="B443" s="441" t="s">
        <v>465</v>
      </c>
      <c r="C443" s="743" t="str">
        <f>CRUC!B36</f>
        <v>Choose the option that best describes how the input was derived</v>
      </c>
      <c r="D443" s="264" t="s">
        <v>479</v>
      </c>
      <c r="E443" s="628" t="str">
        <f>IF(OR($D$446=10,$D$446="n/a"),"",IFERROR(IF(H443=MIN($H$442:$H$445),"Limiting",""),""))</f>
        <v/>
      </c>
      <c r="F443" s="258"/>
      <c r="H443" s="677">
        <f>VLOOKUP('Interactive Data Grading'!D443,CRUC!$D$6:$G$17,4,FALSE)</f>
        <v>10</v>
      </c>
      <c r="I443" s="677"/>
    </row>
    <row r="444" spans="1:18" ht="27.6" customHeight="1">
      <c r="A444" s="163"/>
      <c r="B444" s="441" t="s">
        <v>466</v>
      </c>
      <c r="C444" s="743" t="str">
        <f>CRUC!B37</f>
        <v>Is there any additional volumetric revenue the utility receives that depends on water meter readings, such as sewer?</v>
      </c>
      <c r="D444" s="264" t="s">
        <v>480</v>
      </c>
      <c r="E444" s="628" t="str">
        <f>IF(OR($D$446=10,$D$446="n/a"),"",IFERROR(IF(H444=MIN($H$442:$H$445),"Limiting",""),""))</f>
        <v/>
      </c>
      <c r="F444" s="258"/>
      <c r="H444" s="677">
        <f>VLOOKUP('Interactive Data Grading'!D444,CRUC!$E$6:$G$17,3,FALSE)</f>
        <v>10</v>
      </c>
      <c r="I444" s="677"/>
    </row>
    <row r="445" spans="1:18" ht="27.6" customHeight="1">
      <c r="A445" s="163"/>
      <c r="B445" s="441" t="s">
        <v>467</v>
      </c>
      <c r="C445" s="743" t="str">
        <f>CRUC!B38</f>
        <v>Has the input derivation been reviewed by someone with expert knowledge in the M36 methodology?</v>
      </c>
      <c r="D445" s="264" t="s">
        <v>62</v>
      </c>
      <c r="E445" s="628" t="str">
        <f>IF(OR($D$446=10,$D$446="n/a"),"",IFERROR(IF(H445=MIN($H$442:$H$445),"Limiting",""),""))</f>
        <v/>
      </c>
      <c r="F445" s="258"/>
      <c r="H445" s="677">
        <f>VLOOKUP('Interactive Data Grading'!D445,CRUC!$F$6:$G$17,2,FALSE)</f>
        <v>10</v>
      </c>
      <c r="I445" s="678"/>
    </row>
    <row r="446" spans="1:18" ht="27.6" customHeight="1">
      <c r="A446" s="163"/>
      <c r="B446" s="163"/>
      <c r="C446" s="259" t="s">
        <v>808</v>
      </c>
      <c r="D446" s="631">
        <f>IF(D441="No","n/a",IF(ISNA(H446),"",H446))</f>
        <v>10</v>
      </c>
      <c r="E446" s="628"/>
      <c r="F446" s="258"/>
      <c r="H446" s="680">
        <f>MIN(H442:H445)</f>
        <v>10</v>
      </c>
      <c r="I446" s="677"/>
    </row>
    <row r="447" spans="1:18" s="369" customFormat="1" ht="16.350000000000001" customHeight="1">
      <c r="C447" s="455"/>
      <c r="D447" s="455"/>
      <c r="E447" s="707"/>
      <c r="G447" s="681"/>
      <c r="H447" s="691"/>
      <c r="I447" s="682"/>
      <c r="J447" s="681"/>
      <c r="K447" s="681"/>
      <c r="L447" s="681"/>
      <c r="M447" s="681"/>
      <c r="N447" s="681"/>
      <c r="O447" s="681"/>
      <c r="P447" s="681"/>
      <c r="Q447" s="681"/>
      <c r="R447" s="681"/>
    </row>
    <row r="448" spans="1:18" s="369" customFormat="1" ht="16.350000000000001" customHeight="1">
      <c r="C448" s="455"/>
      <c r="D448" s="455"/>
      <c r="E448" s="707"/>
      <c r="G448" s="681"/>
      <c r="H448" s="691"/>
      <c r="I448" s="682"/>
      <c r="J448" s="681"/>
      <c r="K448" s="681"/>
      <c r="L448" s="681"/>
      <c r="M448" s="681"/>
      <c r="N448" s="681"/>
      <c r="O448" s="681"/>
      <c r="P448" s="681"/>
      <c r="Q448" s="681"/>
      <c r="R448" s="681"/>
    </row>
    <row r="449" spans="1:18" s="369" customFormat="1" ht="16.350000000000001" customHeight="1">
      <c r="C449" s="455"/>
      <c r="D449" s="455"/>
      <c r="E449" s="707"/>
      <c r="G449" s="681"/>
      <c r="H449" s="691"/>
      <c r="I449" s="682"/>
      <c r="J449" s="681"/>
      <c r="K449" s="681"/>
      <c r="L449" s="681"/>
      <c r="M449" s="681"/>
      <c r="N449" s="681"/>
      <c r="O449" s="681"/>
      <c r="P449" s="681"/>
      <c r="Q449" s="681"/>
      <c r="R449" s="681"/>
    </row>
    <row r="450" spans="1:18" s="369" customFormat="1" ht="16.350000000000001" customHeight="1">
      <c r="C450" s="455"/>
      <c r="D450" s="455"/>
      <c r="E450" s="707"/>
      <c r="G450" s="681"/>
      <c r="H450" s="691"/>
      <c r="I450" s="682"/>
      <c r="J450" s="681"/>
      <c r="K450" s="681"/>
      <c r="L450" s="681"/>
      <c r="M450" s="681"/>
      <c r="N450" s="681"/>
      <c r="O450" s="681"/>
      <c r="P450" s="681"/>
      <c r="Q450" s="681"/>
      <c r="R450" s="681"/>
    </row>
    <row r="451" spans="1:18" s="369" customFormat="1" ht="16.350000000000001" customHeight="1">
      <c r="C451" s="455"/>
      <c r="D451" s="455"/>
      <c r="E451" s="707"/>
      <c r="G451" s="681"/>
      <c r="H451" s="691"/>
      <c r="I451" s="682"/>
      <c r="J451" s="681"/>
      <c r="K451" s="681"/>
      <c r="L451" s="681"/>
      <c r="M451" s="681"/>
      <c r="N451" s="681"/>
      <c r="O451" s="681"/>
      <c r="P451" s="681"/>
      <c r="Q451" s="681"/>
      <c r="R451" s="681"/>
    </row>
    <row r="452" spans="1:18" s="369" customFormat="1" ht="16.350000000000001" customHeight="1">
      <c r="C452" s="455"/>
      <c r="D452" s="455"/>
      <c r="E452" s="707"/>
      <c r="G452" s="681"/>
      <c r="H452" s="691"/>
      <c r="I452" s="682"/>
      <c r="J452" s="681"/>
      <c r="K452" s="681"/>
      <c r="L452" s="681"/>
      <c r="M452" s="681"/>
      <c r="N452" s="681"/>
      <c r="O452" s="681"/>
      <c r="P452" s="681"/>
      <c r="Q452" s="681"/>
      <c r="R452" s="681"/>
    </row>
    <row r="453" spans="1:18" s="369" customFormat="1" ht="16.350000000000001" customHeight="1">
      <c r="C453" s="455"/>
      <c r="D453" s="455"/>
      <c r="E453" s="707"/>
      <c r="G453" s="681"/>
      <c r="H453" s="691"/>
      <c r="I453" s="682"/>
      <c r="J453" s="681"/>
      <c r="K453" s="681"/>
      <c r="L453" s="681"/>
      <c r="M453" s="681"/>
      <c r="N453" s="681"/>
      <c r="O453" s="681"/>
      <c r="P453" s="681"/>
      <c r="Q453" s="681"/>
      <c r="R453" s="681"/>
    </row>
    <row r="454" spans="1:18" s="369" customFormat="1" ht="16.350000000000001" customHeight="1">
      <c r="C454" s="455"/>
      <c r="D454" s="455"/>
      <c r="E454" s="707"/>
      <c r="G454" s="681"/>
      <c r="H454" s="691"/>
      <c r="I454" s="682"/>
      <c r="J454" s="681"/>
      <c r="K454" s="681"/>
      <c r="L454" s="681"/>
      <c r="M454" s="681"/>
      <c r="N454" s="681"/>
      <c r="O454" s="681"/>
      <c r="P454" s="681"/>
      <c r="Q454" s="681"/>
      <c r="R454" s="681"/>
    </row>
    <row r="455" spans="1:18" s="369" customFormat="1" ht="16.350000000000001" customHeight="1">
      <c r="C455" s="455"/>
      <c r="D455" s="455"/>
      <c r="E455" s="707"/>
      <c r="G455" s="681"/>
      <c r="H455" s="691"/>
      <c r="I455" s="682"/>
      <c r="J455" s="681"/>
      <c r="K455" s="681"/>
      <c r="L455" s="681"/>
      <c r="M455" s="681"/>
      <c r="N455" s="681"/>
      <c r="O455" s="681"/>
      <c r="P455" s="681"/>
      <c r="Q455" s="681"/>
      <c r="R455" s="681"/>
    </row>
    <row r="456" spans="1:18" s="369" customFormat="1" ht="16.350000000000001" customHeight="1">
      <c r="C456" s="455"/>
      <c r="D456" s="455"/>
      <c r="E456" s="707"/>
      <c r="G456" s="681"/>
      <c r="H456" s="691"/>
      <c r="I456" s="682"/>
      <c r="J456" s="681"/>
      <c r="K456" s="681"/>
      <c r="L456" s="681"/>
      <c r="M456" s="681"/>
      <c r="N456" s="681"/>
      <c r="O456" s="681"/>
      <c r="P456" s="681"/>
      <c r="Q456" s="681"/>
      <c r="R456" s="681"/>
    </row>
    <row r="457" spans="1:18" s="369" customFormat="1" ht="16.350000000000001" customHeight="1">
      <c r="C457" s="455"/>
      <c r="D457" s="455"/>
      <c r="E457" s="707"/>
      <c r="G457" s="681"/>
      <c r="H457" s="691"/>
      <c r="I457" s="682"/>
      <c r="J457" s="681"/>
      <c r="K457" s="681"/>
      <c r="L457" s="681"/>
      <c r="M457" s="681"/>
      <c r="N457" s="681"/>
      <c r="O457" s="681"/>
      <c r="P457" s="681"/>
      <c r="Q457" s="681"/>
      <c r="R457" s="681"/>
    </row>
    <row r="458" spans="1:18" s="369" customFormat="1" ht="16.350000000000001" customHeight="1">
      <c r="C458" s="455"/>
      <c r="D458" s="455"/>
      <c r="E458" s="707"/>
      <c r="G458" s="681"/>
      <c r="H458" s="691"/>
      <c r="I458" s="682"/>
      <c r="J458" s="681"/>
      <c r="K458" s="681"/>
      <c r="L458" s="681"/>
      <c r="M458" s="681"/>
      <c r="N458" s="681"/>
      <c r="O458" s="681"/>
      <c r="P458" s="681"/>
      <c r="Q458" s="681"/>
      <c r="R458" s="681"/>
    </row>
    <row r="459" spans="1:18" s="369" customFormat="1" ht="16.350000000000001" customHeight="1">
      <c r="C459" s="455"/>
      <c r="D459" s="455"/>
      <c r="E459" s="707"/>
      <c r="G459" s="681"/>
      <c r="H459" s="691"/>
      <c r="I459" s="682"/>
      <c r="J459" s="681"/>
      <c r="K459" s="681"/>
      <c r="L459" s="681"/>
      <c r="M459" s="681"/>
      <c r="N459" s="681"/>
      <c r="O459" s="681"/>
      <c r="P459" s="681"/>
      <c r="Q459" s="681"/>
      <c r="R459" s="681"/>
    </row>
    <row r="460" spans="1:18" s="369" customFormat="1" ht="16.350000000000001" customHeight="1">
      <c r="C460" s="455"/>
      <c r="D460" s="455"/>
      <c r="E460" s="707"/>
      <c r="G460" s="681"/>
      <c r="H460" s="691"/>
      <c r="I460" s="682"/>
      <c r="J460" s="681"/>
      <c r="K460" s="681"/>
      <c r="L460" s="681"/>
      <c r="M460" s="681"/>
      <c r="N460" s="681"/>
      <c r="O460" s="681"/>
      <c r="P460" s="681"/>
      <c r="Q460" s="681"/>
      <c r="R460" s="681"/>
    </row>
    <row r="461" spans="1:18" s="369" customFormat="1" ht="16.350000000000001" customHeight="1">
      <c r="C461" s="455"/>
      <c r="D461" s="455"/>
      <c r="E461" s="707"/>
      <c r="G461" s="681"/>
      <c r="H461" s="691"/>
      <c r="I461" s="682"/>
      <c r="J461" s="681"/>
      <c r="K461" s="681"/>
      <c r="L461" s="681"/>
      <c r="M461" s="681"/>
      <c r="N461" s="681"/>
      <c r="O461" s="681"/>
      <c r="P461" s="681"/>
      <c r="Q461" s="681"/>
      <c r="R461" s="681"/>
    </row>
    <row r="462" spans="1:18" s="369" customFormat="1" ht="16.350000000000001" customHeight="1">
      <c r="A462" s="1046" t="s">
        <v>792</v>
      </c>
      <c r="B462" s="1047"/>
      <c r="C462" s="1037" t="s">
        <v>871</v>
      </c>
      <c r="D462" s="1037"/>
      <c r="E462" s="750" t="s">
        <v>794</v>
      </c>
      <c r="G462" s="681"/>
      <c r="H462" s="691"/>
      <c r="I462" s="682"/>
      <c r="J462" s="681"/>
      <c r="K462" s="681"/>
      <c r="L462" s="681"/>
      <c r="M462" s="681"/>
      <c r="N462" s="681"/>
      <c r="O462" s="681"/>
      <c r="P462" s="681"/>
      <c r="Q462" s="681"/>
      <c r="R462" s="681"/>
    </row>
    <row r="463" spans="1:18" ht="3.6" customHeight="1">
      <c r="A463" s="163"/>
      <c r="B463" s="163"/>
      <c r="C463" s="163"/>
      <c r="D463" s="163"/>
      <c r="E463" s="629"/>
      <c r="F463" s="258"/>
      <c r="H463" s="673"/>
      <c r="I463" s="673"/>
    </row>
    <row r="464" spans="1:18" s="462" customFormat="1" ht="12">
      <c r="A464" s="458"/>
      <c r="B464" s="459" t="s">
        <v>872</v>
      </c>
      <c r="C464" s="460" t="s">
        <v>798</v>
      </c>
      <c r="D464" s="460" t="s">
        <v>799</v>
      </c>
      <c r="E464" s="628"/>
      <c r="F464" s="461"/>
      <c r="G464" s="674"/>
      <c r="H464" s="675" t="s">
        <v>800</v>
      </c>
      <c r="I464" s="675" t="s">
        <v>801</v>
      </c>
      <c r="J464" s="674"/>
      <c r="K464" s="674"/>
      <c r="L464" s="674"/>
      <c r="M464" s="674"/>
      <c r="N464" s="674"/>
      <c r="O464" s="674"/>
      <c r="P464" s="674"/>
      <c r="Q464" s="674"/>
      <c r="R464" s="674"/>
    </row>
    <row r="465" spans="1:10" ht="12.75" customHeight="1">
      <c r="A465" s="163"/>
      <c r="B465" s="441" t="s">
        <v>482</v>
      </c>
      <c r="C465" s="746" t="str">
        <f>VPC!B35</f>
        <v>Choose the option that best describes how the input was derived</v>
      </c>
      <c r="D465" s="868" t="s">
        <v>494</v>
      </c>
      <c r="E465" s="628" t="str">
        <f>IF($D$469=10,"",IFERROR(IF(H465=MIN($H$465:$H$468),"Limiting",""),""))</f>
        <v/>
      </c>
      <c r="F465" s="258"/>
      <c r="H465" s="677">
        <f>VLOOKUP('Interactive Data Grading'!D465,VPC!$C$6:$G$18,5,FALSE)</f>
        <v>10</v>
      </c>
      <c r="I465" s="678">
        <f>H465</f>
        <v>10</v>
      </c>
      <c r="J465" s="690" t="s">
        <v>873</v>
      </c>
    </row>
    <row r="466" spans="1:10" ht="133.15" customHeight="1">
      <c r="A466" s="163"/>
      <c r="B466" s="442" t="s">
        <v>483</v>
      </c>
      <c r="C466" s="746"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264" t="s">
        <v>495</v>
      </c>
      <c r="E466" s="628" t="str">
        <f>IFERROR(IF(OR($D$469=10,$D$465=VPC!$C$18),"",IF(H466=MIN($H$465:$H$468),"Limiting","")),"")</f>
        <v/>
      </c>
      <c r="F466" s="258"/>
      <c r="H466" s="684">
        <f>VLOOKUP('Interactive Data Grading'!D466,VPC!$D$6:$G$18,4,FALSE)</f>
        <v>10</v>
      </c>
      <c r="I466" s="684">
        <f>H466</f>
        <v>10</v>
      </c>
    </row>
    <row r="467" spans="1:10" ht="200.45" customHeight="1">
      <c r="A467" s="163"/>
      <c r="B467" s="442" t="s">
        <v>484</v>
      </c>
      <c r="C467" s="746"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264" t="s">
        <v>496</v>
      </c>
      <c r="E467" s="628" t="str">
        <f>IFERROR(IF(OR($D$469=10,$D$465=VPC!$C$18),"",IF(H467=MIN($H$465:$H$468),"Limiting","")),"")</f>
        <v/>
      </c>
      <c r="F467" s="258"/>
      <c r="H467" s="684">
        <f>VLOOKUP('Interactive Data Grading'!D467,VPC!$E$6:$G$18,3,FALSE)</f>
        <v>10</v>
      </c>
      <c r="I467" s="692">
        <f>IF(D465=VPC!C17,10,'Interactive Data Grading'!H467)</f>
        <v>10</v>
      </c>
    </row>
    <row r="468" spans="1:10" ht="27.6" customHeight="1">
      <c r="A468" s="163"/>
      <c r="B468" s="442" t="s">
        <v>485</v>
      </c>
      <c r="C468" s="746" t="str">
        <f>VPC!B38</f>
        <v>Has the input derivation been reviewed by someone with expert knowledge in the M36 methodology?</v>
      </c>
      <c r="D468" s="264" t="s">
        <v>62</v>
      </c>
      <c r="E468" s="628" t="str">
        <f>IFERROR(IF(OR($D$469=10,$D$465=VPC!$C$18),"",IF(H468=MIN($H$465:$H$468),"Limiting","")),"")</f>
        <v/>
      </c>
      <c r="F468" s="258"/>
      <c r="H468" s="677">
        <f>VLOOKUP('Interactive Data Grading'!D468,VPC!$F$6:$G$18,2,FALSE)</f>
        <v>10</v>
      </c>
      <c r="I468" s="677">
        <f>H468</f>
        <v>10</v>
      </c>
    </row>
    <row r="469" spans="1:10" ht="14.1" customHeight="1">
      <c r="A469" s="163"/>
      <c r="B469" s="163"/>
      <c r="C469" s="259" t="s">
        <v>808</v>
      </c>
      <c r="D469" s="631">
        <f>IFERROR(IF(D465=VPC!C18,'Interactive Data Grading'!D446,I469),"")</f>
        <v>10</v>
      </c>
      <c r="E469" s="628"/>
      <c r="F469" s="258"/>
      <c r="H469" s="680">
        <f>MIN(H465:H468)</f>
        <v>10</v>
      </c>
      <c r="I469" s="680">
        <f>MIN(I465:I468)</f>
        <v>10</v>
      </c>
    </row>
    <row r="470" spans="1:10" ht="9.75" customHeight="1">
      <c r="A470" s="163"/>
      <c r="B470" s="163"/>
      <c r="C470" s="163"/>
      <c r="D470" s="163"/>
      <c r="E470" s="751"/>
      <c r="F470" s="258"/>
      <c r="H470" s="673"/>
      <c r="I470" s="673"/>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27" activePane="bottomLeft" state="frozen"/>
      <selection pane="bottomLeft" activeCell="BB2" sqref="BB2"/>
    </sheetView>
  </sheetViews>
  <sheetFormatPr defaultColWidth="8.85546875" defaultRowHeight="0" customHeight="1" zeroHeight="1"/>
  <cols>
    <col min="1" max="1" width="1" style="51" customWidth="1"/>
    <col min="2" max="4" width="3.42578125" style="51" customWidth="1"/>
    <col min="5" max="5" width="3.42578125" style="715" customWidth="1"/>
    <col min="6" max="29" width="3.42578125" style="51" customWidth="1"/>
    <col min="30" max="30" width="4.140625" style="51" customWidth="1"/>
    <col min="31" max="33" width="3.42578125" style="51" customWidth="1"/>
    <col min="34" max="35" width="3.42578125" style="53" customWidth="1"/>
    <col min="36" max="48" width="3.42578125" style="51" customWidth="1"/>
    <col min="49" max="49" width="3.42578125" style="52" customWidth="1"/>
    <col min="50" max="54" width="3.42578125" style="51" customWidth="1"/>
    <col min="55" max="55" width="1.140625" style="54" customWidth="1"/>
    <col min="56" max="56" width="12.140625" style="50" hidden="1" customWidth="1"/>
    <col min="57" max="57" width="8.85546875" style="50" hidden="1" customWidth="1"/>
    <col min="58" max="58" width="10.42578125" style="50" hidden="1" customWidth="1"/>
    <col min="59" max="59" width="15.28515625" style="50" hidden="1" customWidth="1"/>
    <col min="60" max="60" width="28" style="50" hidden="1" customWidth="1"/>
    <col min="61" max="61" width="22" style="50" hidden="1" customWidth="1"/>
    <col min="62" max="62" width="33.42578125" style="50" hidden="1" customWidth="1"/>
    <col min="63" max="64" width="8.85546875" style="50" hidden="1" customWidth="1"/>
    <col min="65" max="66" width="8.85546875" style="534" hidden="1" customWidth="1"/>
    <col min="67" max="67" width="12" style="50" hidden="1" customWidth="1"/>
    <col min="68" max="68" width="8.85546875" style="50" hidden="1" customWidth="1"/>
    <col min="69" max="69" width="11.28515625" style="50" hidden="1" customWidth="1"/>
    <col min="70" max="70" width="15.5703125" style="50" hidden="1" customWidth="1"/>
    <col min="71" max="71" width="9.85546875" style="50" hidden="1" customWidth="1"/>
    <col min="72" max="72" width="8.85546875" style="50" hidden="1" customWidth="1"/>
    <col min="73" max="75" width="8.85546875" style="599" hidden="1" customWidth="1"/>
    <col min="76" max="76" width="35.140625" style="50" hidden="1" customWidth="1"/>
    <col min="77" max="77" width="13" style="50" hidden="1" customWidth="1"/>
    <col min="78" max="78" width="8.85546875" style="50" hidden="1" customWidth="1"/>
    <col min="79" max="82" width="8.85546875" style="50" customWidth="1"/>
    <col min="83" max="16384" width="8.85546875" style="50"/>
  </cols>
  <sheetData>
    <row r="1" spans="1:77" ht="6.75" customHeight="1" thickBot="1">
      <c r="A1" s="89">
        <v>0</v>
      </c>
      <c r="B1" s="89"/>
      <c r="C1" s="89"/>
      <c r="D1" s="89"/>
      <c r="E1" s="708"/>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90"/>
      <c r="AI1" s="90"/>
      <c r="AJ1" s="89"/>
      <c r="AK1" s="89"/>
      <c r="AL1" s="89"/>
      <c r="AM1" s="89"/>
      <c r="AN1" s="89"/>
      <c r="AO1" s="89"/>
      <c r="AP1" s="89"/>
      <c r="AQ1" s="89"/>
      <c r="AR1" s="89"/>
      <c r="AS1" s="89"/>
      <c r="AT1" s="89"/>
      <c r="AU1" s="89"/>
      <c r="AV1" s="89"/>
      <c r="AW1" s="172"/>
      <c r="AX1" s="89"/>
      <c r="AY1" s="89"/>
      <c r="AZ1" s="89"/>
      <c r="BA1" s="89"/>
      <c r="BB1" s="89"/>
      <c r="BC1" s="89"/>
      <c r="BU1" s="187"/>
      <c r="BV1" s="187"/>
      <c r="BW1" s="187"/>
    </row>
    <row r="2" spans="1:77" ht="20.45" customHeight="1" thickTop="1">
      <c r="A2" s="89"/>
      <c r="B2" s="543"/>
      <c r="C2" s="544"/>
      <c r="D2" s="544"/>
      <c r="E2" s="709"/>
      <c r="F2" s="544"/>
      <c r="G2" s="544"/>
      <c r="H2" s="544"/>
      <c r="I2" s="544"/>
      <c r="J2" s="544"/>
      <c r="K2" s="544"/>
      <c r="L2" s="544"/>
      <c r="M2" s="544"/>
      <c r="N2" s="544"/>
      <c r="O2" s="771"/>
      <c r="P2" s="544"/>
      <c r="Q2" s="544"/>
      <c r="R2" s="544"/>
      <c r="S2" s="544"/>
      <c r="T2" s="544"/>
      <c r="U2" s="544"/>
      <c r="V2" s="544"/>
      <c r="W2" s="544"/>
      <c r="X2" s="544"/>
      <c r="Y2" s="544"/>
      <c r="Z2" s="544"/>
      <c r="AA2" s="716" t="s">
        <v>874</v>
      </c>
      <c r="AB2" s="547"/>
      <c r="AC2" s="544"/>
      <c r="AD2" s="544"/>
      <c r="AE2" s="544"/>
      <c r="AF2" s="544"/>
      <c r="AG2" s="544"/>
      <c r="AH2" s="544"/>
      <c r="AI2" s="544"/>
      <c r="AJ2" s="544"/>
      <c r="AK2" s="544"/>
      <c r="AL2" s="544"/>
      <c r="AM2" s="544"/>
      <c r="AN2" s="1061" t="s">
        <v>875</v>
      </c>
      <c r="AO2" s="1062"/>
      <c r="AP2" s="1062"/>
      <c r="AQ2" s="1063"/>
      <c r="AR2" s="772"/>
      <c r="AS2" s="1061" t="s">
        <v>876</v>
      </c>
      <c r="AT2" s="1062"/>
      <c r="AU2" s="1062"/>
      <c r="AV2" s="1063"/>
      <c r="AW2" s="772"/>
      <c r="AX2" s="1061" t="s">
        <v>877</v>
      </c>
      <c r="AY2" s="1062"/>
      <c r="AZ2" s="1062"/>
      <c r="BA2" s="1063"/>
      <c r="BB2" s="735"/>
      <c r="BC2" s="89"/>
      <c r="BL2" s="487"/>
      <c r="BN2" s="535"/>
      <c r="BO2" s="668">
        <f>LEN(C4)</f>
        <v>0</v>
      </c>
      <c r="BP2" s="382" t="s">
        <v>878</v>
      </c>
      <c r="BQ2" s="382"/>
      <c r="BR2" s="382"/>
      <c r="BT2" s="382"/>
      <c r="BU2" s="187"/>
      <c r="BV2" s="187"/>
      <c r="BW2" s="187"/>
    </row>
    <row r="3" spans="1:77" ht="20.45" customHeight="1">
      <c r="A3" s="89"/>
      <c r="B3" s="545"/>
      <c r="C3" s="546"/>
      <c r="D3" s="546"/>
      <c r="E3" s="710"/>
      <c r="F3" s="546"/>
      <c r="G3" s="546"/>
      <c r="H3" s="546"/>
      <c r="I3" s="546"/>
      <c r="J3" s="546"/>
      <c r="K3" s="546"/>
      <c r="L3" s="546"/>
      <c r="M3" s="549"/>
      <c r="N3" s="370"/>
      <c r="O3" s="548" t="s">
        <v>704</v>
      </c>
      <c r="P3" s="552" t="str">
        <f>IF(ISBLANK('Start Page'!AB9),"Enter info on the Start Page",'Start Page'!AB9&amp;IF(ISBLANK('Start Page'!AM28),"","  ("&amp;'Start Page'!AM28&amp;")"))</f>
        <v>PAW - 520 Yardley</v>
      </c>
      <c r="Q3" s="552"/>
      <c r="R3" s="552"/>
      <c r="S3" s="552"/>
      <c r="T3" s="552"/>
      <c r="U3" s="552"/>
      <c r="V3" s="552"/>
      <c r="W3" s="552"/>
      <c r="X3" s="552"/>
      <c r="Y3" s="552"/>
      <c r="Z3" s="552"/>
      <c r="AA3" s="552"/>
      <c r="AB3" s="552"/>
      <c r="AC3" s="549"/>
      <c r="AD3" s="550"/>
      <c r="AE3" s="551"/>
      <c r="AF3" s="548" t="s">
        <v>705</v>
      </c>
      <c r="AG3" s="1048">
        <f>IF(ISBLANK('Start Page'!AB18),"",'Start Page'!AB18)</f>
        <v>2023</v>
      </c>
      <c r="AH3" s="1048"/>
      <c r="AI3" s="370"/>
      <c r="AJ3" s="810" t="str">
        <f>IF(ISBLANK('Start Page'!AB19),"",'Start Page'!AB19)</f>
        <v>Calendar</v>
      </c>
      <c r="AK3" s="810"/>
      <c r="AL3" s="370"/>
      <c r="AM3" s="552" t="str">
        <f>IF(ISBLANK('Start Page'!AB20),"",TEXT('Start Page'!AB20,"mmm dd yyyy")&amp;" - "&amp;TEXT('Start Page'!AB21,"mmm dd yyyy"))</f>
        <v>Jan 01 2023 - Dec 31 2023</v>
      </c>
      <c r="AN3" s="552"/>
      <c r="AO3" s="552"/>
      <c r="AP3" s="552"/>
      <c r="AQ3" s="552"/>
      <c r="AR3" s="552"/>
      <c r="AS3" s="546"/>
      <c r="AT3" s="546"/>
      <c r="AU3" s="546"/>
      <c r="AV3" s="546"/>
      <c r="AW3" s="546"/>
      <c r="AX3" s="546"/>
      <c r="AY3" s="546"/>
      <c r="AZ3" s="546"/>
      <c r="BA3" s="546"/>
      <c r="BB3" s="735"/>
      <c r="BC3" s="89"/>
      <c r="BN3" s="535"/>
      <c r="BO3" s="780" t="str">
        <f>IF(OR(LEN(J7)=0,J7="N/A*",J7="TBD"),"ok",IF(J7&gt;=100,"Max DVS Flag","ok"))</f>
        <v>ok</v>
      </c>
      <c r="BP3" s="382" t="s">
        <v>879</v>
      </c>
      <c r="BQ3" s="382"/>
      <c r="BR3" s="382"/>
      <c r="BT3" s="382"/>
      <c r="BU3" s="187"/>
      <c r="BV3" s="187"/>
      <c r="BW3" s="187"/>
    </row>
    <row r="4" spans="1:77" ht="15" customHeight="1">
      <c r="A4" s="89"/>
      <c r="B4" s="271"/>
      <c r="C4" s="1056" t="str">
        <f>IFERROR(IF(ISBLANK('Start Page'!$AB$22),"******* REPORTING UNITS MUST BE SELECTED ON THE INSTRUCTIONS TAB BEFORE PERFORMANCE INDICATORS CAN BE DISPLAYED *******",IF('M36 Refs'!AN118&gt;0," ******* COMPLETE ALL VISIBLE QUESTIONS ON THE INTERACTIVE DATA GRADING TAB TO DISPLAY PERFORMANCE INDICATORS *******","")),"")</f>
        <v/>
      </c>
      <c r="D4" s="1056"/>
      <c r="E4" s="1056"/>
      <c r="F4" s="1056"/>
      <c r="G4" s="1056"/>
      <c r="H4" s="1056"/>
      <c r="I4" s="1056"/>
      <c r="J4" s="1056"/>
      <c r="K4" s="1056"/>
      <c r="L4" s="1056"/>
      <c r="M4" s="1056"/>
      <c r="N4" s="1056"/>
      <c r="O4" s="1056"/>
      <c r="P4" s="1056"/>
      <c r="Q4" s="1056"/>
      <c r="R4" s="1056"/>
      <c r="S4" s="1056"/>
      <c r="T4" s="1056"/>
      <c r="U4" s="1056"/>
      <c r="V4" s="1056"/>
      <c r="W4" s="1056"/>
      <c r="X4" s="1056"/>
      <c r="Y4" s="1056"/>
      <c r="Z4" s="1056"/>
      <c r="AA4" s="1056"/>
      <c r="AB4" s="1056"/>
      <c r="AC4" s="1056"/>
      <c r="AD4" s="1056"/>
      <c r="AE4" s="1056"/>
      <c r="AF4" s="1056"/>
      <c r="AG4" s="1056"/>
      <c r="AH4" s="1056"/>
      <c r="AI4" s="1056"/>
      <c r="AJ4" s="1056"/>
      <c r="AK4" s="1056"/>
      <c r="AL4" s="1056"/>
      <c r="AM4" s="1056"/>
      <c r="AN4" s="1056"/>
      <c r="AO4" s="1056"/>
      <c r="AP4" s="1056"/>
      <c r="AQ4" s="1056"/>
      <c r="AR4" s="1056"/>
      <c r="AS4" s="1056"/>
      <c r="AT4" s="1056"/>
      <c r="AU4" s="1056"/>
      <c r="AV4" s="1056"/>
      <c r="AW4" s="1056"/>
      <c r="AX4" s="1056"/>
      <c r="AY4" s="1056"/>
      <c r="AZ4" s="1056"/>
      <c r="BA4" s="1056"/>
      <c r="BB4" s="486"/>
      <c r="BC4" s="89"/>
      <c r="BN4" s="535"/>
      <c r="BO4" s="382"/>
      <c r="BP4" s="382"/>
      <c r="BQ4" s="382"/>
      <c r="BR4" s="382" t="str">
        <f>IFERROR(IF(ISBLANK('Start Page'!$AB$22),"N/A*",IF('Loss Control Planning'!E19=1,"Tier I (0-25)",IF('Loss Control Planning'!H19=1,"Tier II (26-50)",IF('Loss Control Planning'!K19=1,"Tier III (51-70)",IF('Loss Control Planning'!N19=1,"Tier IV (71-90)",IF('Loss Control Planning'!Q19=1,"Tier V (91-100)","")))))),"TBD")</f>
        <v>Tier IV (71-90)</v>
      </c>
      <c r="BS4" s="382"/>
      <c r="BT4" s="382"/>
      <c r="BU4" s="187"/>
      <c r="BV4" s="187"/>
      <c r="BW4" s="187"/>
    </row>
    <row r="5" spans="1:77" ht="15" customHeight="1">
      <c r="A5" s="89"/>
      <c r="B5" s="271"/>
      <c r="C5" s="1051" t="s">
        <v>880</v>
      </c>
      <c r="D5" s="1051"/>
      <c r="E5" s="1051"/>
      <c r="F5" s="1051"/>
      <c r="G5" s="1051"/>
      <c r="H5" s="1051"/>
      <c r="I5" s="1051"/>
      <c r="J5" s="1051"/>
      <c r="K5" s="1051"/>
      <c r="L5" s="1051"/>
      <c r="M5" s="1051"/>
      <c r="N5" s="1051"/>
      <c r="O5" s="1051"/>
      <c r="P5" s="1051"/>
      <c r="Q5" s="1051"/>
      <c r="R5" s="1051"/>
      <c r="S5" s="1051"/>
      <c r="T5" s="1051"/>
      <c r="U5" s="1051"/>
      <c r="V5" s="1051"/>
      <c r="W5" s="610"/>
      <c r="X5" s="610"/>
      <c r="Y5" s="610"/>
      <c r="Z5" s="610"/>
      <c r="AA5" s="610"/>
      <c r="AB5" s="610"/>
      <c r="AC5" s="610"/>
      <c r="AD5" s="505" t="s">
        <v>881</v>
      </c>
      <c r="AE5" s="610"/>
      <c r="AF5" s="610"/>
      <c r="AG5" s="610"/>
      <c r="AH5" s="1058" t="s">
        <v>882</v>
      </c>
      <c r="AI5" s="1058"/>
      <c r="AJ5" s="1058"/>
      <c r="AK5" s="1058"/>
      <c r="AL5" s="1058"/>
      <c r="AM5" s="1058"/>
      <c r="AN5" s="1058"/>
      <c r="AO5" s="1058"/>
      <c r="AP5" s="1058"/>
      <c r="AQ5" s="1058"/>
      <c r="AR5" s="1058"/>
      <c r="AS5" s="505" t="s">
        <v>883</v>
      </c>
      <c r="AT5" s="610"/>
      <c r="AU5" s="610"/>
      <c r="AV5" s="610"/>
      <c r="AW5" s="610"/>
      <c r="AX5" s="610"/>
      <c r="AY5" s="610"/>
      <c r="AZ5" s="610"/>
      <c r="BA5" s="610"/>
      <c r="BB5" s="486"/>
      <c r="BC5" s="89"/>
      <c r="BN5" s="535"/>
      <c r="BO5" s="382"/>
      <c r="BP5" s="382"/>
      <c r="BQ5" s="382"/>
      <c r="BR5" s="382"/>
      <c r="BS5" s="382"/>
      <c r="BT5" s="382"/>
      <c r="BU5" s="187"/>
      <c r="BV5" s="187"/>
      <c r="BW5" s="187"/>
    </row>
    <row r="6" spans="1:77" s="190" customFormat="1" ht="12.95" customHeight="1">
      <c r="A6" s="189"/>
      <c r="B6" s="271"/>
      <c r="C6" s="1051"/>
      <c r="D6" s="1051"/>
      <c r="E6" s="1051"/>
      <c r="F6" s="1051"/>
      <c r="G6" s="1051"/>
      <c r="H6" s="1051"/>
      <c r="I6" s="1051"/>
      <c r="J6" s="1051"/>
      <c r="K6" s="1051"/>
      <c r="L6" s="1051"/>
      <c r="M6" s="1051"/>
      <c r="N6" s="1051"/>
      <c r="O6" s="1051"/>
      <c r="P6" s="1051"/>
      <c r="Q6" s="1051"/>
      <c r="R6" s="1051"/>
      <c r="S6" s="1051"/>
      <c r="T6" s="1051"/>
      <c r="U6" s="1051"/>
      <c r="V6" s="1051"/>
      <c r="W6" s="553"/>
      <c r="X6" s="759"/>
      <c r="Y6" s="760" t="s">
        <v>884</v>
      </c>
      <c r="Z6" s="1053">
        <v>0.73699999999999999</v>
      </c>
      <c r="AA6" s="1053"/>
      <c r="AB6" s="761" t="s">
        <v>885</v>
      </c>
      <c r="AC6" s="497"/>
      <c r="AD6" s="610"/>
      <c r="AE6" s="610"/>
      <c r="AF6" s="610"/>
      <c r="AG6" s="610"/>
      <c r="AH6" s="1058"/>
      <c r="AI6" s="1058"/>
      <c r="AJ6" s="1058"/>
      <c r="AK6" s="1058"/>
      <c r="AL6" s="1058"/>
      <c r="AM6" s="1058"/>
      <c r="AN6" s="1058"/>
      <c r="AO6" s="1058"/>
      <c r="AP6" s="1058"/>
      <c r="AQ6" s="1058"/>
      <c r="AR6" s="1058"/>
      <c r="AS6" s="610"/>
      <c r="AT6" s="610"/>
      <c r="AU6" s="610"/>
      <c r="AV6" s="610"/>
      <c r="AW6" s="610"/>
      <c r="AX6" s="610"/>
      <c r="AY6" s="610"/>
      <c r="AZ6" s="610"/>
      <c r="BA6" s="610"/>
      <c r="BB6" s="486"/>
      <c r="BC6" s="189"/>
      <c r="BD6" s="191" t="s">
        <v>886</v>
      </c>
      <c r="BM6" s="536"/>
      <c r="BN6" s="537"/>
      <c r="BO6" s="584"/>
      <c r="BP6" s="584"/>
      <c r="BQ6" s="584"/>
      <c r="BR6" s="584">
        <f>IFERROR(IF(ISBLANK('Start Page'!$AB$22),"N/A*",IF('M36 Refs'!AN118&gt;0,"",ROUND('M36 Refs'!AH118,0))),"")</f>
        <v>86</v>
      </c>
      <c r="BS6" s="585"/>
      <c r="BT6" s="584"/>
      <c r="BU6" s="586"/>
      <c r="BV6" s="586"/>
      <c r="BW6" s="586"/>
      <c r="BX6" s="50"/>
      <c r="BY6" s="50"/>
    </row>
    <row r="7" spans="1:77" s="190" customFormat="1" ht="12.95" customHeight="1">
      <c r="A7" s="189"/>
      <c r="B7" s="265"/>
      <c r="C7" s="50"/>
      <c r="D7" s="193"/>
      <c r="E7" s="711"/>
      <c r="F7" s="193"/>
      <c r="G7" s="193"/>
      <c r="H7" s="553"/>
      <c r="I7" s="654" t="s">
        <v>887</v>
      </c>
      <c r="J7" s="1050">
        <f>BR6</f>
        <v>86</v>
      </c>
      <c r="K7" s="1050"/>
      <c r="L7" s="655"/>
      <c r="M7" s="655"/>
      <c r="N7" s="655"/>
      <c r="O7" s="655"/>
      <c r="P7" s="655"/>
      <c r="Q7" s="654" t="s">
        <v>888</v>
      </c>
      <c r="R7" s="1049" t="str">
        <f>IF(BO2&gt;0,"",BR4)</f>
        <v>Tier IV (71-90)</v>
      </c>
      <c r="S7" s="1049"/>
      <c r="T7" s="1049"/>
      <c r="U7" s="1049"/>
      <c r="V7" s="1049"/>
      <c r="W7" s="553"/>
      <c r="X7" s="763" t="s">
        <v>889</v>
      </c>
      <c r="AD7" s="497"/>
      <c r="AE7" s="719"/>
      <c r="AF7" s="719"/>
      <c r="AG7" s="719"/>
      <c r="AH7" s="1052" t="s">
        <v>890</v>
      </c>
      <c r="AI7" s="1052"/>
      <c r="AJ7" s="1052"/>
      <c r="AK7" s="1052"/>
      <c r="AL7" s="1052"/>
      <c r="AM7" s="1052"/>
      <c r="AN7" s="1052"/>
      <c r="AO7" s="1052"/>
      <c r="AP7" s="1052"/>
      <c r="AQ7" s="1052"/>
      <c r="AR7" s="1052"/>
      <c r="AS7" s="719"/>
      <c r="AT7" s="719"/>
      <c r="AU7" s="719"/>
      <c r="AV7" s="719"/>
      <c r="AW7" s="719"/>
      <c r="AX7" s="719"/>
      <c r="AY7" s="719"/>
      <c r="AZ7" s="719"/>
      <c r="BA7" s="719"/>
      <c r="BB7" s="486"/>
      <c r="BC7" s="189"/>
      <c r="BD7" s="190" t="str">
        <f>IF('Start Page'!$AB$22="million gallons (US)","MG/Yr",IF('Start Page'!$AB$22="Megalitres (thousand cubic metres)","ML/Yr",IF('Start Page'!$AB$22="acre-feet","Acre-ft/Yr","")))</f>
        <v>MG/Yr</v>
      </c>
      <c r="BM7" s="536"/>
      <c r="BN7" s="537"/>
      <c r="BO7" s="587" t="s">
        <v>891</v>
      </c>
      <c r="BP7" s="587"/>
      <c r="BQ7" s="587"/>
      <c r="BR7" s="587" t="s">
        <v>892</v>
      </c>
      <c r="BS7" s="584"/>
      <c r="BT7" s="584"/>
      <c r="BU7" s="586"/>
      <c r="BV7" s="586"/>
      <c r="BW7" s="586"/>
      <c r="BX7" s="50"/>
      <c r="BY7" s="50"/>
    </row>
    <row r="8" spans="1:77" ht="12.95" customHeight="1">
      <c r="A8" s="89"/>
      <c r="B8" s="265"/>
      <c r="C8" s="497"/>
      <c r="D8" s="497"/>
      <c r="E8" s="712"/>
      <c r="F8" s="497"/>
      <c r="G8" s="497"/>
      <c r="H8" s="1057" t="s">
        <v>893</v>
      </c>
      <c r="I8" s="1057"/>
      <c r="J8" s="1054" t="s">
        <v>585</v>
      </c>
      <c r="K8" s="1054"/>
      <c r="L8" s="1054"/>
      <c r="M8" s="1054"/>
      <c r="N8" s="1054"/>
      <c r="O8" s="1054"/>
      <c r="P8" s="1055" t="s">
        <v>894</v>
      </c>
      <c r="Q8" s="1055"/>
      <c r="R8" s="1055"/>
      <c r="S8" s="1055"/>
      <c r="T8" s="497"/>
      <c r="U8" s="497"/>
      <c r="V8" s="193"/>
      <c r="W8" s="193"/>
      <c r="X8" s="50"/>
      <c r="Y8" s="719"/>
      <c r="Z8" s="719"/>
      <c r="AA8" s="719"/>
      <c r="AB8" s="497"/>
      <c r="AC8" s="497"/>
      <c r="AD8" s="497"/>
      <c r="AE8" s="719"/>
      <c r="AF8" s="719"/>
      <c r="AG8" s="719"/>
      <c r="AH8" s="1052"/>
      <c r="AI8" s="1052"/>
      <c r="AJ8" s="1052"/>
      <c r="AK8" s="1052"/>
      <c r="AL8" s="1052"/>
      <c r="AM8" s="1052"/>
      <c r="AN8" s="1052"/>
      <c r="AO8" s="1052"/>
      <c r="AP8" s="1052"/>
      <c r="AQ8" s="1052"/>
      <c r="AR8" s="1052"/>
      <c r="AS8" s="719"/>
      <c r="AT8" s="719"/>
      <c r="AU8" s="719"/>
      <c r="AV8" s="719"/>
      <c r="AW8" s="719"/>
      <c r="AX8" s="719"/>
      <c r="AY8" s="719"/>
      <c r="AZ8" s="719"/>
      <c r="BA8" s="719"/>
      <c r="BB8" s="272"/>
      <c r="BC8" s="89"/>
      <c r="BD8" s="50" t="str">
        <f>IF(BD29=FALSE,"Variable Production Cost","Customer Retail Unit Cost")</f>
        <v>Variable Production Cost</v>
      </c>
      <c r="BN8" s="535"/>
      <c r="BO8" s="382"/>
      <c r="BP8" s="382">
        <f>SUM(BP9:BP13)</f>
        <v>100</v>
      </c>
      <c r="BQ8" s="382"/>
      <c r="BR8" s="382" t="s">
        <v>895</v>
      </c>
      <c r="BS8" s="382">
        <f>BR6</f>
        <v>86</v>
      </c>
      <c r="BT8" s="382"/>
      <c r="BU8" s="187"/>
      <c r="BV8" s="187"/>
      <c r="BW8" s="187"/>
    </row>
    <row r="9" spans="1:77" ht="12.95" customHeight="1">
      <c r="A9" s="89"/>
      <c r="B9" s="265"/>
      <c r="C9" s="497"/>
      <c r="D9" s="497"/>
      <c r="E9" s="712"/>
      <c r="F9" s="497"/>
      <c r="G9" s="497"/>
      <c r="H9" s="1057"/>
      <c r="I9" s="1057"/>
      <c r="J9" s="1054"/>
      <c r="K9" s="1054"/>
      <c r="L9" s="1054"/>
      <c r="M9" s="1054"/>
      <c r="N9" s="1054"/>
      <c r="O9" s="1054"/>
      <c r="P9" s="1055"/>
      <c r="Q9" s="1055"/>
      <c r="R9" s="1055"/>
      <c r="S9" s="1055"/>
      <c r="T9" s="497"/>
      <c r="U9" s="497"/>
      <c r="V9" s="542"/>
      <c r="W9" s="193"/>
      <c r="X9" s="553"/>
      <c r="Y9" s="553"/>
      <c r="Z9" s="553"/>
      <c r="AA9" s="553"/>
      <c r="AB9" s="553"/>
      <c r="AC9" s="553"/>
      <c r="AD9" s="553"/>
      <c r="AE9" s="553"/>
      <c r="AF9" s="553"/>
      <c r="AG9" s="553"/>
      <c r="AH9" s="553"/>
      <c r="AI9" s="553"/>
      <c r="AJ9" s="193"/>
      <c r="AK9" s="553"/>
      <c r="AL9" s="553"/>
      <c r="AM9" s="553"/>
      <c r="AN9" s="553"/>
      <c r="AO9" s="553"/>
      <c r="AP9" s="553"/>
      <c r="AQ9" s="553"/>
      <c r="AR9" s="553"/>
      <c r="AS9" s="553"/>
      <c r="AT9" s="553"/>
      <c r="AU9" s="553"/>
      <c r="AV9" s="553"/>
      <c r="AW9" s="553"/>
      <c r="AX9" s="553"/>
      <c r="AY9" s="553"/>
      <c r="AZ9" s="553"/>
      <c r="BA9" s="553"/>
      <c r="BB9" s="272"/>
      <c r="BC9" s="89"/>
      <c r="BD9" s="173" t="str">
        <f>IF(BD29=FALSE,"VPC","CRUC")</f>
        <v>VPC</v>
      </c>
      <c r="BN9" s="538"/>
      <c r="BO9" s="382" t="s">
        <v>896</v>
      </c>
      <c r="BP9" s="382">
        <v>25</v>
      </c>
      <c r="BQ9" s="382"/>
      <c r="BR9" s="382" t="s">
        <v>892</v>
      </c>
      <c r="BS9" s="595">
        <f>SUM(BP8:BP12)/150</f>
        <v>1.2666666666666666</v>
      </c>
      <c r="BT9" s="382"/>
      <c r="BU9" s="187"/>
      <c r="BV9" s="187"/>
      <c r="BW9" s="187"/>
    </row>
    <row r="10" spans="1:77" ht="12.95" customHeight="1">
      <c r="A10" s="89"/>
      <c r="B10" s="265"/>
      <c r="C10" s="542"/>
      <c r="D10" s="542"/>
      <c r="E10" s="50"/>
      <c r="F10" s="50"/>
      <c r="G10" s="50"/>
      <c r="H10" s="542"/>
      <c r="I10" s="784" t="s">
        <v>897</v>
      </c>
      <c r="J10" s="542"/>
      <c r="K10" s="542"/>
      <c r="L10" s="542"/>
      <c r="M10" s="542"/>
      <c r="N10" s="542"/>
      <c r="O10" s="782" t="s">
        <v>898</v>
      </c>
      <c r="P10" s="542"/>
      <c r="Q10" s="542"/>
      <c r="R10" s="542"/>
      <c r="S10" s="542"/>
      <c r="T10" s="542"/>
      <c r="U10" s="542"/>
      <c r="V10" s="542"/>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272"/>
      <c r="BC10" s="89"/>
      <c r="BD10" s="50" t="str">
        <f>IF(ISBLANK('Start Page'!$AB$22),"",IF('Start Page'!$AB$22="Megalitres (thousand cubic metres)","litres","gal")&amp;"/conn/day")</f>
        <v>gal/conn/day</v>
      </c>
      <c r="BN10" s="538"/>
      <c r="BO10" s="382" t="s">
        <v>899</v>
      </c>
      <c r="BP10" s="382">
        <v>25</v>
      </c>
      <c r="BQ10" s="382"/>
      <c r="BR10" s="382" t="s">
        <v>900</v>
      </c>
      <c r="BS10" s="382">
        <f>SUM(BP8:BP13)-SUM(BS8:BS9)</f>
        <v>112.73333333333333</v>
      </c>
      <c r="BT10" s="382"/>
      <c r="BU10" s="187"/>
      <c r="BV10" s="187"/>
      <c r="BW10" s="187"/>
    </row>
    <row r="11" spans="1:77" ht="12.95" customHeight="1">
      <c r="A11" s="89"/>
      <c r="B11" s="265"/>
      <c r="C11" s="50"/>
      <c r="D11" s="193"/>
      <c r="E11" s="711"/>
      <c r="F11" s="193"/>
      <c r="G11" s="193"/>
      <c r="H11" s="193"/>
      <c r="I11" s="193"/>
      <c r="J11" s="193"/>
      <c r="K11" s="193"/>
      <c r="L11" s="193"/>
      <c r="M11" s="193"/>
      <c r="N11" s="193"/>
      <c r="O11" s="193"/>
      <c r="P11" s="193"/>
      <c r="Q11" s="193"/>
      <c r="R11" s="193"/>
      <c r="S11" s="193"/>
      <c r="T11" s="193"/>
      <c r="U11" s="193"/>
      <c r="V11" s="193"/>
      <c r="W11" s="193"/>
      <c r="X11" s="193"/>
      <c r="Y11" s="193"/>
      <c r="Z11" s="193"/>
      <c r="AA11" s="193"/>
      <c r="AB11" s="193"/>
      <c r="AC11" s="193"/>
      <c r="AD11" s="193"/>
      <c r="AE11" s="193"/>
      <c r="AF11" s="500"/>
      <c r="AG11" s="500"/>
      <c r="AH11" s="500"/>
      <c r="AI11" s="500"/>
      <c r="AJ11" s="500"/>
      <c r="AK11" s="500"/>
      <c r="AL11" s="500"/>
      <c r="AM11" s="500"/>
      <c r="AN11" s="500"/>
      <c r="AO11" s="500"/>
      <c r="AP11" s="500"/>
      <c r="AQ11" s="500"/>
      <c r="AR11" s="500"/>
      <c r="AS11" s="500"/>
      <c r="AT11" s="500"/>
      <c r="AU11" s="500"/>
      <c r="AV11" s="500"/>
      <c r="AW11" s="500"/>
      <c r="AX11" s="500"/>
      <c r="AY11" s="193"/>
      <c r="AZ11" s="193"/>
      <c r="BA11" s="193"/>
      <c r="BB11" s="272"/>
      <c r="BC11" s="89"/>
      <c r="BD11" s="50" t="str">
        <f>IF(ISBLANK('Start Page'!$AB$22),"",IF('Start Page'!$AB$22="Megalitres (thousand cubic metres)","litres/km","gal/mile")&amp;"/day")</f>
        <v>gal/mile/day</v>
      </c>
      <c r="BN11" s="538"/>
      <c r="BO11" s="382" t="s">
        <v>901</v>
      </c>
      <c r="BP11" s="382">
        <v>20</v>
      </c>
      <c r="BQ11" s="382"/>
      <c r="BR11" s="382"/>
      <c r="BS11" s="382"/>
      <c r="BT11" s="382"/>
      <c r="BU11" s="617" t="s">
        <v>902</v>
      </c>
      <c r="BV11" s="605"/>
      <c r="BW11" s="605"/>
      <c r="BX11" s="605"/>
    </row>
    <row r="12" spans="1:77" ht="12.95" customHeight="1">
      <c r="A12" s="89"/>
      <c r="B12" s="265"/>
      <c r="C12" s="50"/>
      <c r="D12" s="193"/>
      <c r="E12" s="711"/>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554"/>
      <c r="AG12" s="500"/>
      <c r="AH12" s="555"/>
      <c r="AI12" s="555"/>
      <c r="AJ12" s="193"/>
      <c r="AK12" s="193"/>
      <c r="AL12" s="193"/>
      <c r="AM12" s="193"/>
      <c r="AN12" s="193"/>
      <c r="AO12" s="193"/>
      <c r="AP12" s="193"/>
      <c r="AQ12" s="193"/>
      <c r="AR12" s="193"/>
      <c r="AS12" s="193"/>
      <c r="AT12" s="193"/>
      <c r="AU12" s="193"/>
      <c r="AV12" s="553"/>
      <c r="AW12" s="553"/>
      <c r="AX12" s="193"/>
      <c r="AY12" s="193"/>
      <c r="AZ12" s="193"/>
      <c r="BA12" s="193"/>
      <c r="BB12" s="272"/>
      <c r="BC12" s="89"/>
      <c r="BD12" s="50" t="str">
        <f>IF(ISBLANK('Start Page'!$AB$22),"",IF('Start Page'!$AB$22="Megalitres (thousand cubic metres)","litres/conn/day/m","gal/conn/day/psi"))</f>
        <v>gal/conn/day/psi</v>
      </c>
      <c r="BN12" s="538"/>
      <c r="BO12" s="382" t="s">
        <v>903</v>
      </c>
      <c r="BP12" s="382">
        <v>20</v>
      </c>
      <c r="BQ12" s="382"/>
      <c r="BR12" s="382"/>
      <c r="BS12" s="382"/>
      <c r="BT12" s="382"/>
      <c r="BU12" s="588" t="s">
        <v>904</v>
      </c>
      <c r="BV12" s="588"/>
      <c r="BW12" s="588"/>
    </row>
    <row r="13" spans="1:77" ht="15" customHeight="1">
      <c r="A13" s="89"/>
      <c r="B13" s="265"/>
      <c r="C13" s="50"/>
      <c r="D13" s="193"/>
      <c r="E13" s="711"/>
      <c r="F13" s="193"/>
      <c r="G13" s="193"/>
      <c r="H13" s="193"/>
      <c r="I13" s="193"/>
      <c r="J13" s="193"/>
      <c r="K13" s="193"/>
      <c r="L13" s="193"/>
      <c r="M13" s="193"/>
      <c r="N13" s="193"/>
      <c r="O13" s="193"/>
      <c r="P13" s="193"/>
      <c r="Q13" s="193"/>
      <c r="R13" s="782" t="s">
        <v>905</v>
      </c>
      <c r="S13" s="193"/>
      <c r="T13" s="193"/>
      <c r="U13" s="193"/>
      <c r="V13" s="193"/>
      <c r="W13" s="193"/>
      <c r="X13" s="193"/>
      <c r="Y13" s="193"/>
      <c r="Z13" s="193"/>
      <c r="AA13" s="193"/>
      <c r="AB13" s="193"/>
      <c r="AC13" s="193"/>
      <c r="AD13" s="193"/>
      <c r="AE13" s="193"/>
      <c r="AF13" s="556"/>
      <c r="AG13" s="556"/>
      <c r="AH13" s="556"/>
      <c r="AI13" s="556"/>
      <c r="AJ13" s="556"/>
      <c r="AK13" s="556"/>
      <c r="AL13" s="556"/>
      <c r="AM13" s="556"/>
      <c r="AN13" s="556"/>
      <c r="AO13" s="556"/>
      <c r="AP13" s="556"/>
      <c r="AQ13" s="556"/>
      <c r="AR13" s="556"/>
      <c r="AS13" s="556"/>
      <c r="AT13" s="556"/>
      <c r="AU13" s="556"/>
      <c r="AV13" s="553"/>
      <c r="AW13" s="553"/>
      <c r="AX13" s="193"/>
      <c r="AY13" s="193"/>
      <c r="AZ13" s="193"/>
      <c r="BA13" s="193"/>
      <c r="BB13" s="272"/>
      <c r="BC13" s="89"/>
      <c r="BD13" s="50" t="s">
        <v>906</v>
      </c>
      <c r="BN13" s="538"/>
      <c r="BO13" s="382" t="s">
        <v>907</v>
      </c>
      <c r="BP13" s="382">
        <v>10</v>
      </c>
      <c r="BQ13" s="382"/>
      <c r="BR13" s="382"/>
      <c r="BS13" s="382"/>
      <c r="BT13" s="382"/>
      <c r="BU13" s="588" t="s">
        <v>908</v>
      </c>
      <c r="BV13" s="588"/>
      <c r="BW13" s="588"/>
    </row>
    <row r="14" spans="1:77" ht="15" customHeight="1">
      <c r="A14" s="89"/>
      <c r="B14" s="265"/>
      <c r="C14" s="50"/>
      <c r="D14" s="193"/>
      <c r="E14" s="711"/>
      <c r="F14" s="193"/>
      <c r="G14" s="193"/>
      <c r="H14" s="193"/>
      <c r="I14" s="1074"/>
      <c r="J14" s="1074"/>
      <c r="K14" s="1074"/>
      <c r="L14" s="1074"/>
      <c r="M14" s="1074"/>
      <c r="N14" s="1074"/>
      <c r="O14" s="1074"/>
      <c r="P14" s="193"/>
      <c r="Q14" s="193"/>
      <c r="R14" s="193"/>
      <c r="S14" s="193"/>
      <c r="T14" s="193"/>
      <c r="U14" s="193"/>
      <c r="V14" s="193"/>
      <c r="W14" s="193"/>
      <c r="X14" s="193"/>
      <c r="Y14" s="193"/>
      <c r="Z14" s="193"/>
      <c r="AA14" s="193"/>
      <c r="AB14" s="1059" t="str">
        <f>IF(BS15&lt;0,"negative result check inputs",IF($BS$16=0,"result is below 10th %ile",IF($BS$15&gt;$BS$16,"result is above 90th %ile","")))</f>
        <v/>
      </c>
      <c r="AC14" s="1059"/>
      <c r="AD14" s="1059"/>
      <c r="AE14" s="1059"/>
      <c r="AF14" s="557"/>
      <c r="AG14" s="500"/>
      <c r="AH14" s="555"/>
      <c r="AI14" s="555"/>
      <c r="AJ14" s="193"/>
      <c r="AK14" s="193"/>
      <c r="AL14" s="1059" t="str">
        <f>IF(BS22&lt;0,"negative result check inputs",IF($BS$23=0,"result is below 10th %ile",IF($BS$22&gt;$BS$23,"result is above 90th %ile","")))</f>
        <v/>
      </c>
      <c r="AM14" s="1059"/>
      <c r="AN14" s="1059"/>
      <c r="AO14" s="1059"/>
      <c r="AP14" s="193"/>
      <c r="AQ14" s="193"/>
      <c r="AR14" s="193"/>
      <c r="AS14" s="193"/>
      <c r="AT14" s="193"/>
      <c r="AU14" s="193"/>
      <c r="AV14" s="1059" t="str">
        <f>IF(BS29&lt;0,"negative result check inputs",IF($BS$30=0,"result is below 10th %ile",IF($BS$29&gt;$BS$30,"result is above 90th %ile","")))</f>
        <v/>
      </c>
      <c r="AW14" s="1059"/>
      <c r="AX14" s="1059"/>
      <c r="AY14" s="1059"/>
      <c r="AZ14" s="193"/>
      <c r="BA14" s="193"/>
      <c r="BB14" s="272"/>
      <c r="BC14" s="89"/>
      <c r="BN14" s="538"/>
      <c r="BO14" s="382"/>
      <c r="BP14" s="611" t="s">
        <v>909</v>
      </c>
      <c r="BQ14" s="612" t="s">
        <v>910</v>
      </c>
      <c r="BR14" s="382"/>
      <c r="BS14" s="382"/>
      <c r="BT14" s="382"/>
      <c r="BU14" s="589" t="s">
        <v>911</v>
      </c>
      <c r="BV14" s="589" t="s">
        <v>912</v>
      </c>
      <c r="BW14" s="589" t="s">
        <v>913</v>
      </c>
    </row>
    <row r="15" spans="1:77" ht="15" customHeight="1">
      <c r="A15" s="89"/>
      <c r="B15" s="265"/>
      <c r="C15" s="50"/>
      <c r="D15" s="50"/>
      <c r="E15" s="711"/>
      <c r="F15" s="783" t="s">
        <v>914</v>
      </c>
      <c r="G15" s="193"/>
      <c r="H15" s="193"/>
      <c r="I15" s="1074"/>
      <c r="J15" s="1074"/>
      <c r="K15" s="1074"/>
      <c r="L15" s="1074"/>
      <c r="M15" s="1074"/>
      <c r="N15" s="1074"/>
      <c r="O15" s="1074"/>
      <c r="P15" s="193"/>
      <c r="Q15" s="193"/>
      <c r="R15" s="193"/>
      <c r="S15" s="193"/>
      <c r="T15" s="193"/>
      <c r="U15" s="193"/>
      <c r="V15" s="193"/>
      <c r="W15" s="193"/>
      <c r="X15" s="193"/>
      <c r="Y15" s="193"/>
      <c r="Z15" s="193"/>
      <c r="AA15" s="193"/>
      <c r="AB15" s="1059"/>
      <c r="AC15" s="1059"/>
      <c r="AD15" s="1059"/>
      <c r="AE15" s="1059"/>
      <c r="AF15" s="500"/>
      <c r="AG15" s="500"/>
      <c r="AH15" s="193"/>
      <c r="AI15" s="193"/>
      <c r="AJ15" s="193"/>
      <c r="AK15" s="193"/>
      <c r="AL15" s="1059"/>
      <c r="AM15" s="1059"/>
      <c r="AN15" s="1059"/>
      <c r="AO15" s="1059"/>
      <c r="AP15" s="193"/>
      <c r="AQ15" s="193"/>
      <c r="AR15" s="193"/>
      <c r="AS15" s="193"/>
      <c r="AT15" s="193"/>
      <c r="AU15" s="558"/>
      <c r="AV15" s="1059"/>
      <c r="AW15" s="1059"/>
      <c r="AX15" s="1059"/>
      <c r="AY15" s="1059"/>
      <c r="AZ15" s="193"/>
      <c r="BA15" s="193"/>
      <c r="BB15" s="272"/>
      <c r="BC15" s="89"/>
      <c r="BN15" s="538"/>
      <c r="BO15" s="590" t="s">
        <v>915</v>
      </c>
      <c r="BP15" s="590"/>
      <c r="BR15" s="579" t="s">
        <v>916</v>
      </c>
      <c r="BS15" s="606">
        <f>IF($BO$2&gt;0,"",IFERROR(SUM(N49:N50)/Worksheet!H62,""))</f>
        <v>31.660258574983956</v>
      </c>
      <c r="BT15" s="591"/>
      <c r="BU15" s="664" t="s">
        <v>910</v>
      </c>
      <c r="BV15" s="592"/>
      <c r="BW15" s="592"/>
      <c r="BX15" s="540"/>
    </row>
    <row r="16" spans="1:77" ht="15" customHeight="1">
      <c r="A16" s="89"/>
      <c r="B16" s="265"/>
      <c r="C16" s="50"/>
      <c r="D16" s="193"/>
      <c r="E16" s="711"/>
      <c r="F16" s="193"/>
      <c r="G16" s="193"/>
      <c r="H16" s="193"/>
      <c r="I16" s="1074"/>
      <c r="J16" s="1074"/>
      <c r="K16" s="1074"/>
      <c r="L16" s="1074"/>
      <c r="M16" s="1074"/>
      <c r="N16" s="1074"/>
      <c r="O16" s="1074"/>
      <c r="P16" s="193"/>
      <c r="Q16" s="193"/>
      <c r="R16" s="193"/>
      <c r="S16" s="782" t="s">
        <v>917</v>
      </c>
      <c r="T16" s="193"/>
      <c r="U16" s="193"/>
      <c r="V16" s="193"/>
      <c r="W16" s="193"/>
      <c r="X16" s="193"/>
      <c r="Y16" s="193"/>
      <c r="Z16" s="193"/>
      <c r="AA16" s="193"/>
      <c r="AB16" s="193"/>
      <c r="AC16" s="193"/>
      <c r="AD16" s="193"/>
      <c r="AE16" s="193"/>
      <c r="AF16" s="500"/>
      <c r="AG16" s="500"/>
      <c r="AH16" s="193"/>
      <c r="AI16" s="193"/>
      <c r="AJ16" s="193"/>
      <c r="AK16" s="193"/>
      <c r="AL16" s="193"/>
      <c r="AM16" s="193"/>
      <c r="AN16" s="193"/>
      <c r="AO16" s="193"/>
      <c r="AP16" s="193"/>
      <c r="AQ16" s="193"/>
      <c r="AR16" s="193"/>
      <c r="AS16" s="193"/>
      <c r="AT16" s="193"/>
      <c r="AU16" s="558"/>
      <c r="AV16" s="558"/>
      <c r="AW16" s="559"/>
      <c r="AX16" s="193"/>
      <c r="AY16" s="193"/>
      <c r="AZ16" s="193"/>
      <c r="BA16" s="193"/>
      <c r="BB16" s="272"/>
      <c r="BC16" s="89"/>
      <c r="BN16" s="609" t="s">
        <v>918</v>
      </c>
      <c r="BO16" s="591" t="s">
        <v>919</v>
      </c>
      <c r="BP16" s="593">
        <f>SUM(BP17:BP20)</f>
        <v>57.801400497346833</v>
      </c>
      <c r="BQ16" s="758">
        <f>IF($BD$7="ML/Yr",BW16,BU16)</f>
        <v>5.075047838800522</v>
      </c>
      <c r="BR16" s="579" t="s">
        <v>920</v>
      </c>
      <c r="BS16" s="614">
        <f>IF(BS15="","",IF(BS15&lt;BQ16,0,IF(BS15&gt;BQ20,BQ20,BS15)))</f>
        <v>31.660258574983956</v>
      </c>
      <c r="BT16" s="591" t="s">
        <v>919</v>
      </c>
      <c r="BU16" s="605">
        <v>5.075047838800522</v>
      </c>
      <c r="BV16" s="594"/>
      <c r="BW16" s="762">
        <f>IF($Z$6="",BU16/0.737,BU16/$Z$6)</f>
        <v>6.8860893335149553</v>
      </c>
      <c r="BX16" s="540"/>
    </row>
    <row r="17" spans="1:78" ht="15" customHeight="1">
      <c r="A17" s="89"/>
      <c r="B17" s="663"/>
      <c r="C17" s="814"/>
      <c r="D17" s="193"/>
      <c r="E17" s="711"/>
      <c r="F17" s="193"/>
      <c r="G17" s="193"/>
      <c r="H17" s="193"/>
      <c r="I17" s="1074"/>
      <c r="J17" s="1074"/>
      <c r="K17" s="1074"/>
      <c r="L17" s="1074"/>
      <c r="M17" s="1074"/>
      <c r="N17" s="1074"/>
      <c r="O17" s="1074"/>
      <c r="P17" s="193"/>
      <c r="Q17" s="193"/>
      <c r="R17" s="193"/>
      <c r="S17" s="193"/>
      <c r="T17" s="193"/>
      <c r="U17" s="193"/>
      <c r="V17" s="193"/>
      <c r="W17" s="193"/>
      <c r="X17" s="193"/>
      <c r="Y17" s="193"/>
      <c r="Z17" s="193"/>
      <c r="AA17" s="193"/>
      <c r="AB17" s="558"/>
      <c r="AC17" s="656" t="s">
        <v>915</v>
      </c>
      <c r="AD17" s="193"/>
      <c r="AE17" s="656"/>
      <c r="AF17" s="656"/>
      <c r="AG17" s="657"/>
      <c r="AH17" s="649"/>
      <c r="AI17" s="649"/>
      <c r="AJ17" s="656"/>
      <c r="AK17" s="656"/>
      <c r="AL17" s="656"/>
      <c r="AM17" s="656" t="s">
        <v>921</v>
      </c>
      <c r="AN17" s="193"/>
      <c r="AO17" s="656"/>
      <c r="AP17" s="656"/>
      <c r="AQ17" s="656"/>
      <c r="AR17" s="656"/>
      <c r="AS17" s="656"/>
      <c r="AT17" s="656"/>
      <c r="AU17" s="656"/>
      <c r="AV17" s="656"/>
      <c r="AW17" s="656" t="s">
        <v>922</v>
      </c>
      <c r="AX17" s="50"/>
      <c r="AY17" s="577"/>
      <c r="AZ17" s="577"/>
      <c r="BA17" s="193"/>
      <c r="BB17" s="272"/>
      <c r="BC17" s="89"/>
      <c r="BE17" s="50" t="s">
        <v>923</v>
      </c>
      <c r="BF17" s="50" t="s">
        <v>924</v>
      </c>
      <c r="BN17" s="535"/>
      <c r="BO17" s="591" t="s">
        <v>925</v>
      </c>
      <c r="BP17" s="593">
        <f>BQ17</f>
        <v>9.3314489693766607</v>
      </c>
      <c r="BQ17" s="758">
        <f t="shared" ref="BQ17:BQ20" si="0">IF($BD$7="ML/Yr",BW17,BU17)</f>
        <v>9.3314489693766607</v>
      </c>
      <c r="BR17" s="591" t="s">
        <v>926</v>
      </c>
      <c r="BS17" s="595">
        <f>SUM(BP16:BP20)/125</f>
        <v>0.92482240795754933</v>
      </c>
      <c r="BT17" s="591" t="s">
        <v>925</v>
      </c>
      <c r="BU17" s="605">
        <v>9.3314489693766607</v>
      </c>
      <c r="BV17" s="594"/>
      <c r="BW17" s="762">
        <f>IF($Z$6="",BU17/0.737,BU17/$Z$6)</f>
        <v>12.66139615926277</v>
      </c>
      <c r="BX17" s="50" t="s">
        <v>927</v>
      </c>
      <c r="BY17" s="591"/>
      <c r="BZ17" s="595"/>
    </row>
    <row r="18" spans="1:78" ht="15" customHeight="1">
      <c r="A18" s="89"/>
      <c r="B18" s="265"/>
      <c r="C18" s="50"/>
      <c r="D18" s="193"/>
      <c r="E18" s="711"/>
      <c r="F18" s="193"/>
      <c r="G18" s="193"/>
      <c r="H18" s="193"/>
      <c r="I18" s="193"/>
      <c r="J18" s="193"/>
      <c r="K18" s="193"/>
      <c r="L18" s="193"/>
      <c r="M18" s="193"/>
      <c r="N18" s="193"/>
      <c r="O18" s="193"/>
      <c r="P18" s="193"/>
      <c r="Q18" s="193"/>
      <c r="R18" s="193"/>
      <c r="S18" s="193"/>
      <c r="T18" s="193"/>
      <c r="U18" s="193"/>
      <c r="V18" s="193"/>
      <c r="W18" s="193"/>
      <c r="X18" s="193"/>
      <c r="Y18" s="193"/>
      <c r="Z18" s="193"/>
      <c r="AA18" s="1060">
        <f>BS15</f>
        <v>31.660258574983956</v>
      </c>
      <c r="AB18" s="1060"/>
      <c r="AC18" s="1060"/>
      <c r="AD18" s="730" t="str">
        <f>BD13</f>
        <v>$/conn/year</v>
      </c>
      <c r="AE18" s="731"/>
      <c r="AF18" s="732"/>
      <c r="AG18" s="732"/>
      <c r="AH18" s="733"/>
      <c r="AI18" s="733"/>
      <c r="AJ18" s="731"/>
      <c r="AK18" s="1060">
        <f>BS22</f>
        <v>22.025778520039651</v>
      </c>
      <c r="AL18" s="1060"/>
      <c r="AM18" s="1060"/>
      <c r="AN18" s="730" t="str">
        <f>BD13</f>
        <v>$/conn/year</v>
      </c>
      <c r="AO18" s="731"/>
      <c r="AP18" s="731"/>
      <c r="AQ18" s="731"/>
      <c r="AR18" s="731"/>
      <c r="AS18" s="731"/>
      <c r="AT18" s="731"/>
      <c r="AU18" s="1060">
        <f>BS29</f>
        <v>9.6344800549443015</v>
      </c>
      <c r="AV18" s="1060"/>
      <c r="AW18" s="1060"/>
      <c r="AX18" s="730" t="str">
        <f>BD13</f>
        <v>$/conn/year</v>
      </c>
      <c r="AY18" s="576"/>
      <c r="AZ18" s="193"/>
      <c r="BA18" s="193"/>
      <c r="BB18" s="272"/>
      <c r="BC18" s="89"/>
      <c r="BD18" s="50" t="s">
        <v>911</v>
      </c>
      <c r="BE18" s="182">
        <f>(((5.41*Worksheet!H61)+(0.15*Worksheet!H62)+(7.5*(Worksheet!H62*Worksheet!W67/5280)))*Worksheet!H68)/1000000*365</f>
        <v>73.666858102500001</v>
      </c>
      <c r="BN18" s="535"/>
      <c r="BO18" s="591" t="s">
        <v>928</v>
      </c>
      <c r="BP18" s="593">
        <f>BQ18-BQ17</f>
        <v>8.9525318444022357</v>
      </c>
      <c r="BQ18" s="758">
        <f t="shared" si="0"/>
        <v>18.283980813778896</v>
      </c>
      <c r="BR18" s="591" t="s">
        <v>900</v>
      </c>
      <c r="BS18" s="595">
        <f>SUM(BP16:BP20)-SUM(BS16,BS17)</f>
        <v>83.017720011752161</v>
      </c>
      <c r="BT18" s="591" t="s">
        <v>928</v>
      </c>
      <c r="BU18" s="605">
        <v>18.283980813778896</v>
      </c>
      <c r="BV18" s="594"/>
      <c r="BW18" s="762">
        <f>IF($Z$6="",BU18/0.737,BU18/$Z$6)</f>
        <v>24.808657820595517</v>
      </c>
      <c r="BX18" s="50" t="s">
        <v>929</v>
      </c>
      <c r="BY18" s="591"/>
      <c r="BZ18" s="595"/>
    </row>
    <row r="19" spans="1:78" ht="15" customHeight="1">
      <c r="A19" s="89"/>
      <c r="B19" s="265"/>
      <c r="C19" s="50"/>
      <c r="D19" s="193"/>
      <c r="E19" s="711"/>
      <c r="F19" s="193"/>
      <c r="G19" s="193"/>
      <c r="H19" s="193"/>
      <c r="I19" s="193"/>
      <c r="J19" s="193"/>
      <c r="K19" s="193"/>
      <c r="L19" s="812" t="s">
        <v>930</v>
      </c>
      <c r="M19" s="193"/>
      <c r="N19" s="193"/>
      <c r="O19" s="193"/>
      <c r="P19" s="193"/>
      <c r="Q19" s="193"/>
      <c r="R19" s="193"/>
      <c r="S19" s="193"/>
      <c r="T19" s="193"/>
      <c r="U19" s="193"/>
      <c r="V19" s="193"/>
      <c r="W19" s="193"/>
      <c r="X19" s="193"/>
      <c r="Y19" s="193"/>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272"/>
      <c r="BC19" s="89"/>
      <c r="BD19" s="50" t="s">
        <v>912</v>
      </c>
      <c r="BE19" s="182">
        <f>BE18*1000000/325851.427242</f>
        <v>226.07498983820579</v>
      </c>
      <c r="BF19" s="181">
        <f>BE19*325851.427242/Worksheet!H62/365</f>
        <v>16.756082067247821</v>
      </c>
      <c r="BG19" s="50" t="str">
        <f>IF(BD7="Acre-ft/yr",1,"")</f>
        <v/>
      </c>
      <c r="BJ19" s="187"/>
      <c r="BN19" s="535"/>
      <c r="BO19" s="591" t="s">
        <v>931</v>
      </c>
      <c r="BP19" s="593">
        <f>BQ19-BQ18</f>
        <v>13.300705385813597</v>
      </c>
      <c r="BQ19" s="758">
        <f t="shared" si="0"/>
        <v>31.584686199592493</v>
      </c>
      <c r="BR19" s="591"/>
      <c r="BS19" s="591"/>
      <c r="BT19" s="591" t="s">
        <v>931</v>
      </c>
      <c r="BU19" s="605">
        <v>31.584686199592493</v>
      </c>
      <c r="BV19" s="594"/>
      <c r="BW19" s="762">
        <f>IF($Z$6="",BU19/0.737,BU19/$Z$6)</f>
        <v>42.855747896326314</v>
      </c>
    </row>
    <row r="20" spans="1:78" ht="15" customHeight="1">
      <c r="A20" s="89"/>
      <c r="B20" s="265"/>
      <c r="C20" s="118"/>
      <c r="D20" s="118"/>
      <c r="E20" s="711"/>
      <c r="F20" s="118"/>
      <c r="G20" s="118"/>
      <c r="H20" s="118"/>
      <c r="I20" s="118"/>
      <c r="J20" s="118"/>
      <c r="K20" s="118"/>
      <c r="L20" s="50"/>
      <c r="M20" s="118"/>
      <c r="N20" s="118"/>
      <c r="O20" s="118"/>
      <c r="P20" s="118"/>
      <c r="Q20" s="118"/>
      <c r="R20" s="118"/>
      <c r="S20" s="118"/>
      <c r="T20" s="118"/>
      <c r="U20" s="118"/>
      <c r="V20" s="118"/>
      <c r="W20" s="193"/>
      <c r="X20" s="193"/>
      <c r="Y20" s="193"/>
      <c r="Z20" s="193"/>
      <c r="AA20" s="193"/>
      <c r="AB20" s="558"/>
      <c r="AC20" s="558"/>
      <c r="AD20" s="558"/>
      <c r="AE20" s="558"/>
      <c r="AF20" s="558"/>
      <c r="AG20" s="581"/>
      <c r="AH20" s="558"/>
      <c r="AI20" s="558"/>
      <c r="AJ20" s="558"/>
      <c r="AK20" s="558"/>
      <c r="AL20" s="558"/>
      <c r="AM20" s="558"/>
      <c r="AN20" s="558"/>
      <c r="AO20" s="558"/>
      <c r="AP20" s="558"/>
      <c r="AQ20" s="558"/>
      <c r="AR20" s="558"/>
      <c r="AS20" s="558"/>
      <c r="AT20" s="558"/>
      <c r="AU20" s="558"/>
      <c r="AV20" s="497"/>
      <c r="AW20" s="558"/>
      <c r="AX20" s="193"/>
      <c r="AY20" s="193"/>
      <c r="AZ20" s="193"/>
      <c r="BA20" s="193"/>
      <c r="BB20" s="272"/>
      <c r="BC20" s="89"/>
      <c r="BD20" s="50" t="s">
        <v>913</v>
      </c>
      <c r="BE20" s="182">
        <f>(((18*Worksheet!H61)+(0.8*Worksheet!H62)+(25*(Worksheet!H62*Worksheet!W67/1000)))*Worksheet!H68)/1000000*365</f>
        <v>450.57447629999996</v>
      </c>
      <c r="BN20" s="535"/>
      <c r="BO20" s="591" t="s">
        <v>932</v>
      </c>
      <c r="BP20" s="593">
        <f>BQ20-BQ19</f>
        <v>26.21671429775434</v>
      </c>
      <c r="BQ20" s="758">
        <f t="shared" si="0"/>
        <v>57.801400497346833</v>
      </c>
      <c r="BR20" s="591"/>
      <c r="BS20" s="591"/>
      <c r="BT20" s="591" t="s">
        <v>932</v>
      </c>
      <c r="BU20" s="605">
        <v>57.801400497346833</v>
      </c>
      <c r="BV20" s="594"/>
      <c r="BW20" s="762">
        <f>IF($Z$6="",BU20/0.737,BU20/$Z$6)</f>
        <v>78.427951828150384</v>
      </c>
      <c r="BX20" s="613" t="s">
        <v>933</v>
      </c>
    </row>
    <row r="21" spans="1:78" ht="15" customHeight="1">
      <c r="A21" s="89"/>
      <c r="B21" s="265"/>
      <c r="C21" s="118"/>
      <c r="D21" s="118"/>
      <c r="E21" s="711"/>
      <c r="F21" s="118"/>
      <c r="G21" s="118"/>
      <c r="H21" s="118"/>
      <c r="I21" s="118"/>
      <c r="J21" s="118"/>
      <c r="K21" s="118"/>
      <c r="L21" s="118"/>
      <c r="M21" s="118"/>
      <c r="N21" s="118"/>
      <c r="O21" s="118"/>
      <c r="P21" s="118"/>
      <c r="Q21" s="118"/>
      <c r="R21" s="118"/>
      <c r="S21" s="118"/>
      <c r="T21" s="118"/>
      <c r="U21" s="118"/>
      <c r="V21" s="118"/>
      <c r="W21" s="193"/>
      <c r="X21" s="193"/>
      <c r="Y21" s="193"/>
      <c r="Z21" s="193"/>
      <c r="AA21" s="193"/>
      <c r="AB21" s="558"/>
      <c r="AC21" s="558"/>
      <c r="AD21" s="558"/>
      <c r="AE21" s="558"/>
      <c r="AF21" s="581"/>
      <c r="AG21" s="581"/>
      <c r="AH21" s="558"/>
      <c r="AI21" s="558"/>
      <c r="AJ21" s="558"/>
      <c r="AK21" s="558"/>
      <c r="AL21" s="558"/>
      <c r="AM21" s="558"/>
      <c r="AN21" s="558"/>
      <c r="AO21" s="558"/>
      <c r="AP21" s="558"/>
      <c r="AQ21" s="558"/>
      <c r="AR21" s="558"/>
      <c r="AS21" s="558"/>
      <c r="AT21" s="558"/>
      <c r="AU21" s="558"/>
      <c r="AV21" s="497"/>
      <c r="AW21" s="573"/>
      <c r="AX21" s="560"/>
      <c r="AY21" s="560"/>
      <c r="AZ21" s="561"/>
      <c r="BA21" s="562"/>
      <c r="BB21" s="272"/>
      <c r="BC21" s="89"/>
      <c r="BE21" s="182"/>
      <c r="BN21" s="535"/>
      <c r="BO21" s="576"/>
      <c r="BP21" s="611" t="s">
        <v>909</v>
      </c>
      <c r="BQ21" s="612" t="s">
        <v>910</v>
      </c>
      <c r="BR21" s="576"/>
      <c r="BS21" s="576"/>
      <c r="BT21" s="576"/>
      <c r="BU21" s="596"/>
      <c r="BV21" s="594"/>
      <c r="BW21" s="594"/>
      <c r="BX21" s="540"/>
    </row>
    <row r="22" spans="1:78" ht="12.95" customHeight="1">
      <c r="A22" s="89"/>
      <c r="B22" s="488"/>
      <c r="C22" s="118"/>
      <c r="D22" s="118"/>
      <c r="E22" s="711"/>
      <c r="F22" s="118"/>
      <c r="G22" s="118"/>
      <c r="H22" s="118"/>
      <c r="I22" s="118"/>
      <c r="J22" s="118"/>
      <c r="K22" s="118"/>
      <c r="L22" s="118"/>
      <c r="M22" s="118"/>
      <c r="N22" s="118"/>
      <c r="O22" s="118"/>
      <c r="P22" s="118"/>
      <c r="Q22" s="118"/>
      <c r="R22" s="118"/>
      <c r="S22" s="118"/>
      <c r="T22" s="118"/>
      <c r="U22" s="118"/>
      <c r="V22" s="118"/>
      <c r="W22" s="193"/>
      <c r="X22" s="193"/>
      <c r="Y22" s="193"/>
      <c r="Z22" s="193"/>
      <c r="AA22" s="193"/>
      <c r="AB22" s="558"/>
      <c r="AC22" s="558"/>
      <c r="AD22" s="558"/>
      <c r="AE22" s="558"/>
      <c r="AF22" s="581"/>
      <c r="AG22" s="581"/>
      <c r="AH22" s="582"/>
      <c r="AI22" s="582"/>
      <c r="AJ22" s="573"/>
      <c r="AK22" s="558"/>
      <c r="AL22" s="558"/>
      <c r="AM22" s="558"/>
      <c r="AN22" s="558"/>
      <c r="AO22" s="558"/>
      <c r="AP22" s="558"/>
      <c r="AQ22" s="558"/>
      <c r="AR22" s="558"/>
      <c r="AS22" s="558"/>
      <c r="AT22" s="558"/>
      <c r="AU22" s="558"/>
      <c r="AV22" s="558"/>
      <c r="AW22" s="573"/>
      <c r="AX22" s="193"/>
      <c r="AY22" s="193"/>
      <c r="AZ22" s="193"/>
      <c r="BA22" s="193"/>
      <c r="BB22" s="266"/>
      <c r="BC22" s="89"/>
      <c r="BN22" s="535"/>
      <c r="BO22" s="590" t="s">
        <v>921</v>
      </c>
      <c r="BP22" s="590"/>
      <c r="BQ22" s="590"/>
      <c r="BR22" s="579" t="s">
        <v>916</v>
      </c>
      <c r="BS22" s="606">
        <f>IF($BO$2&gt;0,"",IFERROR(N49/Worksheet!H62,""))</f>
        <v>22.025778520039651</v>
      </c>
      <c r="BT22" s="576"/>
      <c r="BU22" s="664" t="s">
        <v>910</v>
      </c>
      <c r="BV22" s="594"/>
      <c r="BW22" s="594"/>
      <c r="BX22" s="540"/>
    </row>
    <row r="23" spans="1:78" ht="12.95" customHeight="1">
      <c r="A23" s="89"/>
      <c r="B23" s="488"/>
      <c r="C23" s="118"/>
      <c r="D23" s="118"/>
      <c r="E23" s="711"/>
      <c r="F23" s="118"/>
      <c r="G23" s="118"/>
      <c r="H23" s="118"/>
      <c r="I23" s="118"/>
      <c r="J23" s="118"/>
      <c r="K23" s="118"/>
      <c r="L23" s="118"/>
      <c r="M23" s="118"/>
      <c r="N23" s="118"/>
      <c r="O23" s="118"/>
      <c r="P23" s="118"/>
      <c r="Q23" s="118"/>
      <c r="R23" s="118"/>
      <c r="S23" s="118"/>
      <c r="T23" s="118"/>
      <c r="U23" s="118"/>
      <c r="V23" s="118"/>
      <c r="W23" s="193"/>
      <c r="X23" s="193"/>
      <c r="Y23" s="193"/>
      <c r="Z23" s="193"/>
      <c r="AA23" s="193"/>
      <c r="AB23" s="193"/>
      <c r="AC23" s="193"/>
      <c r="AD23" s="193"/>
      <c r="AE23" s="193"/>
      <c r="AF23" s="500"/>
      <c r="AG23" s="500"/>
      <c r="AH23" s="555"/>
      <c r="AI23" s="555"/>
      <c r="AJ23" s="560"/>
      <c r="AK23" s="193"/>
      <c r="AL23" s="193"/>
      <c r="AM23" s="193"/>
      <c r="AN23" s="193"/>
      <c r="AO23" s="193"/>
      <c r="AP23" s="193"/>
      <c r="AQ23" s="193"/>
      <c r="AR23" s="193"/>
      <c r="AS23" s="193"/>
      <c r="AT23" s="193"/>
      <c r="AU23" s="558"/>
      <c r="AV23" s="193"/>
      <c r="AW23" s="193"/>
      <c r="AX23" s="193"/>
      <c r="AY23" s="193"/>
      <c r="AZ23" s="193"/>
      <c r="BA23" s="193"/>
      <c r="BB23" s="266"/>
      <c r="BC23" s="89"/>
      <c r="BN23" s="609" t="s">
        <v>918</v>
      </c>
      <c r="BO23" s="591" t="s">
        <v>919</v>
      </c>
      <c r="BP23" s="593">
        <f>SUM(BP24:BP27)</f>
        <v>24.233075430263664</v>
      </c>
      <c r="BQ23" s="758">
        <f>IF($BD$7="ML/Yr",BW23,BU23)</f>
        <v>0.26714599111167436</v>
      </c>
      <c r="BR23" s="579" t="s">
        <v>920</v>
      </c>
      <c r="BS23" s="614">
        <f>IF(BS22="","",IF(BS22&lt;BQ23,0,IF(BS22&gt;BQ27,BQ27,BS22)))</f>
        <v>22.025778520039651</v>
      </c>
      <c r="BT23" s="591" t="s">
        <v>919</v>
      </c>
      <c r="BU23" s="605">
        <v>0.26714599111167436</v>
      </c>
      <c r="BV23" s="594"/>
      <c r="BW23" s="762">
        <f>IF($Z$6="",BU23/0.737,BU23/$Z$6)</f>
        <v>0.36247759988015515</v>
      </c>
      <c r="BX23" s="540"/>
    </row>
    <row r="24" spans="1:78" ht="12.95" customHeight="1">
      <c r="A24" s="89"/>
      <c r="B24" s="488"/>
      <c r="C24" s="118"/>
      <c r="D24" s="118"/>
      <c r="E24" s="711"/>
      <c r="F24" s="118"/>
      <c r="G24" s="118"/>
      <c r="H24" s="118"/>
      <c r="I24" s="118"/>
      <c r="J24" s="118"/>
      <c r="K24" s="118"/>
      <c r="L24" s="118"/>
      <c r="M24" s="118"/>
      <c r="N24" s="118"/>
      <c r="O24" s="118"/>
      <c r="P24" s="118"/>
      <c r="Q24" s="118"/>
      <c r="R24" s="118"/>
      <c r="S24" s="118"/>
      <c r="T24" s="118"/>
      <c r="U24" s="118"/>
      <c r="V24" s="118"/>
      <c r="W24" s="193"/>
      <c r="X24" s="193"/>
      <c r="Y24" s="193"/>
      <c r="Z24" s="193"/>
      <c r="AA24" s="193"/>
      <c r="AB24" s="193"/>
      <c r="AC24" s="193"/>
      <c r="AD24" s="193"/>
      <c r="AE24" s="193"/>
      <c r="AF24" s="500"/>
      <c r="AG24" s="500"/>
      <c r="AH24" s="555"/>
      <c r="AI24" s="555"/>
      <c r="AJ24" s="560"/>
      <c r="AK24" s="193"/>
      <c r="AL24" s="193"/>
      <c r="AM24" s="193"/>
      <c r="AN24" s="193"/>
      <c r="AO24" s="193"/>
      <c r="AP24" s="193"/>
      <c r="AQ24" s="193"/>
      <c r="AR24" s="193"/>
      <c r="AS24" s="193"/>
      <c r="AT24" s="193"/>
      <c r="AU24" s="558"/>
      <c r="AV24" s="193"/>
      <c r="AW24" s="560"/>
      <c r="AX24" s="193"/>
      <c r="AY24" s="193"/>
      <c r="AZ24" s="193"/>
      <c r="BA24" s="193"/>
      <c r="BB24" s="266"/>
      <c r="BC24" s="89"/>
      <c r="BN24" s="535"/>
      <c r="BO24" s="591" t="s">
        <v>925</v>
      </c>
      <c r="BP24" s="593">
        <f>BQ24</f>
        <v>0.87495347188920114</v>
      </c>
      <c r="BQ24" s="758">
        <f t="shared" ref="BQ24:BQ27" si="1">IF($BD$7="ML/Yr",BW24,BU24)</f>
        <v>0.87495347188920114</v>
      </c>
      <c r="BR24" s="591" t="s">
        <v>926</v>
      </c>
      <c r="BS24" s="595">
        <f>SUM(BP23:BP27)/125</f>
        <v>0.38772920688421864</v>
      </c>
      <c r="BT24" s="591" t="s">
        <v>925</v>
      </c>
      <c r="BU24" s="605">
        <v>0.87495347188920114</v>
      </c>
      <c r="BV24" s="594"/>
      <c r="BW24" s="762">
        <f>IF($Z$6="",BU24/0.737,BU24/$Z$6)</f>
        <v>1.1871824584656732</v>
      </c>
      <c r="BX24" s="50" t="s">
        <v>927</v>
      </c>
    </row>
    <row r="25" spans="1:78" ht="12.95" customHeight="1">
      <c r="A25" s="89"/>
      <c r="B25" s="488"/>
      <c r="C25" s="118"/>
      <c r="D25" s="118"/>
      <c r="E25" s="711"/>
      <c r="F25" s="118"/>
      <c r="G25" s="118"/>
      <c r="H25" s="118"/>
      <c r="I25" s="118"/>
      <c r="J25" s="118"/>
      <c r="K25" s="118"/>
      <c r="L25" s="118"/>
      <c r="M25" s="118"/>
      <c r="N25" s="118"/>
      <c r="O25" s="118"/>
      <c r="P25" s="118"/>
      <c r="Q25" s="118"/>
      <c r="R25" s="118"/>
      <c r="S25" s="118"/>
      <c r="T25" s="118"/>
      <c r="U25" s="118"/>
      <c r="V25" s="118"/>
      <c r="W25" s="193"/>
      <c r="X25" s="193"/>
      <c r="Y25" s="193"/>
      <c r="Z25" s="193"/>
      <c r="AA25" s="193"/>
      <c r="AB25" s="1059" t="str">
        <f>IF(BS36&lt;0,"negative result check inputs",IF($BS$37=0,"result is below 10th %ile",IF($BS$36&gt;$BS$37,"result is above 90th %ile","")))</f>
        <v/>
      </c>
      <c r="AC25" s="1059"/>
      <c r="AD25" s="1059"/>
      <c r="AE25" s="1059"/>
      <c r="AF25" s="500"/>
      <c r="AG25" s="500"/>
      <c r="AH25" s="555"/>
      <c r="AI25" s="555"/>
      <c r="AJ25" s="560"/>
      <c r="AK25" s="193"/>
      <c r="AL25" s="1059" t="str">
        <f>IF(BS43&lt;0,"negative result check inputs",IF($BS$44=0,"result is below 10th %ile",IF($BS$43&gt;$BS$44,"result is above 90th %ile","")))</f>
        <v/>
      </c>
      <c r="AM25" s="1059"/>
      <c r="AN25" s="1059"/>
      <c r="AO25" s="1059"/>
      <c r="AP25" s="193"/>
      <c r="AQ25" s="193"/>
      <c r="AR25" s="193"/>
      <c r="AS25" s="193"/>
      <c r="AT25" s="193"/>
      <c r="AU25" s="558"/>
      <c r="AV25" s="1059" t="str">
        <f>IF(BS55&lt;0,"negative result check inputs",IF($BS$56=0,"result is below 10th %ile",IF($BS$55&gt;$BS$56,"result is above 90th %ile","")))</f>
        <v/>
      </c>
      <c r="AW25" s="1059"/>
      <c r="AX25" s="1059"/>
      <c r="AY25" s="1059"/>
      <c r="AZ25" s="193"/>
      <c r="BA25" s="193"/>
      <c r="BB25" s="266"/>
      <c r="BC25" s="89"/>
      <c r="BN25" s="535"/>
      <c r="BO25" s="591" t="s">
        <v>928</v>
      </c>
      <c r="BP25" s="593">
        <f>BQ25-BQ24</f>
        <v>5.2798362211473915</v>
      </c>
      <c r="BQ25" s="758">
        <f t="shared" si="1"/>
        <v>6.1547896930365926</v>
      </c>
      <c r="BR25" s="591" t="s">
        <v>900</v>
      </c>
      <c r="BS25" s="595">
        <f>SUM(BP23:BP27)-SUM(BS23,BS24)</f>
        <v>26.052643133603457</v>
      </c>
      <c r="BT25" s="591" t="s">
        <v>928</v>
      </c>
      <c r="BU25" s="605">
        <v>6.1547896930365926</v>
      </c>
      <c r="BV25" s="594"/>
      <c r="BW25" s="762">
        <f>IF($Z$6="",BU25/0.737,BU25/$Z$6)</f>
        <v>8.3511393392626765</v>
      </c>
      <c r="BX25" s="50" t="s">
        <v>929</v>
      </c>
    </row>
    <row r="26" spans="1:78" ht="12.95" customHeight="1">
      <c r="A26" s="89"/>
      <c r="B26" s="488"/>
      <c r="C26" s="118"/>
      <c r="D26" s="118"/>
      <c r="E26" s="711"/>
      <c r="F26" s="118"/>
      <c r="G26" s="118"/>
      <c r="H26" s="118"/>
      <c r="I26" s="118"/>
      <c r="J26" s="118"/>
      <c r="K26" s="118"/>
      <c r="L26" s="118"/>
      <c r="M26" s="118"/>
      <c r="N26" s="118"/>
      <c r="O26" s="118"/>
      <c r="P26" s="118"/>
      <c r="Q26" s="118"/>
      <c r="R26" s="118"/>
      <c r="S26" s="118"/>
      <c r="T26" s="118"/>
      <c r="U26" s="118"/>
      <c r="V26" s="118"/>
      <c r="W26" s="193"/>
      <c r="X26" s="193"/>
      <c r="Y26" s="193"/>
      <c r="Z26" s="193"/>
      <c r="AA26" s="193"/>
      <c r="AB26" s="1059"/>
      <c r="AC26" s="1059"/>
      <c r="AD26" s="1059"/>
      <c r="AE26" s="1059"/>
      <c r="AF26" s="500"/>
      <c r="AG26" s="500"/>
      <c r="AH26" s="555"/>
      <c r="AI26" s="555"/>
      <c r="AJ26" s="560"/>
      <c r="AK26" s="193"/>
      <c r="AL26" s="1059"/>
      <c r="AM26" s="1059"/>
      <c r="AN26" s="1059"/>
      <c r="AO26" s="1059"/>
      <c r="AP26" s="193"/>
      <c r="AQ26" s="193"/>
      <c r="AR26" s="193"/>
      <c r="AS26" s="193"/>
      <c r="AT26" s="193"/>
      <c r="AU26" s="558"/>
      <c r="AV26" s="1059"/>
      <c r="AW26" s="1059"/>
      <c r="AX26" s="1059"/>
      <c r="AY26" s="1059"/>
      <c r="AZ26" s="193"/>
      <c r="BA26" s="193"/>
      <c r="BB26" s="266"/>
      <c r="BC26" s="89"/>
      <c r="BN26" s="535"/>
      <c r="BO26" s="591" t="s">
        <v>931</v>
      </c>
      <c r="BP26" s="593">
        <f>BQ26-BQ25</f>
        <v>7.97433526183511</v>
      </c>
      <c r="BQ26" s="758">
        <f t="shared" si="1"/>
        <v>14.129124954871703</v>
      </c>
      <c r="BR26" s="591"/>
      <c r="BS26" s="591"/>
      <c r="BT26" s="591" t="s">
        <v>931</v>
      </c>
      <c r="BU26" s="605">
        <v>14.129124954871703</v>
      </c>
      <c r="BV26" s="594"/>
      <c r="BW26" s="762">
        <f>IF($Z$6="",BU26/0.737,BU26/$Z$6)</f>
        <v>19.17113291027368</v>
      </c>
    </row>
    <row r="27" spans="1:78" ht="12.95" customHeight="1">
      <c r="A27" s="89"/>
      <c r="B27" s="488"/>
      <c r="C27" s="118"/>
      <c r="D27" s="118"/>
      <c r="E27" s="711"/>
      <c r="F27" s="118"/>
      <c r="G27" s="118"/>
      <c r="H27" s="118"/>
      <c r="I27" s="118"/>
      <c r="J27" s="118"/>
      <c r="K27" s="118"/>
      <c r="L27" s="118"/>
      <c r="M27" s="118"/>
      <c r="N27" s="118"/>
      <c r="O27" s="118"/>
      <c r="P27" s="118"/>
      <c r="Q27" s="118"/>
      <c r="R27" s="118"/>
      <c r="S27" s="118"/>
      <c r="T27" s="118"/>
      <c r="U27" s="118"/>
      <c r="V27" s="118"/>
      <c r="W27" s="193"/>
      <c r="X27" s="193"/>
      <c r="Y27" s="193"/>
      <c r="Z27" s="193"/>
      <c r="AA27" s="193"/>
      <c r="AB27" s="193"/>
      <c r="AC27" s="193"/>
      <c r="AD27" s="193"/>
      <c r="AE27" s="193"/>
      <c r="AF27" s="500"/>
      <c r="AG27" s="500"/>
      <c r="AH27" s="555"/>
      <c r="AI27" s="555"/>
      <c r="AJ27" s="560"/>
      <c r="AK27" s="193"/>
      <c r="AL27" s="193"/>
      <c r="AM27" s="193"/>
      <c r="AN27" s="193"/>
      <c r="AO27" s="193"/>
      <c r="AP27" s="193"/>
      <c r="AQ27" s="193"/>
      <c r="AR27" s="193"/>
      <c r="AS27" s="193"/>
      <c r="AT27" s="193"/>
      <c r="AU27" s="558"/>
      <c r="AV27" s="193"/>
      <c r="AW27" s="560"/>
      <c r="AX27" s="193"/>
      <c r="AY27" s="193"/>
      <c r="AZ27" s="193"/>
      <c r="BA27" s="193"/>
      <c r="BB27" s="266"/>
      <c r="BC27" s="89"/>
      <c r="BD27" s="736">
        <f>'M36 Refs'!AN118</f>
        <v>0</v>
      </c>
      <c r="BE27" s="174" t="s">
        <v>934</v>
      </c>
      <c r="BN27" s="535"/>
      <c r="BO27" s="591" t="s">
        <v>932</v>
      </c>
      <c r="BP27" s="593">
        <f>BQ27-BQ26</f>
        <v>10.103950475391962</v>
      </c>
      <c r="BQ27" s="758">
        <f t="shared" si="1"/>
        <v>24.233075430263664</v>
      </c>
      <c r="BR27" s="591"/>
      <c r="BS27" s="591"/>
      <c r="BT27" s="591" t="s">
        <v>932</v>
      </c>
      <c r="BU27" s="605">
        <v>24.233075430263664</v>
      </c>
      <c r="BV27" s="594"/>
      <c r="BW27" s="762">
        <f>IF($Z$6="",BU27/0.737,BU27/$Z$6)</f>
        <v>32.880699362637266</v>
      </c>
      <c r="BX27" s="613" t="s">
        <v>933</v>
      </c>
    </row>
    <row r="28" spans="1:78" ht="12.95" customHeight="1">
      <c r="A28" s="89"/>
      <c r="B28" s="488"/>
      <c r="C28" s="118"/>
      <c r="D28" s="118"/>
      <c r="E28" s="711"/>
      <c r="F28" s="118"/>
      <c r="G28" s="118"/>
      <c r="H28" s="118"/>
      <c r="I28" s="118"/>
      <c r="J28" s="118"/>
      <c r="K28" s="118"/>
      <c r="L28" s="118"/>
      <c r="M28" s="118"/>
      <c r="N28" s="118"/>
      <c r="O28" s="118"/>
      <c r="P28" s="118"/>
      <c r="Q28" s="118"/>
      <c r="R28" s="118"/>
      <c r="S28" s="118"/>
      <c r="T28" s="118"/>
      <c r="U28" s="118"/>
      <c r="V28" s="118"/>
      <c r="W28" s="193"/>
      <c r="X28" s="193"/>
      <c r="Y28" s="193"/>
      <c r="Z28" s="193"/>
      <c r="AA28" s="193"/>
      <c r="AB28" s="193"/>
      <c r="AC28" s="656" t="s">
        <v>935</v>
      </c>
      <c r="AD28" s="658"/>
      <c r="AE28" s="659"/>
      <c r="AF28" s="659"/>
      <c r="AG28" s="658"/>
      <c r="AH28" s="658"/>
      <c r="AI28" s="658"/>
      <c r="AJ28" s="658"/>
      <c r="AK28" s="658"/>
      <c r="AL28" s="658"/>
      <c r="AM28" s="656" t="s">
        <v>936</v>
      </c>
      <c r="AN28" s="659"/>
      <c r="AO28" s="659"/>
      <c r="AP28" s="659"/>
      <c r="AQ28" s="659"/>
      <c r="AR28" s="659"/>
      <c r="AS28" s="659"/>
      <c r="AT28" s="659"/>
      <c r="AU28" s="659"/>
      <c r="AV28" s="660"/>
      <c r="AW28" s="656" t="s">
        <v>937</v>
      </c>
      <c r="AX28" s="193"/>
      <c r="AY28" s="193"/>
      <c r="AZ28" s="193"/>
      <c r="BA28" s="193"/>
      <c r="BB28" s="266"/>
      <c r="BC28" s="89"/>
      <c r="BD28" s="50">
        <f>IF(ISBLANK('Start Page'!$AB$22),0,1)</f>
        <v>1</v>
      </c>
      <c r="BE28" s="174" t="s">
        <v>938</v>
      </c>
      <c r="BN28" s="535"/>
      <c r="BP28" s="611" t="s">
        <v>909</v>
      </c>
      <c r="BQ28" s="612" t="s">
        <v>910</v>
      </c>
      <c r="BU28" s="50"/>
      <c r="BV28" s="594"/>
      <c r="BW28" s="594"/>
      <c r="BX28" s="540"/>
    </row>
    <row r="29" spans="1:78" ht="12.95" customHeight="1">
      <c r="A29" s="89"/>
      <c r="B29" s="488"/>
      <c r="C29" s="118"/>
      <c r="D29" s="118"/>
      <c r="E29" s="711"/>
      <c r="F29" s="118"/>
      <c r="G29" s="118"/>
      <c r="H29" s="118"/>
      <c r="I29" s="118"/>
      <c r="J29" s="118"/>
      <c r="K29" s="118"/>
      <c r="L29" s="118"/>
      <c r="M29" s="118"/>
      <c r="N29" s="118"/>
      <c r="O29" s="118"/>
      <c r="P29" s="118"/>
      <c r="Q29" s="118"/>
      <c r="R29" s="118"/>
      <c r="S29" s="118"/>
      <c r="T29" s="118"/>
      <c r="U29" s="118"/>
      <c r="V29" s="118"/>
      <c r="W29" s="193"/>
      <c r="X29" s="193"/>
      <c r="Y29" s="193"/>
      <c r="Z29" s="193"/>
      <c r="AA29" s="1064">
        <f>BS36</f>
        <v>36.216771730603099</v>
      </c>
      <c r="AB29" s="1064"/>
      <c r="AC29" s="1064"/>
      <c r="AD29" s="729" t="str">
        <f>BD10</f>
        <v>gal/conn/day</v>
      </c>
      <c r="AE29" s="729"/>
      <c r="AF29" s="734"/>
      <c r="AG29" s="734"/>
      <c r="AH29" s="575"/>
      <c r="AI29" s="575"/>
      <c r="AJ29" s="575"/>
      <c r="AK29" s="1064">
        <f>BS43</f>
        <v>4.367745732182903</v>
      </c>
      <c r="AL29" s="1064"/>
      <c r="AM29" s="1064"/>
      <c r="AN29" s="730" t="str">
        <f>BD10</f>
        <v>gal/conn/day</v>
      </c>
      <c r="AO29" s="575"/>
      <c r="AP29" s="575"/>
      <c r="AQ29" s="575"/>
      <c r="AR29" s="575"/>
      <c r="AS29" s="575"/>
      <c r="AT29" s="575"/>
      <c r="AU29" s="1070">
        <f>BS55</f>
        <v>31.849025998420196</v>
      </c>
      <c r="AV29" s="1070"/>
      <c r="AW29" s="1070"/>
      <c r="AX29" s="730" t="str">
        <f>BD10</f>
        <v>gal/conn/day</v>
      </c>
      <c r="AY29" s="575"/>
      <c r="AZ29" s="193"/>
      <c r="BA29" s="193"/>
      <c r="BB29" s="266"/>
      <c r="BC29" s="89"/>
      <c r="BD29" s="737" t="b">
        <f>IF('Interactive Data Grading'!D465=VPC!C28,TRUE,FALSE)</f>
        <v>0</v>
      </c>
      <c r="BE29" s="50" t="s">
        <v>939</v>
      </c>
      <c r="BO29" s="590" t="s">
        <v>922</v>
      </c>
      <c r="BP29" s="590"/>
      <c r="BQ29" s="590"/>
      <c r="BR29" s="579" t="s">
        <v>916</v>
      </c>
      <c r="BS29" s="606">
        <f>IF($BO$2&gt;0,"",IFERROR(N50/Worksheet!H62,""))</f>
        <v>9.6344800549443015</v>
      </c>
      <c r="BT29" s="576"/>
      <c r="BU29" s="664" t="s">
        <v>910</v>
      </c>
      <c r="BV29" s="594"/>
      <c r="BW29" s="594"/>
      <c r="BX29" s="540"/>
    </row>
    <row r="30" spans="1:78" ht="12.95" customHeight="1">
      <c r="A30" s="89"/>
      <c r="B30" s="488"/>
      <c r="C30" s="118"/>
      <c r="D30" s="118"/>
      <c r="E30" s="711"/>
      <c r="F30" s="118"/>
      <c r="G30" s="118"/>
      <c r="H30" s="118"/>
      <c r="I30" s="118"/>
      <c r="J30" s="118"/>
      <c r="K30" s="118"/>
      <c r="L30" s="118"/>
      <c r="M30" s="118"/>
      <c r="N30" s="118"/>
      <c r="O30" s="118"/>
      <c r="P30" s="118"/>
      <c r="Q30" s="118"/>
      <c r="R30" s="118"/>
      <c r="S30" s="118"/>
      <c r="T30" s="118"/>
      <c r="U30" s="118"/>
      <c r="V30" s="118"/>
      <c r="W30" s="193"/>
      <c r="X30" s="193"/>
      <c r="Y30" s="193"/>
      <c r="Z30" s="193"/>
      <c r="AA30" s="193"/>
      <c r="AB30" s="193"/>
      <c r="AC30" s="50"/>
      <c r="AD30" s="193"/>
      <c r="AE30" s="193"/>
      <c r="AF30" s="500"/>
      <c r="AG30" s="500"/>
      <c r="AH30" s="555"/>
      <c r="AI30" s="555"/>
      <c r="AJ30" s="560"/>
      <c r="AK30" s="193"/>
      <c r="AL30" s="193"/>
      <c r="AM30" s="50"/>
      <c r="AN30" s="193"/>
      <c r="AO30" s="193"/>
      <c r="AP30" s="193"/>
      <c r="AQ30" s="193"/>
      <c r="AR30" s="193"/>
      <c r="AS30" s="193"/>
      <c r="AT30" s="193"/>
      <c r="AU30" s="558"/>
      <c r="AV30" s="556"/>
      <c r="AW30" s="50"/>
      <c r="AX30" s="50"/>
      <c r="AY30" s="193"/>
      <c r="AZ30" s="193"/>
      <c r="BA30" s="193"/>
      <c r="BB30" s="266"/>
      <c r="BC30" s="89"/>
      <c r="BE30" s="50" t="s">
        <v>940</v>
      </c>
      <c r="BN30" s="609" t="s">
        <v>918</v>
      </c>
      <c r="BO30" s="591" t="s">
        <v>919</v>
      </c>
      <c r="BP30" s="593">
        <f>SUM(BP31:BP34)</f>
        <v>35.54734395994759</v>
      </c>
      <c r="BQ30" s="758">
        <f>IF($BD$7="ML/Yr",BW30,BU30)</f>
        <v>1.9039650877460725</v>
      </c>
      <c r="BR30" s="579" t="s">
        <v>920</v>
      </c>
      <c r="BS30" s="614">
        <f>IF(BS29="","",IF(BS29&lt;BQ30,0,IF(BS29&gt;BQ34,BQ34,BS29)))</f>
        <v>9.6344800549443015</v>
      </c>
      <c r="BT30" s="591" t="s">
        <v>919</v>
      </c>
      <c r="BU30" s="605">
        <v>1.9039650877460725</v>
      </c>
      <c r="BV30" s="594"/>
      <c r="BW30" s="762">
        <f>IF($Z$6="",BU30/0.737,BU30/$Z$6)</f>
        <v>2.5833990335767605</v>
      </c>
      <c r="BX30" s="540"/>
    </row>
    <row r="31" spans="1:78" ht="12.95" customHeight="1">
      <c r="A31" s="89"/>
      <c r="B31" s="488"/>
      <c r="C31" s="118"/>
      <c r="D31" s="118"/>
      <c r="E31" s="711"/>
      <c r="F31" s="118"/>
      <c r="G31" s="118"/>
      <c r="H31" s="118"/>
      <c r="I31" s="118"/>
      <c r="J31" s="118"/>
      <c r="K31" s="118"/>
      <c r="L31" s="118"/>
      <c r="M31" s="118"/>
      <c r="N31" s="118"/>
      <c r="O31" s="118"/>
      <c r="P31" s="118"/>
      <c r="Q31" s="118"/>
      <c r="R31" s="118"/>
      <c r="S31" s="118"/>
      <c r="T31" s="118"/>
      <c r="U31" s="118"/>
      <c r="V31" s="118"/>
      <c r="W31" s="193"/>
      <c r="X31" s="769" t="s">
        <v>429</v>
      </c>
      <c r="Y31" s="50"/>
      <c r="Z31" s="193"/>
      <c r="AA31" s="193"/>
      <c r="AB31" s="50"/>
      <c r="AC31" s="50"/>
      <c r="AD31" s="193"/>
      <c r="AE31" s="193"/>
      <c r="AF31" s="193"/>
      <c r="AG31" s="193"/>
      <c r="AH31" s="500"/>
      <c r="AI31" s="500"/>
      <c r="AJ31" s="555"/>
      <c r="AK31" s="555"/>
      <c r="AL31" s="560"/>
      <c r="AM31" s="193"/>
      <c r="AN31" s="193"/>
      <c r="AO31" s="193"/>
      <c r="AP31" s="193"/>
      <c r="AQ31" s="193"/>
      <c r="AR31" s="193"/>
      <c r="AS31" s="193"/>
      <c r="AT31" s="193"/>
      <c r="AU31" s="193"/>
      <c r="AV31" s="193"/>
      <c r="AW31" s="558"/>
      <c r="AX31" s="193"/>
      <c r="AY31" s="193"/>
      <c r="AZ31" s="193"/>
      <c r="BA31" s="193"/>
      <c r="BB31" s="266"/>
      <c r="BC31" s="89"/>
      <c r="BE31" s="175" t="s">
        <v>941</v>
      </c>
      <c r="BN31" s="535"/>
      <c r="BO31" s="591" t="s">
        <v>925</v>
      </c>
      <c r="BP31" s="593">
        <f>BQ31</f>
        <v>3.7255465834551216</v>
      </c>
      <c r="BQ31" s="758">
        <f t="shared" ref="BQ31:BQ34" si="2">IF($BD$7="ML/Yr",BW31,BU31)</f>
        <v>3.7255465834551216</v>
      </c>
      <c r="BR31" s="591" t="s">
        <v>926</v>
      </c>
      <c r="BS31" s="595">
        <f>SUM(BP30:BP34)/125</f>
        <v>0.56875750335916142</v>
      </c>
      <c r="BT31" s="591" t="s">
        <v>925</v>
      </c>
      <c r="BU31" s="605">
        <v>3.7255465834551216</v>
      </c>
      <c r="BV31" s="594"/>
      <c r="BW31" s="762">
        <f>IF($Z$6="",BU31/0.737,BU31/$Z$6)</f>
        <v>5.0550157170354435</v>
      </c>
      <c r="BX31" s="50" t="s">
        <v>927</v>
      </c>
    </row>
    <row r="32" spans="1:78" ht="12.95" customHeight="1">
      <c r="A32" s="89"/>
      <c r="B32" s="488"/>
      <c r="C32" s="118"/>
      <c r="D32" s="118"/>
      <c r="E32" s="711"/>
      <c r="F32" s="118"/>
      <c r="G32" s="118"/>
      <c r="H32" s="118"/>
      <c r="I32" s="118"/>
      <c r="J32" s="118"/>
      <c r="K32" s="118"/>
      <c r="L32" s="118"/>
      <c r="M32" s="118"/>
      <c r="N32" s="118"/>
      <c r="O32" s="118"/>
      <c r="P32" s="118"/>
      <c r="Q32" s="118"/>
      <c r="R32" s="118"/>
      <c r="S32" s="118"/>
      <c r="T32" s="118"/>
      <c r="U32" s="118"/>
      <c r="V32" s="118"/>
      <c r="W32" s="193"/>
      <c r="X32" s="1071">
        <f>IF(input_AOP="","",input_AOP)</f>
        <v>62.4</v>
      </c>
      <c r="Y32" s="1071"/>
      <c r="Z32" s="778" t="str">
        <f>Worksheet!J68</f>
        <v>psi</v>
      </c>
      <c r="AA32" s="50"/>
      <c r="AB32" s="50"/>
      <c r="AC32" s="813"/>
      <c r="AD32" s="813"/>
      <c r="AE32" s="813"/>
      <c r="AF32" s="193"/>
      <c r="AG32" s="193"/>
      <c r="AH32" s="500"/>
      <c r="AI32" s="500"/>
      <c r="AJ32" s="555"/>
      <c r="AK32" s="555"/>
      <c r="AL32" s="560"/>
      <c r="AM32" s="193"/>
      <c r="AN32" s="193"/>
      <c r="AO32" s="193"/>
      <c r="AP32" s="193"/>
      <c r="AQ32" s="193"/>
      <c r="AR32" s="193"/>
      <c r="AS32" s="193"/>
      <c r="AT32" s="193"/>
      <c r="AU32" s="193"/>
      <c r="AV32" s="193"/>
      <c r="AW32" s="558"/>
      <c r="AX32" s="563" t="str">
        <f>IF(LEN(Worksheet!C70)&gt;0,"Pressure too low to calculate UARL","")</f>
        <v/>
      </c>
      <c r="AY32" s="193"/>
      <c r="AZ32" s="193"/>
      <c r="BA32" s="193"/>
      <c r="BB32" s="266"/>
      <c r="BC32" s="89"/>
      <c r="BN32" s="535"/>
      <c r="BO32" s="591" t="s">
        <v>928</v>
      </c>
      <c r="BP32" s="593">
        <f>BQ32-BQ31</f>
        <v>4.2242209408171547</v>
      </c>
      <c r="BQ32" s="758">
        <f t="shared" si="2"/>
        <v>7.9497675242722758</v>
      </c>
      <c r="BR32" s="591" t="s">
        <v>900</v>
      </c>
      <c r="BS32" s="595">
        <f>SUM(BP30:BP34)-SUM(BS30,BS31)</f>
        <v>60.891450361591716</v>
      </c>
      <c r="BT32" s="591" t="s">
        <v>928</v>
      </c>
      <c r="BU32" s="605">
        <v>7.9497675242722758</v>
      </c>
      <c r="BV32" s="594"/>
      <c r="BW32" s="762">
        <f>IF($Z$6="",BU32/0.737,BU32/$Z$6)</f>
        <v>10.786658784629953</v>
      </c>
      <c r="BX32" s="50" t="s">
        <v>929</v>
      </c>
    </row>
    <row r="33" spans="1:78" ht="12.95" customHeight="1">
      <c r="A33" s="89"/>
      <c r="B33" s="488"/>
      <c r="C33" s="118"/>
      <c r="D33" s="118"/>
      <c r="E33" s="711"/>
      <c r="F33" s="118"/>
      <c r="G33" s="118"/>
      <c r="H33" s="118"/>
      <c r="I33" s="118"/>
      <c r="J33" s="118"/>
      <c r="K33" s="118"/>
      <c r="L33" s="118"/>
      <c r="M33" s="118"/>
      <c r="N33" s="118"/>
      <c r="O33" s="118"/>
      <c r="P33" s="118"/>
      <c r="Q33" s="118"/>
      <c r="R33" s="118"/>
      <c r="S33" s="118"/>
      <c r="T33" s="118"/>
      <c r="U33" s="118"/>
      <c r="V33" s="118"/>
      <c r="W33" s="193"/>
      <c r="X33" s="193"/>
      <c r="Y33" s="193"/>
      <c r="Z33" s="193"/>
      <c r="AA33" s="50"/>
      <c r="AB33" s="1072" t="str">
        <f>IF(BQ83=0,"",IF(BQ83&lt;BQ78,"AOP is below 10th %ile",IF(BQ83&gt;BQ82,"AOP is above 90th %ile","")))</f>
        <v/>
      </c>
      <c r="AC33" s="1072"/>
      <c r="AD33" s="1072"/>
      <c r="AE33" s="813"/>
      <c r="AF33" s="193"/>
      <c r="AG33" s="193"/>
      <c r="AH33" s="500"/>
      <c r="AI33" s="500"/>
      <c r="AJ33" s="555"/>
      <c r="AK33" s="555"/>
      <c r="AL33" s="560"/>
      <c r="AM33" s="193"/>
      <c r="AN33" s="193"/>
      <c r="AO33" s="193"/>
      <c r="AP33" s="193"/>
      <c r="AQ33" s="193"/>
      <c r="AR33" s="193"/>
      <c r="AS33" s="193"/>
      <c r="AT33" s="193"/>
      <c r="AU33" s="193"/>
      <c r="AV33" s="193"/>
      <c r="AW33" s="558"/>
      <c r="AX33" s="563"/>
      <c r="AY33" s="193"/>
      <c r="AZ33" s="193"/>
      <c r="BA33" s="193"/>
      <c r="BB33" s="266"/>
      <c r="BC33" s="89"/>
      <c r="BD33" s="176"/>
      <c r="BF33" s="177"/>
      <c r="BN33" s="535"/>
      <c r="BO33" s="591" t="s">
        <v>931</v>
      </c>
      <c r="BP33" s="593">
        <f>BQ33-BQ32</f>
        <v>8.3367570590545697</v>
      </c>
      <c r="BQ33" s="758">
        <f t="shared" si="2"/>
        <v>16.286524583326845</v>
      </c>
      <c r="BR33" s="591"/>
      <c r="BS33" s="591"/>
      <c r="BT33" s="591" t="s">
        <v>931</v>
      </c>
      <c r="BU33" s="605">
        <v>16.286524583326845</v>
      </c>
      <c r="BV33" s="594"/>
      <c r="BW33" s="762">
        <f>IF($Z$6="",BU33/0.737,BU33/$Z$6)</f>
        <v>22.098405133414985</v>
      </c>
    </row>
    <row r="34" spans="1:78" ht="12.95" customHeight="1">
      <c r="A34" s="89"/>
      <c r="B34" s="488"/>
      <c r="C34" s="118"/>
      <c r="D34" s="118"/>
      <c r="E34" s="711"/>
      <c r="F34" s="118"/>
      <c r="G34" s="118"/>
      <c r="H34" s="118"/>
      <c r="I34" s="118"/>
      <c r="J34" s="118"/>
      <c r="K34" s="118"/>
      <c r="L34" s="118"/>
      <c r="M34" s="118"/>
      <c r="N34" s="118"/>
      <c r="O34" s="118"/>
      <c r="P34" s="118"/>
      <c r="Q34" s="118"/>
      <c r="R34" s="118"/>
      <c r="S34" s="118"/>
      <c r="T34" s="118"/>
      <c r="U34" s="118"/>
      <c r="V34" s="118"/>
      <c r="W34" s="193"/>
      <c r="X34" s="193"/>
      <c r="Y34" s="193"/>
      <c r="Z34" s="193"/>
      <c r="AA34" s="813"/>
      <c r="AB34" s="1072"/>
      <c r="AC34" s="1072"/>
      <c r="AD34" s="1072"/>
      <c r="AE34" s="193"/>
      <c r="AF34" s="193"/>
      <c r="AG34" s="193"/>
      <c r="AH34" s="500"/>
      <c r="AI34" s="500"/>
      <c r="AJ34" s="555"/>
      <c r="AK34" s="555"/>
      <c r="AL34" s="560"/>
      <c r="AM34" s="193"/>
      <c r="AN34" s="193"/>
      <c r="AO34" s="193"/>
      <c r="AP34" s="193"/>
      <c r="AQ34" s="193"/>
      <c r="AR34" s="193"/>
      <c r="AS34" s="193"/>
      <c r="AT34" s="193"/>
      <c r="AU34" s="193"/>
      <c r="AV34" s="193"/>
      <c r="AW34" s="558"/>
      <c r="AX34" s="558"/>
      <c r="AY34" s="193"/>
      <c r="AZ34" s="193"/>
      <c r="BA34" s="193"/>
      <c r="BB34" s="266"/>
      <c r="BC34" s="89"/>
      <c r="BD34" s="176"/>
      <c r="BN34" s="535"/>
      <c r="BO34" s="591" t="s">
        <v>932</v>
      </c>
      <c r="BP34" s="593">
        <f>BQ34-BQ33</f>
        <v>19.260819376620745</v>
      </c>
      <c r="BQ34" s="758">
        <f t="shared" si="2"/>
        <v>35.54734395994759</v>
      </c>
      <c r="BR34" s="591"/>
      <c r="BS34" s="591"/>
      <c r="BT34" s="591" t="s">
        <v>932</v>
      </c>
      <c r="BU34" s="605">
        <v>35.54734395994759</v>
      </c>
      <c r="BV34" s="594"/>
      <c r="BW34" s="762">
        <f>IF($Z$6="",BU34/0.737,BU34/$Z$6)</f>
        <v>48.232488412411925</v>
      </c>
      <c r="BX34" s="613" t="s">
        <v>933</v>
      </c>
    </row>
    <row r="35" spans="1:78" ht="12.95" customHeight="1">
      <c r="A35" s="89"/>
      <c r="B35" s="488"/>
      <c r="C35" s="118"/>
      <c r="D35" s="118"/>
      <c r="E35" s="711"/>
      <c r="F35" s="118"/>
      <c r="G35" s="118"/>
      <c r="H35" s="118"/>
      <c r="I35" s="118"/>
      <c r="J35" s="118"/>
      <c r="K35" s="118"/>
      <c r="L35" s="118"/>
      <c r="M35" s="118"/>
      <c r="N35" s="118"/>
      <c r="O35" s="118"/>
      <c r="P35" s="118"/>
      <c r="Q35" s="118"/>
      <c r="R35" s="118"/>
      <c r="S35" s="118"/>
      <c r="T35" s="118"/>
      <c r="U35" s="118"/>
      <c r="V35" s="118"/>
      <c r="W35" s="193"/>
      <c r="X35" s="193"/>
      <c r="Y35" s="193"/>
      <c r="Z35" s="193"/>
      <c r="AA35" s="193"/>
      <c r="AB35" s="813"/>
      <c r="AC35" s="813"/>
      <c r="AD35" s="813"/>
      <c r="AE35" s="193"/>
      <c r="AF35" s="193"/>
      <c r="AG35" s="193"/>
      <c r="AH35" s="500"/>
      <c r="AI35" s="500"/>
      <c r="AJ35" s="555"/>
      <c r="AK35" s="555"/>
      <c r="AL35" s="560"/>
      <c r="AM35" s="193"/>
      <c r="AN35" s="193"/>
      <c r="AO35" s="193"/>
      <c r="AP35" s="193"/>
      <c r="AQ35" s="193"/>
      <c r="AR35" s="193"/>
      <c r="AS35" s="193"/>
      <c r="AT35" s="193"/>
      <c r="AU35" s="193"/>
      <c r="AV35" s="193"/>
      <c r="AW35" s="558"/>
      <c r="AX35" s="193"/>
      <c r="AY35" s="193"/>
      <c r="AZ35" s="193"/>
      <c r="BA35" s="193"/>
      <c r="BB35" s="266"/>
      <c r="BC35" s="89"/>
      <c r="BD35" s="178"/>
      <c r="BF35" s="177"/>
      <c r="BO35" s="576"/>
      <c r="BP35" s="611" t="s">
        <v>909</v>
      </c>
      <c r="BQ35" s="612" t="s">
        <v>910</v>
      </c>
      <c r="BR35" s="576"/>
      <c r="BS35" s="576"/>
      <c r="BT35" s="591"/>
      <c r="BU35" s="592"/>
      <c r="BV35" s="594"/>
      <c r="BW35" s="594"/>
      <c r="BX35" s="540"/>
    </row>
    <row r="36" spans="1:78" ht="12.95" customHeight="1">
      <c r="A36" s="89"/>
      <c r="B36" s="488"/>
      <c r="C36" s="118"/>
      <c r="D36" s="118"/>
      <c r="E36" s="711"/>
      <c r="F36" s="118"/>
      <c r="G36" s="118"/>
      <c r="H36" s="118"/>
      <c r="I36" s="118"/>
      <c r="J36" s="118"/>
      <c r="K36" s="118"/>
      <c r="L36" s="118"/>
      <c r="M36" s="118"/>
      <c r="N36" s="118"/>
      <c r="O36" s="118"/>
      <c r="P36" s="118"/>
      <c r="Q36" s="118"/>
      <c r="R36" s="118"/>
      <c r="S36" s="118"/>
      <c r="T36" s="118"/>
      <c r="U36" s="118"/>
      <c r="V36" s="118"/>
      <c r="W36" s="193"/>
      <c r="X36" s="193"/>
      <c r="Y36" s="193"/>
      <c r="Z36" s="193"/>
      <c r="AA36" s="50"/>
      <c r="AB36" s="813"/>
      <c r="AC36" s="813"/>
      <c r="AD36" s="193"/>
      <c r="AE36" s="193"/>
      <c r="AF36" s="193"/>
      <c r="AG36" s="193"/>
      <c r="AH36" s="500"/>
      <c r="AI36" s="50"/>
      <c r="AJ36" s="555"/>
      <c r="AK36" s="555"/>
      <c r="AL36" s="560"/>
      <c r="AM36" s="193"/>
      <c r="AN36" s="193"/>
      <c r="AO36" s="193"/>
      <c r="AP36" s="193"/>
      <c r="AQ36" s="193"/>
      <c r="AR36" s="193"/>
      <c r="AS36" s="193"/>
      <c r="AT36" s="193"/>
      <c r="AU36" s="193"/>
      <c r="AV36" s="193"/>
      <c r="AW36" s="558"/>
      <c r="AX36" s="193"/>
      <c r="AY36" s="193"/>
      <c r="AZ36" s="193"/>
      <c r="BA36" s="193"/>
      <c r="BB36" s="266"/>
      <c r="BC36" s="89"/>
      <c r="BD36" s="178"/>
      <c r="BF36" s="177"/>
      <c r="BO36" s="590" t="s">
        <v>935</v>
      </c>
      <c r="BP36" s="590"/>
      <c r="BQ36" s="590"/>
      <c r="BR36" s="579" t="s">
        <v>916</v>
      </c>
      <c r="BS36" s="607">
        <f>IF($BO$2&gt;0,"",IFERROR((BS55+BS43),""))</f>
        <v>36.216771730603099</v>
      </c>
      <c r="BT36" s="591"/>
      <c r="BU36" s="664" t="s">
        <v>910</v>
      </c>
      <c r="BV36" s="592"/>
      <c r="BW36" s="592"/>
      <c r="BX36" s="540"/>
      <c r="BY36" s="50" t="s">
        <v>942</v>
      </c>
      <c r="BZ36" s="50" t="str">
        <f>IF(OR(Worksheet!S89=0,Worksheet!S89="",BO2&gt;0),"",Worksheet!S89)</f>
        <v/>
      </c>
    </row>
    <row r="37" spans="1:78" ht="12.95" customHeight="1">
      <c r="A37" s="89"/>
      <c r="B37" s="488"/>
      <c r="C37" s="118"/>
      <c r="D37" s="118"/>
      <c r="E37" s="711"/>
      <c r="F37" s="118"/>
      <c r="G37" s="118"/>
      <c r="H37" s="118"/>
      <c r="I37" s="118"/>
      <c r="J37" s="118"/>
      <c r="K37" s="118"/>
      <c r="L37" s="118"/>
      <c r="M37" s="118"/>
      <c r="N37" s="118"/>
      <c r="O37" s="118"/>
      <c r="P37" s="118"/>
      <c r="Q37" s="118"/>
      <c r="R37" s="118"/>
      <c r="S37" s="118"/>
      <c r="T37" s="118"/>
      <c r="U37" s="118"/>
      <c r="V37" s="118"/>
      <c r="W37" s="193"/>
      <c r="X37" s="193"/>
      <c r="Y37" s="193"/>
      <c r="Z37" s="193"/>
      <c r="AA37" s="50"/>
      <c r="AB37" s="50"/>
      <c r="AC37" s="813"/>
      <c r="AD37" s="813"/>
      <c r="AE37" s="193"/>
      <c r="AF37" s="193"/>
      <c r="AG37" s="193"/>
      <c r="AH37" s="50"/>
      <c r="AI37" s="1059" t="str">
        <f>IF(BS62&lt;0,"negative result check inputs",IF($BS$63=0,"result is below 10th %ile",IF($BS$62&gt;$BS$63,"result is above 90th %ile","")))</f>
        <v/>
      </c>
      <c r="AJ37" s="1059"/>
      <c r="AK37" s="1059"/>
      <c r="AL37" s="1059"/>
      <c r="AM37" s="193"/>
      <c r="AN37" s="193"/>
      <c r="AO37" s="193"/>
      <c r="AP37" s="193"/>
      <c r="AQ37" s="193"/>
      <c r="AR37" s="193"/>
      <c r="AS37" s="193"/>
      <c r="AT37" s="1059" t="str">
        <f>IF(BS69&lt;0,"negative result check inputs",IF($BS$70=0,"result is below 10th %ile",IF($BS$69&gt;$BS$70,"result is above 90th %ile","")))</f>
        <v/>
      </c>
      <c r="AU37" s="1059"/>
      <c r="AV37" s="1059"/>
      <c r="AW37" s="1059"/>
      <c r="AX37" s="193"/>
      <c r="AY37" s="193"/>
      <c r="AZ37" s="193"/>
      <c r="BA37" s="193"/>
      <c r="BB37" s="266"/>
      <c r="BC37" s="89"/>
      <c r="BD37" s="178"/>
      <c r="BF37" s="177"/>
      <c r="BN37" s="609" t="s">
        <v>918</v>
      </c>
      <c r="BO37" s="591" t="s">
        <v>919</v>
      </c>
      <c r="BP37" s="592">
        <f>SUM(BP38:BP41)</f>
        <v>125.15100211248117</v>
      </c>
      <c r="BQ37" s="613">
        <f>IF($BD$7="ML/Yr",BW37,BU37)</f>
        <v>21.095211492757553</v>
      </c>
      <c r="BR37" s="579" t="s">
        <v>920</v>
      </c>
      <c r="BS37" s="615">
        <f>IF(BS36="","",IF(BS36&lt;BQ37,0,IF(BS36&gt;BQ41,BQ41,BS36)))</f>
        <v>36.216771730603099</v>
      </c>
      <c r="BT37" s="591" t="s">
        <v>919</v>
      </c>
      <c r="BU37" s="603">
        <v>21.095211492757553</v>
      </c>
      <c r="BV37" s="592"/>
      <c r="BW37" s="597">
        <f>BU37*3.78541</f>
        <v>79.854024536799372</v>
      </c>
      <c r="BX37" s="541"/>
      <c r="BY37" s="50" t="s">
        <v>943</v>
      </c>
      <c r="BZ37" s="50" t="str">
        <f>IF(BZ36="","",IF(BZ36&lt;BQ37,0,IF(BZ36&gt;BQ41,BQ41,BZ36)))</f>
        <v/>
      </c>
    </row>
    <row r="38" spans="1:78" ht="12.95" customHeight="1">
      <c r="A38" s="89"/>
      <c r="B38" s="488"/>
      <c r="C38" s="118"/>
      <c r="D38" s="118"/>
      <c r="E38" s="711"/>
      <c r="F38" s="118"/>
      <c r="G38" s="118"/>
      <c r="H38" s="118"/>
      <c r="I38" s="118"/>
      <c r="J38" s="118"/>
      <c r="K38" s="118"/>
      <c r="L38" s="118"/>
      <c r="M38" s="118"/>
      <c r="N38" s="118"/>
      <c r="O38" s="118"/>
      <c r="P38" s="118"/>
      <c r="Q38" s="118"/>
      <c r="R38" s="118"/>
      <c r="S38" s="118"/>
      <c r="T38" s="118"/>
      <c r="U38" s="118"/>
      <c r="V38" s="118"/>
      <c r="W38" s="193"/>
      <c r="X38" s="193"/>
      <c r="Y38" s="193"/>
      <c r="Z38" s="193"/>
      <c r="AA38" s="50"/>
      <c r="AB38" s="50"/>
      <c r="AC38" s="813"/>
      <c r="AD38" s="813"/>
      <c r="AE38" s="193"/>
      <c r="AF38" s="193"/>
      <c r="AG38" s="193"/>
      <c r="AH38" s="618"/>
      <c r="AI38" s="1059"/>
      <c r="AJ38" s="1059"/>
      <c r="AK38" s="1059"/>
      <c r="AL38" s="1059"/>
      <c r="AM38" s="193"/>
      <c r="AN38" s="193"/>
      <c r="AO38" s="193"/>
      <c r="AP38" s="193"/>
      <c r="AQ38" s="193"/>
      <c r="AR38" s="193"/>
      <c r="AS38" s="193"/>
      <c r="AT38" s="1059"/>
      <c r="AU38" s="1059"/>
      <c r="AV38" s="1059"/>
      <c r="AW38" s="1059"/>
      <c r="AX38" s="193"/>
      <c r="AY38" s="193"/>
      <c r="AZ38" s="193"/>
      <c r="BA38" s="193"/>
      <c r="BB38" s="266"/>
      <c r="BC38" s="89"/>
      <c r="BD38" s="178"/>
      <c r="BF38" s="177"/>
      <c r="BO38" s="591" t="s">
        <v>925</v>
      </c>
      <c r="BP38" s="588">
        <f>BQ38</f>
        <v>29.480551398162277</v>
      </c>
      <c r="BQ38" s="613">
        <f t="shared" ref="BQ38:BQ41" si="3">IF($BD$7="ML/Yr",BW38,BU38)</f>
        <v>29.480551398162277</v>
      </c>
      <c r="BR38" s="591" t="s">
        <v>926</v>
      </c>
      <c r="BS38" s="595">
        <f>SUM(BP37:BP41)/125</f>
        <v>2.0024160337996988</v>
      </c>
      <c r="BT38" s="591" t="s">
        <v>925</v>
      </c>
      <c r="BU38" s="604">
        <v>29.480551398162277</v>
      </c>
      <c r="BV38" s="592"/>
      <c r="BW38" s="597">
        <f>BU38*3.78541</f>
        <v>111.59597406811747</v>
      </c>
      <c r="BX38" s="50" t="s">
        <v>944</v>
      </c>
      <c r="BY38" s="591" t="s">
        <v>926</v>
      </c>
      <c r="BZ38" s="595" t="str">
        <f>IF(BZ37="","",SUM(BP37:BP41)/250)</f>
        <v/>
      </c>
    </row>
    <row r="39" spans="1:78" ht="12.95" customHeight="1">
      <c r="A39" s="89"/>
      <c r="B39" s="488"/>
      <c r="C39" s="118"/>
      <c r="D39" s="118"/>
      <c r="E39" s="711"/>
      <c r="F39" s="118"/>
      <c r="G39" s="118"/>
      <c r="H39" s="118"/>
      <c r="I39" s="118"/>
      <c r="J39" s="118"/>
      <c r="K39" s="118"/>
      <c r="L39" s="118"/>
      <c r="M39" s="118"/>
      <c r="N39" s="118"/>
      <c r="O39" s="118"/>
      <c r="P39" s="118"/>
      <c r="Q39" s="118"/>
      <c r="R39" s="118"/>
      <c r="S39" s="118"/>
      <c r="T39" s="118"/>
      <c r="U39" s="118"/>
      <c r="V39" s="118"/>
      <c r="W39" s="193"/>
      <c r="X39" s="193"/>
      <c r="Y39" s="193"/>
      <c r="Z39" s="193"/>
      <c r="AA39" s="50"/>
      <c r="AB39" s="50"/>
      <c r="AC39" s="50"/>
      <c r="AD39" s="193"/>
      <c r="AE39" s="193"/>
      <c r="AF39" s="193"/>
      <c r="AG39" s="193"/>
      <c r="AH39" s="500"/>
      <c r="AI39" s="500"/>
      <c r="AJ39" s="555"/>
      <c r="AK39" s="555"/>
      <c r="AL39" s="560"/>
      <c r="AM39" s="193"/>
      <c r="AN39" s="193"/>
      <c r="AO39" s="193"/>
      <c r="AP39" s="193"/>
      <c r="AQ39" s="193"/>
      <c r="AR39" s="193"/>
      <c r="AS39" s="193"/>
      <c r="AT39" s="193"/>
      <c r="AU39" s="193"/>
      <c r="AV39" s="193"/>
      <c r="AW39" s="558"/>
      <c r="AX39" s="193"/>
      <c r="AY39" s="193"/>
      <c r="AZ39" s="193"/>
      <c r="BA39" s="193"/>
      <c r="BB39" s="266"/>
      <c r="BC39" s="89"/>
      <c r="BD39" s="178"/>
      <c r="BF39" s="177"/>
      <c r="BO39" s="591" t="s">
        <v>928</v>
      </c>
      <c r="BP39" s="588">
        <f>BQ39-BQ38</f>
        <v>15.908823434416718</v>
      </c>
      <c r="BQ39" s="613">
        <f t="shared" si="3"/>
        <v>45.389374832578994</v>
      </c>
      <c r="BR39" s="591" t="s">
        <v>900</v>
      </c>
      <c r="BS39" s="595">
        <f>SUM(BP37:BP41)-SUM(BS37,BS38)</f>
        <v>212.08281646055954</v>
      </c>
      <c r="BT39" s="591" t="s">
        <v>928</v>
      </c>
      <c r="BU39" s="604">
        <v>45.389374832578994</v>
      </c>
      <c r="BV39" s="592"/>
      <c r="BW39" s="597">
        <f t="shared" ref="BW39:BW41" si="4">BU39*3.78541</f>
        <v>171.81739338499287</v>
      </c>
      <c r="BX39" s="50" t="s">
        <v>945</v>
      </c>
      <c r="BY39" s="591" t="s">
        <v>900</v>
      </c>
      <c r="BZ39" s="595" t="str">
        <f>IF(BZ38="","",SUM(BP37:BP41)-SUM(BZ37,BZ38))</f>
        <v/>
      </c>
    </row>
    <row r="40" spans="1:78" ht="12.95" customHeight="1">
      <c r="A40" s="89"/>
      <c r="B40" s="488"/>
      <c r="C40" s="50"/>
      <c r="D40" s="193"/>
      <c r="E40" s="711"/>
      <c r="F40" s="193"/>
      <c r="G40" s="193"/>
      <c r="H40" s="193"/>
      <c r="I40" s="193"/>
      <c r="J40" s="193"/>
      <c r="K40" s="193"/>
      <c r="L40" s="193"/>
      <c r="M40" s="193"/>
      <c r="N40" s="193"/>
      <c r="O40" s="193"/>
      <c r="P40" s="193"/>
      <c r="Q40" s="193"/>
      <c r="R40" s="193"/>
      <c r="S40" s="193"/>
      <c r="T40" s="193"/>
      <c r="U40" s="193"/>
      <c r="V40" s="193"/>
      <c r="W40" s="193"/>
      <c r="X40" s="50"/>
      <c r="Y40" s="50"/>
      <c r="Z40" s="193"/>
      <c r="AA40" s="193"/>
      <c r="AB40" s="50"/>
      <c r="AC40" s="50"/>
      <c r="AD40" s="193"/>
      <c r="AE40" s="193"/>
      <c r="AF40" s="193"/>
      <c r="AG40" s="193"/>
      <c r="AH40" s="50"/>
      <c r="AI40" s="50"/>
      <c r="AJ40" s="656" t="s">
        <v>946</v>
      </c>
      <c r="AK40" s="578"/>
      <c r="AL40" s="580"/>
      <c r="AM40" s="577"/>
      <c r="AN40" s="577"/>
      <c r="AO40" s="577"/>
      <c r="AP40" s="577"/>
      <c r="AQ40" s="577"/>
      <c r="AR40" s="577"/>
      <c r="AS40" s="577"/>
      <c r="AT40" s="577"/>
      <c r="AU40" s="656" t="s">
        <v>947</v>
      </c>
      <c r="AV40" s="577"/>
      <c r="AW40" s="193"/>
      <c r="AX40" s="193"/>
      <c r="AY40" s="193"/>
      <c r="AZ40" s="193"/>
      <c r="BA40" s="193"/>
      <c r="BB40" s="266"/>
      <c r="BC40" s="89"/>
      <c r="BD40" s="178"/>
      <c r="BE40" s="178"/>
      <c r="BF40" s="178"/>
      <c r="BG40" s="178"/>
      <c r="BO40" s="591" t="s">
        <v>931</v>
      </c>
      <c r="BP40" s="588">
        <f>BQ40-BQ39</f>
        <v>30.842317024915928</v>
      </c>
      <c r="BQ40" s="613">
        <f t="shared" si="3"/>
        <v>76.231691857494923</v>
      </c>
      <c r="BR40" s="591"/>
      <c r="BS40" s="591"/>
      <c r="BT40" s="591" t="s">
        <v>931</v>
      </c>
      <c r="BU40" s="604">
        <v>76.231691857494923</v>
      </c>
      <c r="BV40" s="592"/>
      <c r="BW40" s="597">
        <f t="shared" si="4"/>
        <v>288.56820867427984</v>
      </c>
      <c r="BX40" s="50" t="s">
        <v>948</v>
      </c>
    </row>
    <row r="41" spans="1:78" ht="12.95" customHeight="1">
      <c r="A41" s="89"/>
      <c r="B41" s="488"/>
      <c r="C41" s="50"/>
      <c r="D41" s="193"/>
      <c r="E41" s="711"/>
      <c r="F41" s="193"/>
      <c r="G41" s="193"/>
      <c r="H41" s="193"/>
      <c r="I41" s="193"/>
      <c r="J41" s="193"/>
      <c r="K41" s="193"/>
      <c r="L41" s="193"/>
      <c r="M41" s="193"/>
      <c r="N41" s="193"/>
      <c r="O41" s="193"/>
      <c r="P41" s="193"/>
      <c r="Q41" s="193"/>
      <c r="R41" s="193"/>
      <c r="S41" s="193"/>
      <c r="T41" s="193"/>
      <c r="U41" s="193"/>
      <c r="V41" s="193"/>
      <c r="W41" s="193"/>
      <c r="X41" s="50"/>
      <c r="Y41" s="193"/>
      <c r="Z41" s="50"/>
      <c r="AA41" s="193"/>
      <c r="AB41" s="50"/>
      <c r="AC41" s="50"/>
      <c r="AD41" s="193"/>
      <c r="AE41" s="50"/>
      <c r="AF41" s="50"/>
      <c r="AG41" s="50"/>
      <c r="AH41" s="1069">
        <f>BS62</f>
        <v>1.9007442116002589</v>
      </c>
      <c r="AI41" s="1069"/>
      <c r="AJ41" s="1069"/>
      <c r="AK41" s="729" t="s">
        <v>949</v>
      </c>
      <c r="AL41" s="661"/>
      <c r="AM41" s="662"/>
      <c r="AN41" s="658"/>
      <c r="AO41" s="658"/>
      <c r="AP41" s="658"/>
      <c r="AQ41" s="658"/>
      <c r="AR41" s="658"/>
      <c r="AS41" s="1068">
        <f>BS69</f>
        <v>1977.4305059328417</v>
      </c>
      <c r="AT41" s="1068"/>
      <c r="AU41" s="1068"/>
      <c r="AV41" s="729" t="str">
        <f>BD11</f>
        <v>gal/mile/day</v>
      </c>
      <c r="AW41" s="193"/>
      <c r="AX41" s="193"/>
      <c r="AY41" s="193"/>
      <c r="AZ41" s="193"/>
      <c r="BA41" s="193"/>
      <c r="BB41" s="266"/>
      <c r="BC41" s="89"/>
      <c r="BD41" s="178"/>
      <c r="BE41" s="178"/>
      <c r="BF41" s="178"/>
      <c r="BG41" s="178"/>
      <c r="BO41" s="591" t="s">
        <v>932</v>
      </c>
      <c r="BP41" s="588">
        <f>BQ41-BQ40</f>
        <v>48.919310254986243</v>
      </c>
      <c r="BQ41" s="613">
        <f t="shared" si="3"/>
        <v>125.15100211248117</v>
      </c>
      <c r="BR41" s="591"/>
      <c r="BS41" s="591"/>
      <c r="BT41" s="591" t="s">
        <v>932</v>
      </c>
      <c r="BU41" s="604">
        <v>125.15100211248117</v>
      </c>
      <c r="BV41" s="592"/>
      <c r="BW41" s="597">
        <f t="shared" si="4"/>
        <v>473.74785490660736</v>
      </c>
      <c r="BX41" s="50" t="s">
        <v>950</v>
      </c>
    </row>
    <row r="42" spans="1:78" ht="15" customHeight="1">
      <c r="A42" s="89"/>
      <c r="B42" s="488"/>
      <c r="C42" s="50"/>
      <c r="D42" s="193"/>
      <c r="E42" s="711"/>
      <c r="F42" s="193"/>
      <c r="G42" s="193"/>
      <c r="H42" s="193"/>
      <c r="I42" s="193"/>
      <c r="J42" s="193"/>
      <c r="K42" s="193"/>
      <c r="L42" s="193"/>
      <c r="M42" s="193"/>
      <c r="N42" s="193"/>
      <c r="O42" s="193"/>
      <c r="P42" s="193"/>
      <c r="Q42" s="193"/>
      <c r="R42" s="193"/>
      <c r="S42" s="193"/>
      <c r="T42" s="193"/>
      <c r="U42" s="193"/>
      <c r="V42" s="193"/>
      <c r="W42" s="193"/>
      <c r="X42" s="50"/>
      <c r="Y42" s="50"/>
      <c r="Z42" s="50"/>
      <c r="AA42" s="50"/>
      <c r="AB42" s="50"/>
      <c r="AC42" s="50"/>
      <c r="AD42" s="50"/>
      <c r="AE42" s="50"/>
      <c r="AF42" s="50"/>
      <c r="AG42" s="50"/>
      <c r="AH42" s="50"/>
      <c r="AI42" s="50"/>
      <c r="AJ42" s="206" t="s">
        <v>951</v>
      </c>
      <c r="AK42" s="50"/>
      <c r="AL42" s="50"/>
      <c r="AM42" s="50"/>
      <c r="AN42" s="50"/>
      <c r="AO42" s="50"/>
      <c r="AP42" s="50"/>
      <c r="AQ42" s="50"/>
      <c r="AR42" s="50"/>
      <c r="AS42" s="50"/>
      <c r="AT42" s="50"/>
      <c r="AU42" s="50"/>
      <c r="AV42" s="50"/>
      <c r="AW42" s="50"/>
      <c r="AX42" s="50"/>
      <c r="AY42" s="50"/>
      <c r="AZ42" s="50"/>
      <c r="BA42" s="50"/>
      <c r="BB42" s="266"/>
      <c r="BC42" s="89"/>
      <c r="BD42" s="178"/>
      <c r="BE42" s="178"/>
      <c r="BF42" s="178"/>
      <c r="BG42" s="178"/>
      <c r="BO42" s="591"/>
      <c r="BP42" s="611" t="s">
        <v>909</v>
      </c>
      <c r="BQ42" s="612" t="s">
        <v>910</v>
      </c>
      <c r="BR42" s="591"/>
      <c r="BS42" s="591"/>
      <c r="BT42" s="591"/>
      <c r="BU42" s="592"/>
      <c r="BV42" s="592"/>
      <c r="BW42" s="592"/>
      <c r="BX42" s="601" t="s">
        <v>952</v>
      </c>
    </row>
    <row r="43" spans="1:78" ht="15" customHeight="1">
      <c r="A43" s="89"/>
      <c r="B43" s="488"/>
      <c r="C43" s="370"/>
      <c r="D43" s="370"/>
      <c r="E43" s="173" t="s">
        <v>953</v>
      </c>
      <c r="F43" s="50"/>
      <c r="G43" s="50"/>
      <c r="H43" s="50"/>
      <c r="I43" s="50"/>
      <c r="J43" s="50"/>
      <c r="K43" s="50"/>
      <c r="L43" s="50"/>
      <c r="M43" s="371"/>
      <c r="N43" s="371"/>
      <c r="O43" s="173" t="s">
        <v>274</v>
      </c>
      <c r="P43" s="193"/>
      <c r="Q43" s="193"/>
      <c r="R43" s="193"/>
      <c r="S43" s="193"/>
      <c r="T43" s="193"/>
      <c r="U43" s="193"/>
      <c r="V43" s="193"/>
      <c r="W43" s="193"/>
      <c r="X43" s="193"/>
      <c r="Y43" s="50"/>
      <c r="Z43" s="1065" t="s">
        <v>954</v>
      </c>
      <c r="AA43" s="1065"/>
      <c r="AB43" s="1065"/>
      <c r="AC43" s="1065"/>
      <c r="AD43" s="1065"/>
      <c r="AE43" s="1065"/>
      <c r="AF43" s="1065"/>
      <c r="AG43" s="1065"/>
      <c r="AH43" s="1065"/>
      <c r="AI43" s="1065"/>
      <c r="AJ43" s="1065"/>
      <c r="AK43" s="1066">
        <f>IF(OR(ISBLANK('Start Page'!$AB$22),LEN(Worksheet!C70)&gt;0),"",VLOOKUP(BD7,BD18:BE20,2,FALSE))</f>
        <v>73.666858102500001</v>
      </c>
      <c r="AL43" s="1066"/>
      <c r="AM43" s="1066"/>
      <c r="AN43" s="1066"/>
      <c r="AO43" s="773" t="str">
        <f>BD7</f>
        <v>MG/Yr</v>
      </c>
      <c r="AP43" s="575"/>
      <c r="AQ43" s="575"/>
      <c r="AR43" s="575"/>
      <c r="AS43" s="1066">
        <f>IF(BG19=1,BF19,IFERROR(AK43*1000000/Worksheet!H62/365,""))</f>
        <v>16.756082067247821</v>
      </c>
      <c r="AT43" s="1066"/>
      <c r="AU43" s="1066"/>
      <c r="AV43" s="1066"/>
      <c r="AW43" s="572" t="str">
        <f>BD10</f>
        <v>gal/conn/day</v>
      </c>
      <c r="AX43" s="575"/>
      <c r="AY43" s="575"/>
      <c r="AZ43" s="575"/>
      <c r="BA43" s="193"/>
      <c r="BB43" s="266"/>
      <c r="BC43" s="89"/>
      <c r="BD43" s="176"/>
      <c r="BO43" s="590" t="s">
        <v>936</v>
      </c>
      <c r="BP43" s="590"/>
      <c r="BQ43" s="590"/>
      <c r="BR43" s="579" t="s">
        <v>916</v>
      </c>
      <c r="BS43" s="607">
        <f>IF($BO$2&gt;0,"",IF(ISERROR(1/Worksheet!H62),"",IF('Start Page'!$AB$22="Acre-feet",Worksheet!H46*325851/1000000,Worksheet!H46)*1000000/365/Worksheet!H62))</f>
        <v>4.367745732182903</v>
      </c>
      <c r="BT43" s="591"/>
      <c r="BU43" s="664" t="s">
        <v>910</v>
      </c>
      <c r="BV43" s="592"/>
      <c r="BW43" s="592"/>
      <c r="BX43" s="613" t="s">
        <v>933</v>
      </c>
      <c r="BY43" s="50" t="s">
        <v>942</v>
      </c>
      <c r="BZ43" s="50" t="str">
        <f>IF(OR(Worksheet!S90=0,Worksheet!S90="",BO2&gt;0),"",Worksheet!S90)</f>
        <v/>
      </c>
    </row>
    <row r="44" spans="1:78" ht="15" customHeight="1">
      <c r="A44" s="89"/>
      <c r="B44" s="488"/>
      <c r="C44" s="539"/>
      <c r="D44" s="539"/>
      <c r="E44" s="173" t="s">
        <v>351</v>
      </c>
      <c r="F44" s="50"/>
      <c r="G44" s="50"/>
      <c r="H44" s="50"/>
      <c r="I44" s="50"/>
      <c r="J44" s="50"/>
      <c r="K44" s="50"/>
      <c r="L44" s="50"/>
      <c r="M44" s="192"/>
      <c r="N44" s="192"/>
      <c r="O44" s="173" t="s">
        <v>955</v>
      </c>
      <c r="P44" s="193"/>
      <c r="Q44" s="193"/>
      <c r="R44" s="193"/>
      <c r="S44" s="193"/>
      <c r="T44" s="193"/>
      <c r="U44" s="193"/>
      <c r="V44" s="193"/>
      <c r="W44" s="193"/>
      <c r="X44" s="193"/>
      <c r="Y44" s="193"/>
      <c r="Z44" s="193"/>
      <c r="AA44" s="193"/>
      <c r="AB44" s="193"/>
      <c r="AC44" s="193"/>
      <c r="AD44" s="193"/>
      <c r="AE44" s="193"/>
      <c r="AF44" s="564"/>
      <c r="AG44" s="564"/>
      <c r="AH44" s="565"/>
      <c r="AI44" s="565"/>
      <c r="AJ44" s="564"/>
      <c r="AK44" s="564"/>
      <c r="AL44" s="564"/>
      <c r="AM44" s="564"/>
      <c r="AN44" s="564"/>
      <c r="AO44" s="564"/>
      <c r="AP44" s="564"/>
      <c r="AQ44" s="564"/>
      <c r="AR44" s="564"/>
      <c r="AS44" s="564"/>
      <c r="AT44" s="564"/>
      <c r="AU44" s="564"/>
      <c r="AV44" s="193"/>
      <c r="AW44" s="193"/>
      <c r="AX44" s="193"/>
      <c r="AY44" s="50"/>
      <c r="AZ44" s="50"/>
      <c r="BA44" s="50"/>
      <c r="BB44" s="270"/>
      <c r="BC44" s="89"/>
      <c r="BN44" s="609" t="s">
        <v>918</v>
      </c>
      <c r="BO44" s="591" t="s">
        <v>919</v>
      </c>
      <c r="BP44" s="592">
        <f>SUM(BP45:BP48)</f>
        <v>16.320999291962284</v>
      </c>
      <c r="BQ44" s="613">
        <f>IF($BD$7="ML/Yr",BW44,BU44)</f>
        <v>1.1863793690124249</v>
      </c>
      <c r="BR44" s="579" t="s">
        <v>920</v>
      </c>
      <c r="BS44" s="615">
        <f>IF(BS43="","",IF(BS43&lt;BQ44,0,IF(BS43&gt;BQ48,BQ48,BS43)))</f>
        <v>4.367745732182903</v>
      </c>
      <c r="BT44" s="591" t="s">
        <v>919</v>
      </c>
      <c r="BU44" s="604">
        <v>1.1863793690124249</v>
      </c>
      <c r="BV44" s="592"/>
      <c r="BW44" s="597">
        <f>BU44*3.78541</f>
        <v>4.4909323272533239</v>
      </c>
      <c r="BX44" s="541"/>
      <c r="BY44" s="50" t="s">
        <v>943</v>
      </c>
      <c r="BZ44" s="50" t="str">
        <f>IF(BZ43="","",IF(BZ43&lt;BQ44,0,IF(BZ43&gt;BQ48,BQ48,BZ43)))</f>
        <v/>
      </c>
    </row>
    <row r="45" spans="1:78" ht="15" customHeight="1">
      <c r="A45" s="89"/>
      <c r="B45" s="488"/>
      <c r="C45" s="533"/>
      <c r="D45" s="533"/>
      <c r="E45" s="173" t="s">
        <v>290</v>
      </c>
      <c r="F45" s="50"/>
      <c r="G45" s="50"/>
      <c r="H45" s="50"/>
      <c r="I45" s="50"/>
      <c r="J45" s="50"/>
      <c r="K45" s="50"/>
      <c r="L45" s="50"/>
      <c r="M45" s="770"/>
      <c r="N45" s="770"/>
      <c r="O45" s="173" t="s">
        <v>956</v>
      </c>
      <c r="P45" s="193"/>
      <c r="Q45" s="193"/>
      <c r="R45" s="193"/>
      <c r="S45" s="193"/>
      <c r="T45" s="193"/>
      <c r="U45" s="193"/>
      <c r="V45" s="193"/>
      <c r="W45" s="193"/>
      <c r="X45" s="193"/>
      <c r="Y45" s="193"/>
      <c r="Z45" s="193"/>
      <c r="AA45" s="193"/>
      <c r="AB45" s="193"/>
      <c r="AC45" s="193"/>
      <c r="AD45" s="193"/>
      <c r="AE45" s="193"/>
      <c r="AF45" s="564"/>
      <c r="AG45" s="564"/>
      <c r="AH45" s="565"/>
      <c r="AI45" s="565"/>
      <c r="AJ45" s="564"/>
      <c r="AK45" s="564"/>
      <c r="AL45" s="564"/>
      <c r="AM45" s="564"/>
      <c r="AN45" s="564"/>
      <c r="AO45" s="564"/>
      <c r="AP45" s="564"/>
      <c r="AQ45" s="564"/>
      <c r="AR45" s="564"/>
      <c r="AS45" s="564"/>
      <c r="AT45" s="564"/>
      <c r="AU45" s="564"/>
      <c r="AV45" s="193"/>
      <c r="AW45" s="193"/>
      <c r="AX45" s="193"/>
      <c r="AY45" s="193"/>
      <c r="AZ45" s="193"/>
      <c r="BA45" s="193"/>
      <c r="BB45" s="270"/>
      <c r="BC45" s="89"/>
      <c r="BO45" s="591" t="s">
        <v>925</v>
      </c>
      <c r="BP45" s="588">
        <f>BQ45</f>
        <v>2.7528558495753783</v>
      </c>
      <c r="BQ45" s="613">
        <f t="shared" ref="BQ45:BQ48" si="5">IF($BD$7="ML/Yr",BW45,BU45)</f>
        <v>2.7528558495753783</v>
      </c>
      <c r="BR45" s="591" t="s">
        <v>926</v>
      </c>
      <c r="BS45" s="595">
        <f>SUM(BP44:BP48)/125</f>
        <v>0.26113598867139654</v>
      </c>
      <c r="BT45" s="591" t="s">
        <v>925</v>
      </c>
      <c r="BU45" s="604">
        <v>2.7528558495753783</v>
      </c>
      <c r="BV45" s="592"/>
      <c r="BW45" s="597">
        <f t="shared" ref="BW45:BW48" si="6">BU45*3.78541</f>
        <v>10.420688061541133</v>
      </c>
      <c r="BX45" s="50" t="s">
        <v>944</v>
      </c>
      <c r="BY45" s="591" t="s">
        <v>926</v>
      </c>
      <c r="BZ45" s="595" t="str">
        <f>IF(BZ44="","",SUM(BP44:BP48)/250)</f>
        <v/>
      </c>
    </row>
    <row r="46" spans="1:78" ht="12.95" customHeight="1">
      <c r="A46" s="89"/>
      <c r="B46" s="488"/>
      <c r="C46" s="50"/>
      <c r="D46" s="193"/>
      <c r="E46" s="711"/>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564"/>
      <c r="AG46" s="564"/>
      <c r="AH46" s="565"/>
      <c r="AI46" s="565"/>
      <c r="AJ46" s="564"/>
      <c r="AK46" s="564"/>
      <c r="AL46" s="564"/>
      <c r="AM46" s="564"/>
      <c r="AN46" s="564"/>
      <c r="AO46" s="564"/>
      <c r="AP46" s="564"/>
      <c r="AQ46" s="564"/>
      <c r="AR46" s="564"/>
      <c r="AS46" s="564"/>
      <c r="AT46" s="564"/>
      <c r="AU46" s="564"/>
      <c r="AV46" s="193"/>
      <c r="AW46" s="193"/>
      <c r="AX46" s="193"/>
      <c r="AY46" s="193"/>
      <c r="AZ46" s="193"/>
      <c r="BA46" s="193"/>
      <c r="BB46" s="266"/>
      <c r="BC46" s="89"/>
      <c r="BO46" s="591" t="s">
        <v>928</v>
      </c>
      <c r="BP46" s="588">
        <f>BQ46-BQ45</f>
        <v>2.5474471374368308</v>
      </c>
      <c r="BQ46" s="613">
        <f t="shared" si="5"/>
        <v>5.3003029870122091</v>
      </c>
      <c r="BR46" s="591" t="s">
        <v>900</v>
      </c>
      <c r="BS46" s="595">
        <f>SUM(BP44:BP48)-SUM(BS44,BS45)</f>
        <v>28.01311686307027</v>
      </c>
      <c r="BT46" s="591" t="s">
        <v>928</v>
      </c>
      <c r="BU46" s="604">
        <v>5.3003029870122091</v>
      </c>
      <c r="BV46" s="592"/>
      <c r="BW46" s="597">
        <f t="shared" si="6"/>
        <v>20.063819930065886</v>
      </c>
      <c r="BX46" s="50" t="s">
        <v>945</v>
      </c>
      <c r="BY46" s="591" t="s">
        <v>900</v>
      </c>
      <c r="BZ46" s="595" t="str">
        <f>IF(BZ45="","",SUM(BP44:BP48)-SUM(BZ44,BZ45))</f>
        <v/>
      </c>
    </row>
    <row r="47" spans="1:78" ht="12.95" customHeight="1">
      <c r="A47" s="89"/>
      <c r="B47" s="488"/>
      <c r="C47" s="50"/>
      <c r="D47" s="193"/>
      <c r="E47" s="711"/>
      <c r="F47" s="193"/>
      <c r="G47" s="193"/>
      <c r="H47" s="193"/>
      <c r="I47" s="1077" t="s">
        <v>957</v>
      </c>
      <c r="J47" s="1077"/>
      <c r="K47" s="1077"/>
      <c r="L47" s="1077"/>
      <c r="M47" s="572"/>
      <c r="N47" s="1077" t="s">
        <v>895</v>
      </c>
      <c r="O47" s="1077"/>
      <c r="P47" s="1077"/>
      <c r="Q47" s="1077"/>
      <c r="R47" s="1073" t="s">
        <v>958</v>
      </c>
      <c r="S47" s="1073"/>
      <c r="T47" s="1073"/>
      <c r="U47" s="1073"/>
      <c r="V47" s="1073"/>
      <c r="W47" s="193"/>
      <c r="X47" s="193"/>
      <c r="Y47" s="193"/>
      <c r="Z47" s="193"/>
      <c r="AA47" s="193"/>
      <c r="AB47" s="193"/>
      <c r="AC47" s="193"/>
      <c r="AD47" s="193"/>
      <c r="AE47" s="193"/>
      <c r="AF47" s="564"/>
      <c r="AG47" s="564"/>
      <c r="AH47" s="565"/>
      <c r="AI47" s="565"/>
      <c r="AJ47" s="564"/>
      <c r="AK47" s="564"/>
      <c r="AL47" s="564"/>
      <c r="AM47" s="564"/>
      <c r="AN47" s="564"/>
      <c r="AO47" s="564"/>
      <c r="AP47" s="564"/>
      <c r="AQ47" s="564"/>
      <c r="AR47" s="564"/>
      <c r="AS47" s="564"/>
      <c r="AT47" s="564"/>
      <c r="AU47" s="564"/>
      <c r="AV47" s="193"/>
      <c r="AW47" s="193"/>
      <c r="AX47" s="193"/>
      <c r="AY47" s="193"/>
      <c r="AZ47" s="193"/>
      <c r="BA47" s="193"/>
      <c r="BB47" s="266"/>
      <c r="BC47" s="89"/>
      <c r="BO47" s="591" t="s">
        <v>931</v>
      </c>
      <c r="BP47" s="588">
        <f>BQ47-BQ46</f>
        <v>4.0544051080008483</v>
      </c>
      <c r="BQ47" s="613">
        <f t="shared" si="5"/>
        <v>9.3547080950130574</v>
      </c>
      <c r="BR47" s="591"/>
      <c r="BS47" s="591"/>
      <c r="BT47" s="591" t="s">
        <v>931</v>
      </c>
      <c r="BU47" s="604">
        <v>9.3547080950130574</v>
      </c>
      <c r="BV47" s="592"/>
      <c r="BW47" s="597">
        <f t="shared" si="6"/>
        <v>35.411405569943376</v>
      </c>
      <c r="BX47" s="50" t="s">
        <v>948</v>
      </c>
    </row>
    <row r="48" spans="1:78" ht="15" customHeight="1">
      <c r="A48" s="89"/>
      <c r="B48" s="488"/>
      <c r="C48" s="118"/>
      <c r="D48" s="118"/>
      <c r="E48" s="711"/>
      <c r="F48" s="118"/>
      <c r="G48" s="118"/>
      <c r="H48" s="118"/>
      <c r="I48" s="1077" t="str">
        <f>BD7</f>
        <v>MG/Yr</v>
      </c>
      <c r="J48" s="1077"/>
      <c r="K48" s="1077"/>
      <c r="L48" s="1077"/>
      <c r="M48" s="572"/>
      <c r="N48" s="1077" t="s">
        <v>959</v>
      </c>
      <c r="O48" s="1077"/>
      <c r="P48" s="1077"/>
      <c r="Q48" s="1077"/>
      <c r="R48" s="1073"/>
      <c r="S48" s="1073"/>
      <c r="T48" s="1073"/>
      <c r="U48" s="1073"/>
      <c r="V48" s="1073"/>
      <c r="W48" s="193"/>
      <c r="X48" s="193"/>
      <c r="Y48" s="193"/>
      <c r="Z48" s="193"/>
      <c r="AA48" s="193"/>
      <c r="AB48" s="193"/>
      <c r="AC48" s="193"/>
      <c r="AD48" s="193"/>
      <c r="AE48" s="193"/>
      <c r="AF48" s="193"/>
      <c r="AG48" s="193"/>
      <c r="AH48" s="193"/>
      <c r="AI48" s="193"/>
      <c r="AJ48" s="193"/>
      <c r="AK48" s="193"/>
      <c r="AL48" s="193"/>
      <c r="AM48" s="193"/>
      <c r="AN48" s="193"/>
      <c r="AO48" s="193"/>
      <c r="AP48" s="193"/>
      <c r="AQ48" s="193"/>
      <c r="AR48" s="193"/>
      <c r="AS48" s="193"/>
      <c r="AT48" s="193"/>
      <c r="AU48" s="558"/>
      <c r="AV48" s="193"/>
      <c r="AW48" s="193"/>
      <c r="AX48" s="193"/>
      <c r="AY48" s="193"/>
      <c r="AZ48" s="193"/>
      <c r="BA48" s="193"/>
      <c r="BB48" s="266"/>
      <c r="BC48" s="89"/>
      <c r="BD48" s="178"/>
      <c r="BE48" s="178"/>
      <c r="BF48" s="178"/>
      <c r="BG48" s="178"/>
      <c r="BO48" s="591" t="s">
        <v>932</v>
      </c>
      <c r="BP48" s="588">
        <f>BQ48-BQ47</f>
        <v>6.9662911969492267</v>
      </c>
      <c r="BQ48" s="613">
        <f t="shared" si="5"/>
        <v>16.320999291962284</v>
      </c>
      <c r="BR48" s="591"/>
      <c r="BS48" s="591"/>
      <c r="BT48" s="591" t="s">
        <v>932</v>
      </c>
      <c r="BU48" s="604">
        <v>16.320999291962284</v>
      </c>
      <c r="BV48" s="592"/>
      <c r="BW48" s="597">
        <f t="shared" si="6"/>
        <v>61.781673929786955</v>
      </c>
      <c r="BX48" s="50" t="s">
        <v>950</v>
      </c>
    </row>
    <row r="49" spans="1:78" ht="15" customHeight="1">
      <c r="A49" s="89"/>
      <c r="B49" s="488"/>
      <c r="C49" s="118"/>
      <c r="D49" s="118"/>
      <c r="E49" s="711"/>
      <c r="F49" s="118"/>
      <c r="G49" s="118"/>
      <c r="H49" s="180" t="s">
        <v>745</v>
      </c>
      <c r="I49" s="1075">
        <f>IF(ISBLANK('Start Page'!$AB$22),"",Worksheet!H46)</f>
        <v>19.20246653061222</v>
      </c>
      <c r="J49" s="1075"/>
      <c r="K49" s="1075"/>
      <c r="L49" s="1075"/>
      <c r="M49" s="558"/>
      <c r="N49" s="1076">
        <f>IF(OR(ISBLANK('Start Page'!$AB$22),ISBLANK(Worksheet!J76)),"",(SUM(Worksheet!H43+Worksheet!H39+Worksheet!X50)*Worksheet!H76)*INDEX(Sheet1!B2:D4,MATCH('Start Page'!AB22,Sheet1!A2:A4,0),MATCH(Worksheet!J76,Sheet1!B1:D1,0))+Worksheet!Y50*Worksheet!H77)</f>
        <v>265300.50227387762</v>
      </c>
      <c r="O49" s="1076"/>
      <c r="P49" s="1076"/>
      <c r="Q49" s="1076"/>
      <c r="R49" s="1067" t="s">
        <v>579</v>
      </c>
      <c r="S49" s="1067"/>
      <c r="T49" s="1067"/>
      <c r="U49" s="1067"/>
      <c r="V49" s="1067"/>
      <c r="W49" s="574"/>
      <c r="X49" s="193"/>
      <c r="Y49" s="193"/>
      <c r="Z49" s="193"/>
      <c r="AA49" s="193"/>
      <c r="AB49" s="193"/>
      <c r="AC49" s="193"/>
      <c r="AD49" s="193"/>
      <c r="AE49" s="193"/>
      <c r="AF49" s="193"/>
      <c r="AG49" s="193"/>
      <c r="AH49" s="193"/>
      <c r="AI49" s="193"/>
      <c r="AJ49" s="193"/>
      <c r="AK49" s="193"/>
      <c r="AL49" s="193"/>
      <c r="AM49" s="564"/>
      <c r="AN49" s="564"/>
      <c r="AO49" s="564"/>
      <c r="AP49" s="564"/>
      <c r="AQ49" s="564"/>
      <c r="AR49" s="564"/>
      <c r="AS49" s="564"/>
      <c r="AT49" s="564"/>
      <c r="AU49" s="564"/>
      <c r="AV49" s="193"/>
      <c r="AW49" s="193"/>
      <c r="AX49" s="193"/>
      <c r="AY49" s="193"/>
      <c r="AZ49" s="193"/>
      <c r="BA49" s="193"/>
      <c r="BB49" s="266"/>
      <c r="BC49" s="89"/>
      <c r="BD49" s="176"/>
      <c r="BO49" s="591"/>
      <c r="BP49" s="591"/>
      <c r="BQ49" s="591"/>
      <c r="BR49" s="591"/>
      <c r="BS49" s="591"/>
      <c r="BT49" s="591"/>
      <c r="BU49" s="592"/>
      <c r="BV49" s="592"/>
      <c r="BW49" s="592"/>
      <c r="BX49" s="601" t="s">
        <v>952</v>
      </c>
    </row>
    <row r="50" spans="1:78" ht="15" customHeight="1">
      <c r="A50" s="89"/>
      <c r="B50" s="488"/>
      <c r="C50" s="118"/>
      <c r="D50" s="118"/>
      <c r="E50" s="711"/>
      <c r="F50" s="118"/>
      <c r="G50" s="118"/>
      <c r="H50" s="180" t="s">
        <v>953</v>
      </c>
      <c r="I50" s="1075">
        <f>IF(ISBLANK('Start Page'!$AB$22),"",Worksheet!H51)</f>
        <v>140.02185412510451</v>
      </c>
      <c r="J50" s="1075"/>
      <c r="K50" s="1075"/>
      <c r="L50" s="1075"/>
      <c r="M50" s="558"/>
      <c r="N50" s="1076">
        <f>IFERROR(IF(Worksheet!H41="Select under/over","",IF(ISBLANK('Start Page'!AB22),"",Worksheet!H51*(IF(BD29=FALSE,Worksheet!H77,IF(BD29=TRUE,Worksheet!H76*INDEX(Sheet1!B2:D4,MATCH('Start Page'!AB22,Sheet1!A2:A4,0),MATCH(Worksheet!J76,Sheet1!B1:D1,0)),""))))),"")</f>
        <v>116047.31226180411</v>
      </c>
      <c r="O50" s="1076"/>
      <c r="P50" s="1076"/>
      <c r="Q50" s="1076"/>
      <c r="R50" s="1067" t="str">
        <f>IF(BD29=FALSE,"VPC",R49)</f>
        <v>VPC</v>
      </c>
      <c r="S50" s="1067"/>
      <c r="T50" s="1067"/>
      <c r="U50" s="1067"/>
      <c r="V50" s="1067"/>
      <c r="W50" s="193"/>
      <c r="X50" s="193"/>
      <c r="Y50" s="193"/>
      <c r="Z50" s="193"/>
      <c r="AA50" s="193"/>
      <c r="AB50" s="193"/>
      <c r="AC50" s="193"/>
      <c r="AD50" s="193"/>
      <c r="AE50" s="193"/>
      <c r="AF50" s="193"/>
      <c r="AG50" s="193"/>
      <c r="AH50" s="193"/>
      <c r="AI50" s="193"/>
      <c r="AJ50" s="193"/>
      <c r="AK50" s="193"/>
      <c r="AL50" s="193"/>
      <c r="AM50" s="564"/>
      <c r="AN50" s="564"/>
      <c r="AO50" s="564"/>
      <c r="AP50" s="564"/>
      <c r="AQ50" s="564"/>
      <c r="AR50" s="564"/>
      <c r="AS50" s="564"/>
      <c r="AT50" s="564"/>
      <c r="AU50" s="564"/>
      <c r="AV50" s="193"/>
      <c r="AW50" s="193"/>
      <c r="AX50" s="193"/>
      <c r="AY50" s="193"/>
      <c r="AZ50" s="193"/>
      <c r="BA50" s="193"/>
      <c r="BB50" s="270"/>
      <c r="BC50" s="89"/>
      <c r="BU50" s="50"/>
      <c r="BV50" s="592"/>
      <c r="BW50" s="50"/>
      <c r="BX50" s="613" t="s">
        <v>933</v>
      </c>
    </row>
    <row r="51" spans="1:78" ht="15" customHeight="1">
      <c r="A51" s="89"/>
      <c r="B51" s="488"/>
      <c r="C51" s="118"/>
      <c r="D51" s="118"/>
      <c r="E51" s="711"/>
      <c r="F51" s="118"/>
      <c r="G51" s="118"/>
      <c r="H51" s="180" t="s">
        <v>960</v>
      </c>
      <c r="I51" s="1075">
        <f>IF(ISBLANK('Start Page'!$AB$22),"",SUM(Worksheet!H25:H26))</f>
        <v>15.86</v>
      </c>
      <c r="J51" s="1075"/>
      <c r="K51" s="1075"/>
      <c r="L51" s="1075"/>
      <c r="M51" s="558"/>
      <c r="N51" s="1076">
        <f>IFERROR(IF(SUM(Sheet1!D90:D91)=0,"",SUM(Sheet1!D90:D91)),"")</f>
        <v>13144.450800000001</v>
      </c>
      <c r="O51" s="1076"/>
      <c r="P51" s="1076"/>
      <c r="Q51" s="1076"/>
      <c r="R51" s="1067" t="str">
        <f>IF(BD29=FALSE,"VPC",R49)</f>
        <v>VPC</v>
      </c>
      <c r="S51" s="1067"/>
      <c r="T51" s="1067"/>
      <c r="U51" s="1067"/>
      <c r="V51" s="1067"/>
      <c r="W51" s="193"/>
      <c r="X51" s="193"/>
      <c r="Y51" s="193"/>
      <c r="Z51" s="193"/>
      <c r="AA51" s="193"/>
      <c r="AB51" s="193"/>
      <c r="AC51" s="193"/>
      <c r="AD51" s="193"/>
      <c r="AE51" s="193"/>
      <c r="AF51" s="193"/>
      <c r="AG51" s="193"/>
      <c r="AH51" s="193"/>
      <c r="AI51" s="193"/>
      <c r="AJ51" s="193"/>
      <c r="AK51" s="193"/>
      <c r="AL51" s="193"/>
      <c r="AM51" s="564"/>
      <c r="AN51" s="564"/>
      <c r="AO51" s="564"/>
      <c r="AP51" s="564"/>
      <c r="AQ51" s="564"/>
      <c r="AR51" s="564"/>
      <c r="AS51" s="564"/>
      <c r="AT51" s="564"/>
      <c r="AU51" s="564"/>
      <c r="AV51" s="193"/>
      <c r="AW51" s="193"/>
      <c r="AX51" s="193"/>
      <c r="AY51" s="193"/>
      <c r="AZ51" s="193"/>
      <c r="BA51" s="193"/>
      <c r="BB51" s="270"/>
      <c r="BC51" s="89"/>
      <c r="BU51" s="50"/>
      <c r="BV51" s="592"/>
      <c r="BW51" s="50"/>
      <c r="BX51" s="541"/>
    </row>
    <row r="52" spans="1:78" ht="15" customHeight="1">
      <c r="A52" s="89"/>
      <c r="B52" s="488"/>
      <c r="C52" s="118"/>
      <c r="D52" s="118"/>
      <c r="E52" s="711"/>
      <c r="F52" s="118"/>
      <c r="G52" s="118"/>
      <c r="H52" s="180" t="s">
        <v>961</v>
      </c>
      <c r="I52" s="1075">
        <f>IF(SUM(I49:I51)=0,"",SUM(I49:I51))</f>
        <v>175.08432065571674</v>
      </c>
      <c r="J52" s="1075"/>
      <c r="K52" s="1075"/>
      <c r="L52" s="1075"/>
      <c r="M52" s="558"/>
      <c r="N52" s="1076">
        <f>IF(SUM(N49:N51)=0,"",SUM(N49:N51))</f>
        <v>394492.26533568173</v>
      </c>
      <c r="O52" s="1076"/>
      <c r="P52" s="1076"/>
      <c r="Q52" s="1076"/>
      <c r="R52" s="1067" t="str">
        <f>IF(BD29=FALSE,"Blended",R49)</f>
        <v>Blended</v>
      </c>
      <c r="S52" s="1067"/>
      <c r="T52" s="1067"/>
      <c r="U52" s="1067"/>
      <c r="V52" s="1067"/>
      <c r="W52" s="193"/>
      <c r="X52" s="193"/>
      <c r="Y52" s="193"/>
      <c r="Z52" s="193"/>
      <c r="AA52" s="193"/>
      <c r="AB52" s="193"/>
      <c r="AC52" s="193"/>
      <c r="AD52" s="193"/>
      <c r="AE52" s="193"/>
      <c r="AF52" s="193"/>
      <c r="AG52" s="193"/>
      <c r="AH52" s="193"/>
      <c r="AI52" s="193"/>
      <c r="AJ52" s="193"/>
      <c r="AK52" s="193"/>
      <c r="AL52" s="193"/>
      <c r="AM52" s="564"/>
      <c r="AN52" s="564"/>
      <c r="AO52" s="564"/>
      <c r="AP52" s="564"/>
      <c r="AQ52" s="564"/>
      <c r="AR52" s="564"/>
      <c r="AS52" s="564"/>
      <c r="AT52" s="564"/>
      <c r="AU52" s="564"/>
      <c r="AV52" s="193"/>
      <c r="AW52" s="193"/>
      <c r="AX52" s="193"/>
      <c r="AY52" s="193"/>
      <c r="AZ52" s="193"/>
      <c r="BA52" s="193"/>
      <c r="BB52" s="266"/>
      <c r="BC52" s="89"/>
      <c r="BU52" s="50"/>
      <c r="BV52" s="592"/>
      <c r="BW52" s="50"/>
      <c r="BX52" s="541"/>
    </row>
    <row r="53" spans="1:78" ht="12.95" customHeight="1" thickBot="1">
      <c r="A53" s="89"/>
      <c r="B53" s="267"/>
      <c r="C53" s="268"/>
      <c r="D53" s="566"/>
      <c r="E53" s="713"/>
      <c r="F53" s="566"/>
      <c r="G53" s="566"/>
      <c r="H53" s="566"/>
      <c r="I53" s="566"/>
      <c r="J53" s="566"/>
      <c r="K53" s="566"/>
      <c r="L53" s="566"/>
      <c r="M53" s="566"/>
      <c r="N53" s="566"/>
      <c r="O53" s="566"/>
      <c r="P53" s="566"/>
      <c r="Q53" s="566"/>
      <c r="R53" s="566"/>
      <c r="S53" s="566"/>
      <c r="T53" s="566"/>
      <c r="U53" s="566"/>
      <c r="V53" s="566"/>
      <c r="W53" s="566"/>
      <c r="X53" s="566"/>
      <c r="Y53" s="566"/>
      <c r="Z53" s="566"/>
      <c r="AA53" s="566"/>
      <c r="AB53" s="566"/>
      <c r="AC53" s="566"/>
      <c r="AD53" s="566"/>
      <c r="AE53" s="566"/>
      <c r="AF53" s="567"/>
      <c r="AG53" s="568"/>
      <c r="AH53" s="569"/>
      <c r="AI53" s="569"/>
      <c r="AJ53" s="568"/>
      <c r="AK53" s="566"/>
      <c r="AL53" s="566"/>
      <c r="AM53" s="566"/>
      <c r="AN53" s="566"/>
      <c r="AO53" s="566"/>
      <c r="AP53" s="566"/>
      <c r="AQ53" s="566"/>
      <c r="AR53" s="566"/>
      <c r="AS53" s="566"/>
      <c r="AT53" s="566"/>
      <c r="AU53" s="566"/>
      <c r="AV53" s="566"/>
      <c r="AW53" s="570"/>
      <c r="AX53" s="571"/>
      <c r="AY53" s="566"/>
      <c r="AZ53" s="566"/>
      <c r="BA53" s="566"/>
      <c r="BB53" s="269"/>
      <c r="BC53" s="89"/>
      <c r="BP53" s="611" t="s">
        <v>909</v>
      </c>
      <c r="BQ53" s="612" t="s">
        <v>910</v>
      </c>
      <c r="BU53" s="50"/>
      <c r="BV53" s="592"/>
      <c r="BW53" s="50"/>
      <c r="BX53" s="541"/>
    </row>
    <row r="54" spans="1:78" ht="6.75" customHeight="1" thickTop="1">
      <c r="A54" s="89">
        <v>0</v>
      </c>
      <c r="B54" s="89"/>
      <c r="C54" s="89"/>
      <c r="D54" s="89"/>
      <c r="E54" s="708"/>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90"/>
      <c r="AI54" s="90"/>
      <c r="AJ54" s="89"/>
      <c r="AK54" s="89"/>
      <c r="AL54" s="89"/>
      <c r="AM54" s="89"/>
      <c r="AN54" s="89"/>
      <c r="AO54" s="89"/>
      <c r="AP54" s="89"/>
      <c r="AQ54" s="89"/>
      <c r="AR54" s="89"/>
      <c r="AS54" s="89"/>
      <c r="AT54" s="89"/>
      <c r="AU54" s="89"/>
      <c r="AV54" s="89"/>
      <c r="AW54" s="172"/>
      <c r="AX54" s="89"/>
      <c r="AY54" s="89"/>
      <c r="AZ54" s="89"/>
      <c r="BA54" s="89"/>
      <c r="BB54" s="89"/>
      <c r="BC54" s="89"/>
      <c r="BP54" s="611"/>
      <c r="BQ54" s="612"/>
      <c r="BU54" s="50"/>
      <c r="BV54" s="592"/>
      <c r="BW54" s="50"/>
      <c r="BX54" s="541"/>
    </row>
    <row r="55" spans="1:78" ht="12.95" customHeight="1">
      <c r="A55" s="50"/>
      <c r="B55" s="50"/>
      <c r="C55" s="50"/>
      <c r="D55" s="50"/>
      <c r="E55" s="714"/>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O55" s="590" t="s">
        <v>962</v>
      </c>
      <c r="BP55" s="590"/>
      <c r="BQ55" s="590"/>
      <c r="BR55" s="579" t="s">
        <v>916</v>
      </c>
      <c r="BS55" s="607">
        <f>IF($BO$2&gt;0,"",IF(Worksheet!H51="","",IF(ISERROR(1/Worksheet!H62),"",IF('Start Page'!$AB$22="Megalitres (thousand cubic metres)",Worksheet!H51*1000000/365/Worksheet!H62,IF('Start Page'!$AB$22="Million gallons (US)",Worksheet!H51*1000000,Worksheet!H51*325851)/365/Worksheet!H62))))</f>
        <v>31.849025998420196</v>
      </c>
      <c r="BT55" s="591"/>
      <c r="BU55" s="664" t="s">
        <v>910</v>
      </c>
      <c r="BV55" s="592"/>
      <c r="BW55" s="592"/>
      <c r="BX55" s="541"/>
      <c r="BY55" s="50" t="s">
        <v>942</v>
      </c>
      <c r="BZ55" s="50" t="str">
        <f>IF(OR(Worksheet!S91=0,Worksheet!S91="",BO2&gt;0),"",Worksheet!S91)</f>
        <v/>
      </c>
    </row>
    <row r="56" spans="1:78" ht="12.95" customHeight="1">
      <c r="A56" s="50"/>
      <c r="B56" s="50"/>
      <c r="C56" s="50"/>
      <c r="D56" s="50"/>
      <c r="E56" s="714"/>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N56" s="609" t="s">
        <v>918</v>
      </c>
      <c r="BO56" s="591" t="s">
        <v>919</v>
      </c>
      <c r="BP56" s="592">
        <f>SUM(BP57:BP60)</f>
        <v>115.43298001472428</v>
      </c>
      <c r="BQ56" s="613">
        <f>IF($BD$7="ML/Yr",BW56,BU56)</f>
        <v>16.277522142556361</v>
      </c>
      <c r="BR56" s="579" t="s">
        <v>920</v>
      </c>
      <c r="BS56" s="615">
        <f>IF(BS55="","",IF(BS55&lt;BQ56,0,IF(BS55&gt;BQ60,BQ60,BS55)))</f>
        <v>31.849025998420196</v>
      </c>
      <c r="BT56" s="591" t="s">
        <v>919</v>
      </c>
      <c r="BU56" s="603">
        <v>16.277522142556361</v>
      </c>
      <c r="BV56" s="592"/>
      <c r="BW56" s="597">
        <f t="shared" ref="BW56:BW60" si="7">BU56*3.78541</f>
        <v>61.617095093654278</v>
      </c>
      <c r="BX56" s="541"/>
      <c r="BY56" s="50" t="s">
        <v>943</v>
      </c>
      <c r="BZ56" s="50" t="str">
        <f>IF(BZ55="","",IF(BZ55&lt;BQ56,0,IF(BZ55&gt;BQ60,BQ60,BZ55)))</f>
        <v/>
      </c>
    </row>
    <row r="57" spans="1:78" ht="12.95" customHeight="1">
      <c r="A57" s="50"/>
      <c r="B57" s="50"/>
      <c r="C57" s="50"/>
      <c r="D57" s="50"/>
      <c r="E57" s="714"/>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O57" s="591" t="s">
        <v>925</v>
      </c>
      <c r="BP57" s="588">
        <f>BQ57</f>
        <v>22.721688432860574</v>
      </c>
      <c r="BQ57" s="613">
        <f t="shared" ref="BQ57:BQ60" si="8">IF($BD$7="ML/Yr",BW57,BU57)</f>
        <v>22.721688432860574</v>
      </c>
      <c r="BR57" s="591" t="s">
        <v>926</v>
      </c>
      <c r="BS57" s="595">
        <f>SUM(BP56:BP60)/125</f>
        <v>1.8469276802355887</v>
      </c>
      <c r="BT57" s="591" t="s">
        <v>925</v>
      </c>
      <c r="BU57" s="603">
        <v>22.721688432860574</v>
      </c>
      <c r="BV57" s="592"/>
      <c r="BW57" s="597">
        <f t="shared" si="7"/>
        <v>86.010906610634748</v>
      </c>
      <c r="BX57" s="50" t="s">
        <v>944</v>
      </c>
      <c r="BY57" s="591" t="s">
        <v>926</v>
      </c>
      <c r="BZ57" s="595" t="str">
        <f>IF(BZ56="","",SUM(BP56:BP60)/250)</f>
        <v/>
      </c>
    </row>
    <row r="58" spans="1:78" ht="12.95" customHeight="1">
      <c r="A58" s="50"/>
      <c r="B58" s="50"/>
      <c r="C58" s="50"/>
      <c r="D58" s="50"/>
      <c r="E58" s="714"/>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O58" s="591" t="s">
        <v>928</v>
      </c>
      <c r="BP58" s="588">
        <f>BQ58-BQ57</f>
        <v>14.053484230273789</v>
      </c>
      <c r="BQ58" s="613">
        <f t="shared" si="8"/>
        <v>36.775172663134363</v>
      </c>
      <c r="BR58" s="591" t="s">
        <v>900</v>
      </c>
      <c r="BS58" s="595">
        <f>SUM(BP56:BP60)-SUM(BS56,BS57)</f>
        <v>197.17000635079279</v>
      </c>
      <c r="BT58" s="591" t="s">
        <v>928</v>
      </c>
      <c r="BU58" s="603">
        <v>36.775172663134363</v>
      </c>
      <c r="BV58" s="592"/>
      <c r="BW58" s="597">
        <f t="shared" si="7"/>
        <v>139.20910635075546</v>
      </c>
      <c r="BX58" s="50" t="s">
        <v>945</v>
      </c>
      <c r="BY58" s="591" t="s">
        <v>900</v>
      </c>
      <c r="BZ58" s="595" t="str">
        <f>IF(BZ57="","",SUM(BP56:BP60)-SUM(BZ56,BZ57))</f>
        <v/>
      </c>
    </row>
    <row r="59" spans="1:78" ht="12.95" customHeight="1">
      <c r="A59" s="50"/>
      <c r="B59" s="50"/>
      <c r="C59" s="50"/>
      <c r="D59" s="50"/>
      <c r="E59" s="714"/>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O59" s="591" t="s">
        <v>931</v>
      </c>
      <c r="BP59" s="588">
        <f>BQ59-BQ58</f>
        <v>29.603369869319486</v>
      </c>
      <c r="BQ59" s="613">
        <f t="shared" si="8"/>
        <v>66.378542532453849</v>
      </c>
      <c r="BR59" s="591"/>
      <c r="BS59" s="591"/>
      <c r="BT59" s="591" t="s">
        <v>931</v>
      </c>
      <c r="BU59" s="603">
        <v>66.378542532453849</v>
      </c>
      <c r="BV59" s="592"/>
      <c r="BW59" s="597">
        <f t="shared" si="7"/>
        <v>251.26999868777614</v>
      </c>
      <c r="BX59" s="50" t="s">
        <v>948</v>
      </c>
    </row>
    <row r="60" spans="1:78" ht="12.95" customHeight="1">
      <c r="A60" s="50"/>
      <c r="B60" s="50"/>
      <c r="C60" s="50"/>
      <c r="D60" s="50"/>
      <c r="E60" s="714"/>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O60" s="591" t="s">
        <v>932</v>
      </c>
      <c r="BP60" s="588">
        <f>BQ60-BQ59</f>
        <v>49.05443748227043</v>
      </c>
      <c r="BQ60" s="613">
        <f t="shared" si="8"/>
        <v>115.43298001472428</v>
      </c>
      <c r="BR60" s="591"/>
      <c r="BS60" s="591"/>
      <c r="BT60" s="591" t="s">
        <v>932</v>
      </c>
      <c r="BU60" s="603">
        <v>115.43298001472428</v>
      </c>
      <c r="BV60" s="592"/>
      <c r="BW60" s="597">
        <f t="shared" si="7"/>
        <v>436.96115687753746</v>
      </c>
      <c r="BX60" s="50" t="s">
        <v>950</v>
      </c>
    </row>
    <row r="61" spans="1:78" ht="12.95" customHeight="1">
      <c r="A61" s="50"/>
      <c r="B61" s="50"/>
      <c r="C61" s="50"/>
      <c r="D61" s="50"/>
      <c r="E61" s="714"/>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O61" s="576"/>
      <c r="BP61" s="611" t="s">
        <v>909</v>
      </c>
      <c r="BQ61" s="612" t="s">
        <v>910</v>
      </c>
      <c r="BR61" s="576"/>
      <c r="BS61" s="576"/>
      <c r="BT61" s="576"/>
      <c r="BU61" s="594"/>
      <c r="BV61" s="592"/>
      <c r="BW61" s="594"/>
      <c r="BX61" s="601" t="s">
        <v>952</v>
      </c>
    </row>
    <row r="62" spans="1:78" ht="12.95" customHeight="1">
      <c r="A62" s="50"/>
      <c r="B62" s="50"/>
      <c r="C62" s="50"/>
      <c r="D62" s="50"/>
      <c r="E62" s="714"/>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O62" s="590" t="s">
        <v>963</v>
      </c>
      <c r="BP62" s="590"/>
      <c r="BQ62" s="590"/>
      <c r="BR62" s="579" t="s">
        <v>916</v>
      </c>
      <c r="BS62" s="607">
        <f>IF($BO$2&gt;0,"",IFERROR(IF(ISERROR(1/AK43),"",I50/AK43),""))</f>
        <v>1.9007442116002589</v>
      </c>
      <c r="BT62" s="576"/>
      <c r="BU62" s="664" t="s">
        <v>910</v>
      </c>
      <c r="BV62" s="594"/>
      <c r="BW62" s="594"/>
      <c r="BX62" s="613" t="s">
        <v>933</v>
      </c>
    </row>
    <row r="63" spans="1:78" ht="15.75">
      <c r="A63" s="50"/>
      <c r="B63" s="50"/>
      <c r="C63" s="50"/>
      <c r="D63" s="50"/>
      <c r="E63" s="714"/>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N63" s="609" t="s">
        <v>918</v>
      </c>
      <c r="BO63" s="591" t="s">
        <v>919</v>
      </c>
      <c r="BP63" s="592">
        <f>SUM(BP64:BP67)</f>
        <v>5.6785169995812712</v>
      </c>
      <c r="BQ63" s="592">
        <f>BU63</f>
        <v>0.88524096981003719</v>
      </c>
      <c r="BR63" s="579" t="s">
        <v>920</v>
      </c>
      <c r="BS63" s="615">
        <f>IF(BS62="","",IF(BS62&lt;BQ63,0,IF(BS62&gt;BQ67,BQ67,BS62)))</f>
        <v>1.9007442116002589</v>
      </c>
      <c r="BT63" s="591" t="s">
        <v>919</v>
      </c>
      <c r="BU63" s="603">
        <v>0.88524096981003719</v>
      </c>
      <c r="BV63" s="594"/>
      <c r="BW63" s="594"/>
      <c r="BX63" s="541"/>
    </row>
    <row r="64" spans="1:78" ht="15.75">
      <c r="A64" s="50"/>
      <c r="B64" s="50"/>
      <c r="C64" s="50"/>
      <c r="D64" s="50"/>
      <c r="E64" s="714"/>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O64" s="591" t="s">
        <v>925</v>
      </c>
      <c r="BP64" s="592">
        <f>BQ64</f>
        <v>1.1802115431372406</v>
      </c>
      <c r="BQ64" s="592">
        <f t="shared" ref="BQ64:BQ67" si="9">BU64</f>
        <v>1.1802115431372406</v>
      </c>
      <c r="BR64" s="591" t="s">
        <v>926</v>
      </c>
      <c r="BS64" s="595">
        <f>SUM(BP63:BP67)/125</f>
        <v>9.0856271993300333E-2</v>
      </c>
      <c r="BT64" s="591" t="s">
        <v>925</v>
      </c>
      <c r="BU64" s="603">
        <v>1.1802115431372406</v>
      </c>
      <c r="BV64" s="594"/>
      <c r="BW64" s="594"/>
      <c r="BX64" s="50" t="s">
        <v>964</v>
      </c>
      <c r="BY64" s="591"/>
      <c r="BZ64" s="595"/>
    </row>
    <row r="65" spans="1:78" ht="15.75">
      <c r="A65" s="50"/>
      <c r="B65" s="50"/>
      <c r="C65" s="50"/>
      <c r="D65" s="50"/>
      <c r="E65" s="714"/>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E65" s="583"/>
      <c r="BF65" s="583"/>
      <c r="BG65" s="583"/>
      <c r="BH65" s="583"/>
      <c r="BI65" s="583"/>
      <c r="BJ65" s="583"/>
      <c r="BK65" s="583"/>
      <c r="BL65" s="583"/>
      <c r="BM65" s="118"/>
      <c r="BO65" s="591" t="s">
        <v>928</v>
      </c>
      <c r="BP65" s="592">
        <f>BQ65-BQ64</f>
        <v>0.66786196495481698</v>
      </c>
      <c r="BQ65" s="592">
        <f t="shared" si="9"/>
        <v>1.8480735080920576</v>
      </c>
      <c r="BR65" s="591" t="s">
        <v>900</v>
      </c>
      <c r="BS65" s="595">
        <f>SUM(BP63:BP67)-SUM(BS63,BS64)</f>
        <v>9.3654335155689825</v>
      </c>
      <c r="BT65" s="591" t="s">
        <v>928</v>
      </c>
      <c r="BU65" s="603">
        <v>1.8480735080920576</v>
      </c>
      <c r="BV65" s="594"/>
      <c r="BW65" s="594"/>
      <c r="BY65" s="591"/>
      <c r="BZ65" s="595"/>
    </row>
    <row r="66" spans="1:78" ht="15.75">
      <c r="A66" s="50"/>
      <c r="B66" s="50"/>
      <c r="C66" s="50"/>
      <c r="D66" s="50"/>
      <c r="E66" s="714"/>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H66" s="118"/>
      <c r="BI66" s="118"/>
      <c r="BJ66" s="118"/>
      <c r="BK66" s="118"/>
      <c r="BL66" s="118"/>
      <c r="BM66" s="118"/>
      <c r="BO66" s="591" t="s">
        <v>931</v>
      </c>
      <c r="BP66" s="592">
        <f>BQ66-BQ65</f>
        <v>1.3196245561942783</v>
      </c>
      <c r="BQ66" s="592">
        <f t="shared" si="9"/>
        <v>3.1676980642863359</v>
      </c>
      <c r="BR66" s="591"/>
      <c r="BS66" s="591"/>
      <c r="BT66" s="591" t="s">
        <v>931</v>
      </c>
      <c r="BU66" s="603">
        <v>3.1676980642863359</v>
      </c>
      <c r="BV66" s="594"/>
      <c r="BW66" s="594"/>
    </row>
    <row r="67" spans="1:78" ht="15.75">
      <c r="A67" s="50"/>
      <c r="B67" s="50"/>
      <c r="C67" s="50"/>
      <c r="D67" s="50"/>
      <c r="E67" s="714"/>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H67" s="118"/>
      <c r="BI67" s="118"/>
      <c r="BJ67" s="118"/>
      <c r="BK67" s="118"/>
      <c r="BL67" s="118"/>
      <c r="BM67" s="118"/>
      <c r="BO67" s="591" t="s">
        <v>932</v>
      </c>
      <c r="BP67" s="592">
        <f>BQ67-BQ66</f>
        <v>2.5108189352949353</v>
      </c>
      <c r="BQ67" s="592">
        <f t="shared" si="9"/>
        <v>5.6785169995812712</v>
      </c>
      <c r="BR67" s="591"/>
      <c r="BS67" s="591"/>
      <c r="BT67" s="591" t="s">
        <v>932</v>
      </c>
      <c r="BU67" s="603">
        <v>5.6785169995812712</v>
      </c>
      <c r="BV67" s="594"/>
      <c r="BW67" s="594"/>
    </row>
    <row r="68" spans="1:78" ht="15.75" customHeight="1">
      <c r="A68" s="50"/>
      <c r="B68" s="50"/>
      <c r="C68" s="50"/>
      <c r="D68" s="50"/>
      <c r="E68" s="714"/>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O68" s="576"/>
      <c r="BP68" s="611" t="s">
        <v>909</v>
      </c>
      <c r="BQ68" s="612" t="s">
        <v>910</v>
      </c>
      <c r="BR68" s="576"/>
      <c r="BS68" s="576"/>
      <c r="BT68" s="576"/>
      <c r="BU68" s="594"/>
      <c r="BV68" s="594"/>
      <c r="BW68" s="594"/>
      <c r="BX68" s="541"/>
    </row>
    <row r="69" spans="1:78" ht="14.1" customHeight="1">
      <c r="A69" s="50"/>
      <c r="B69" s="50"/>
      <c r="C69" s="50"/>
      <c r="D69" s="50"/>
      <c r="E69" s="714"/>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O69" s="590" t="s">
        <v>965</v>
      </c>
      <c r="BP69" s="590"/>
      <c r="BQ69" s="590"/>
      <c r="BR69" s="579" t="s">
        <v>916</v>
      </c>
      <c r="BS69" s="608">
        <f>IF($BO$2&gt;0,"",IF(Worksheet!H51="","",IF(ISERROR(1/Worksheet!H61),"",IF('Start Page'!$AB$22="Acre-feet",Worksheet!H51*325851/1000000,Worksheet!H51)*1000000/365/Worksheet!H61)))</f>
        <v>1977.4305059328417</v>
      </c>
      <c r="BT69" s="576"/>
      <c r="BU69" s="664" t="s">
        <v>910</v>
      </c>
      <c r="BV69" s="594"/>
      <c r="BW69" s="594"/>
      <c r="BX69" s="541"/>
      <c r="BY69" s="50" t="s">
        <v>942</v>
      </c>
      <c r="BZ69" s="718" t="str">
        <f>IF(OR(Worksheet!S92=0,Worksheet!S92="",BO2&gt;0),"",Worksheet!S92)</f>
        <v/>
      </c>
    </row>
    <row r="70" spans="1:78" ht="14.1" customHeight="1">
      <c r="A70" s="50"/>
      <c r="B70" s="50"/>
      <c r="C70" s="50"/>
      <c r="D70" s="50"/>
      <c r="E70" s="714"/>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N70" s="609" t="s">
        <v>918</v>
      </c>
      <c r="BO70" s="591" t="s">
        <v>919</v>
      </c>
      <c r="BP70" s="600">
        <f>SUM(BP71:BP74)</f>
        <v>6074.127474647431</v>
      </c>
      <c r="BQ70" s="613">
        <f>IF($BD$7="ML/Yr",BW70,BU70)</f>
        <v>879.72156275907298</v>
      </c>
      <c r="BR70" s="579" t="s">
        <v>920</v>
      </c>
      <c r="BS70" s="616">
        <f>IF(BS69="","",IF(BS69&lt;BQ70,0,IF(BS69&gt;BQ74,BQ74,BS69)))</f>
        <v>1977.4305059328417</v>
      </c>
      <c r="BT70" s="591" t="s">
        <v>919</v>
      </c>
      <c r="BU70" s="602">
        <v>879.72156275907298</v>
      </c>
      <c r="BV70" s="594"/>
      <c r="BW70" s="598">
        <f>BU70*3.78541/1.60934</f>
        <v>2069.2375762013139</v>
      </c>
      <c r="BX70" s="541"/>
      <c r="BY70" s="50" t="s">
        <v>943</v>
      </c>
      <c r="BZ70" s="50" t="str">
        <f>IF(BZ69="","",IF(BZ69&lt;BQ70,0,IF(BZ69&gt;BQ74,BQ74,BZ69)))</f>
        <v/>
      </c>
    </row>
    <row r="71" spans="1:78" ht="14.1" customHeight="1">
      <c r="A71" s="50"/>
      <c r="B71" s="50"/>
      <c r="C71" s="50"/>
      <c r="D71" s="50"/>
      <c r="E71" s="714"/>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O71" s="591" t="s">
        <v>925</v>
      </c>
      <c r="BP71" s="616">
        <f>BQ71</f>
        <v>1289.3731309804823</v>
      </c>
      <c r="BQ71" s="613">
        <f t="shared" ref="BQ71:BQ74" si="10">IF($BD$7="ML/Yr",BW71,BU71)</f>
        <v>1289.3731309804823</v>
      </c>
      <c r="BR71" s="591" t="s">
        <v>926</v>
      </c>
      <c r="BS71" s="595">
        <f>SUM(BP70:BP74)/125</f>
        <v>97.186039594358903</v>
      </c>
      <c r="BT71" s="591" t="s">
        <v>925</v>
      </c>
      <c r="BU71" s="602">
        <v>1289.3731309804823</v>
      </c>
      <c r="BV71" s="594"/>
      <c r="BW71" s="598">
        <f>BU71*3.78541/1.60934</f>
        <v>3032.799746321366</v>
      </c>
      <c r="BX71" s="50" t="s">
        <v>966</v>
      </c>
      <c r="BY71" s="591" t="s">
        <v>926</v>
      </c>
      <c r="BZ71" s="595" t="str">
        <f>IF(BZ70="","",SUM(BP70:BP74)/250)</f>
        <v/>
      </c>
    </row>
    <row r="72" spans="1:78" ht="14.1" customHeight="1">
      <c r="A72" s="50"/>
      <c r="B72" s="50"/>
      <c r="C72" s="50"/>
      <c r="D72" s="50"/>
      <c r="E72" s="714"/>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O72" s="591" t="s">
        <v>928</v>
      </c>
      <c r="BP72" s="616">
        <f>BQ72-BQ71</f>
        <v>759.55275547112319</v>
      </c>
      <c r="BQ72" s="613">
        <f t="shared" si="10"/>
        <v>2048.9258864516055</v>
      </c>
      <c r="BR72" s="591" t="s">
        <v>900</v>
      </c>
      <c r="BS72" s="600">
        <f>SUM(BP70:BP74)-SUM(BS70,BS71)</f>
        <v>10073.638403767662</v>
      </c>
      <c r="BT72" s="591" t="s">
        <v>928</v>
      </c>
      <c r="BU72" s="602">
        <v>2048.9258864516055</v>
      </c>
      <c r="BV72" s="594"/>
      <c r="BW72" s="598">
        <f t="shared" ref="BW72:BW74" si="11">BU72*3.78541/1.60934</f>
        <v>4819.3821938389483</v>
      </c>
      <c r="BX72" s="50" t="s">
        <v>945</v>
      </c>
      <c r="BY72" s="591" t="s">
        <v>900</v>
      </c>
      <c r="BZ72" s="595" t="str">
        <f>IF(BZ71="","",SUM(BP70:BP74)-SUM(BZ70,BZ71))</f>
        <v/>
      </c>
    </row>
    <row r="73" spans="1:78" ht="14.1" customHeight="1">
      <c r="A73" s="50"/>
      <c r="B73" s="50"/>
      <c r="C73" s="50"/>
      <c r="D73" s="50"/>
      <c r="E73" s="714"/>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O73" s="591" t="s">
        <v>931</v>
      </c>
      <c r="BP73" s="616">
        <f>BQ73-BQ72</f>
        <v>1590.6845140948462</v>
      </c>
      <c r="BQ73" s="613">
        <f t="shared" si="10"/>
        <v>3639.6104005464517</v>
      </c>
      <c r="BR73" s="591"/>
      <c r="BS73" s="591"/>
      <c r="BT73" s="591" t="s">
        <v>931</v>
      </c>
      <c r="BU73" s="602">
        <v>3639.6104005464517</v>
      </c>
      <c r="BV73" s="594"/>
      <c r="BW73" s="598">
        <f t="shared" si="11"/>
        <v>8560.9116820140825</v>
      </c>
      <c r="BX73" s="50" t="s">
        <v>948</v>
      </c>
    </row>
    <row r="74" spans="1:78" ht="14.1" customHeight="1">
      <c r="A74" s="50"/>
      <c r="B74" s="50"/>
      <c r="C74" s="50"/>
      <c r="D74" s="50"/>
      <c r="E74" s="714"/>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O74" s="591" t="s">
        <v>932</v>
      </c>
      <c r="BP74" s="616">
        <f>BQ74-BQ73</f>
        <v>2434.5170741009792</v>
      </c>
      <c r="BQ74" s="613">
        <f t="shared" si="10"/>
        <v>6074.127474647431</v>
      </c>
      <c r="BR74" s="591"/>
      <c r="BS74" s="591"/>
      <c r="BT74" s="591" t="s">
        <v>932</v>
      </c>
      <c r="BU74" s="602">
        <v>6074.127474647431</v>
      </c>
      <c r="BV74" s="594"/>
      <c r="BW74" s="598">
        <f t="shared" si="11"/>
        <v>14287.262408071094</v>
      </c>
      <c r="BX74" s="50" t="s">
        <v>967</v>
      </c>
    </row>
    <row r="75" spans="1:78" ht="14.1" customHeight="1">
      <c r="A75" s="50"/>
      <c r="B75" s="50"/>
      <c r="C75" s="50"/>
      <c r="D75" s="50"/>
      <c r="E75" s="714"/>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T75" s="576"/>
      <c r="BU75" s="594"/>
      <c r="BV75" s="594"/>
      <c r="BW75" s="594"/>
      <c r="BX75" s="601" t="s">
        <v>968</v>
      </c>
    </row>
    <row r="76" spans="1:78" ht="14.1" customHeight="1">
      <c r="A76" s="50"/>
      <c r="B76" s="50"/>
      <c r="C76" s="50"/>
      <c r="D76" s="50"/>
      <c r="E76" s="714"/>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O76" s="576"/>
      <c r="BP76" s="611" t="s">
        <v>909</v>
      </c>
      <c r="BQ76" s="612" t="s">
        <v>910</v>
      </c>
      <c r="BR76" s="576"/>
      <c r="BS76" s="576"/>
      <c r="BT76" s="576"/>
      <c r="BU76" s="594"/>
      <c r="BV76" s="594"/>
      <c r="BW76" s="594"/>
      <c r="BX76" s="613" t="s">
        <v>933</v>
      </c>
    </row>
    <row r="77" spans="1:78" ht="14.1" customHeight="1">
      <c r="A77" s="50"/>
      <c r="B77" s="50"/>
      <c r="C77" s="50"/>
      <c r="D77" s="50"/>
      <c r="E77" s="714"/>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O77" s="590" t="s">
        <v>969</v>
      </c>
      <c r="BP77" s="590"/>
      <c r="BT77" s="576"/>
      <c r="BU77" s="664" t="s">
        <v>910</v>
      </c>
      <c r="BV77" s="594"/>
      <c r="BW77" s="594"/>
      <c r="BX77" s="541"/>
    </row>
    <row r="78" spans="1:78" ht="14.1" customHeight="1">
      <c r="A78" s="50"/>
      <c r="B78" s="50"/>
      <c r="C78" s="50"/>
      <c r="D78" s="50"/>
      <c r="E78" s="714"/>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N78" s="609" t="s">
        <v>918</v>
      </c>
      <c r="BO78" s="591" t="s">
        <v>919</v>
      </c>
      <c r="BP78" s="600">
        <v>0</v>
      </c>
      <c r="BQ78" s="767">
        <f>IF($BD$7="ML/Yr",BW78,BU78)</f>
        <v>52.334191473572488</v>
      </c>
      <c r="BS78" s="616"/>
      <c r="BT78" s="591" t="s">
        <v>919</v>
      </c>
      <c r="BU78" s="602">
        <v>52.334191473572488</v>
      </c>
      <c r="BV78" s="594"/>
      <c r="BW78" s="598">
        <f>BU78*0.70324961490205</f>
        <v>36.804000000000002</v>
      </c>
    </row>
    <row r="79" spans="1:78" ht="14.1" customHeight="1">
      <c r="A79" s="50"/>
      <c r="B79" s="50"/>
      <c r="C79" s="50"/>
      <c r="D79" s="50"/>
      <c r="E79" s="714"/>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O79" s="591" t="s">
        <v>925</v>
      </c>
      <c r="BP79" s="616">
        <f>BQ79-BQ78</f>
        <v>7.6622700288460379</v>
      </c>
      <c r="BQ79" s="767">
        <f>IF($BD$7="ML/Yr",BW79,BU79)</f>
        <v>59.996461502418526</v>
      </c>
      <c r="BS79" s="595"/>
      <c r="BT79" s="591" t="s">
        <v>925</v>
      </c>
      <c r="BU79" s="602">
        <v>59.996461502418526</v>
      </c>
      <c r="BV79" s="594"/>
      <c r="BW79" s="598">
        <f t="shared" ref="BW79:BW82" si="12">BU79*0.70324961490205</f>
        <v>42.192488447061493</v>
      </c>
      <c r="BX79" s="50" t="s">
        <v>970</v>
      </c>
    </row>
    <row r="80" spans="1:78" ht="14.1" customHeight="1">
      <c r="A80" s="50"/>
      <c r="B80" s="50"/>
      <c r="C80" s="50"/>
      <c r="D80" s="50"/>
      <c r="E80" s="714"/>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O80" s="591" t="s">
        <v>928</v>
      </c>
      <c r="BP80" s="616">
        <f>BQ80-BQ79</f>
        <v>10.003538497581474</v>
      </c>
      <c r="BQ80" s="767">
        <f>IF($BD$7="ML/Yr",BW80,BU80)</f>
        <v>70</v>
      </c>
      <c r="BS80" s="600"/>
      <c r="BT80" s="591" t="s">
        <v>928</v>
      </c>
      <c r="BU80" s="602">
        <v>70</v>
      </c>
      <c r="BV80" s="594"/>
      <c r="BW80" s="598">
        <f t="shared" si="12"/>
        <v>49.227473043143497</v>
      </c>
      <c r="BX80" s="50" t="s">
        <v>948</v>
      </c>
    </row>
    <row r="81" spans="1:76" ht="14.1" customHeight="1">
      <c r="A81" s="50"/>
      <c r="B81" s="50"/>
      <c r="C81" s="50"/>
      <c r="D81" s="50"/>
      <c r="E81" s="714"/>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O81" s="591" t="s">
        <v>931</v>
      </c>
      <c r="BP81" s="616">
        <f>BQ81-BQ80</f>
        <v>11.988291197308087</v>
      </c>
      <c r="BQ81" s="767">
        <f>IF($BD$7="ML/Yr",BW81,BU81)</f>
        <v>81.988291197308087</v>
      </c>
      <c r="BS81" s="591"/>
      <c r="BT81" s="591" t="s">
        <v>931</v>
      </c>
      <c r="BU81" s="602">
        <v>81.988291197308087</v>
      </c>
      <c r="BV81" s="594"/>
      <c r="BW81" s="598">
        <f t="shared" si="12"/>
        <v>57.658234210984041</v>
      </c>
      <c r="BX81" s="50" t="s">
        <v>971</v>
      </c>
    </row>
    <row r="82" spans="1:76" ht="14.1" customHeight="1">
      <c r="A82" s="50"/>
      <c r="B82" s="50"/>
      <c r="C82" s="50"/>
      <c r="D82" s="50"/>
      <c r="E82" s="714"/>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O82" s="591" t="s">
        <v>932</v>
      </c>
      <c r="BP82" s="616">
        <f>BQ82-BQ81</f>
        <v>15.011708802691913</v>
      </c>
      <c r="BQ82" s="767">
        <f>IF($BD$7="ML/Yr",BW82,BU82)</f>
        <v>97</v>
      </c>
      <c r="BS82" s="591"/>
      <c r="BT82" s="591" t="s">
        <v>932</v>
      </c>
      <c r="BU82" s="602">
        <v>97</v>
      </c>
      <c r="BV82" s="594"/>
      <c r="BW82" s="598">
        <f t="shared" si="12"/>
        <v>68.215212645498852</v>
      </c>
      <c r="BX82" s="601" t="s">
        <v>972</v>
      </c>
    </row>
    <row r="83" spans="1:76" ht="14.1" customHeight="1">
      <c r="A83" s="50"/>
      <c r="B83" s="50"/>
      <c r="C83" s="50"/>
      <c r="D83" s="50"/>
      <c r="E83" s="714"/>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O83" s="768" t="s">
        <v>577</v>
      </c>
      <c r="BP83" s="616">
        <f>input_AOP-BQ78</f>
        <v>10.06580852642751</v>
      </c>
      <c r="BQ83" s="608">
        <f>BP83+BQ78</f>
        <v>62.4</v>
      </c>
      <c r="BX83" s="613" t="s">
        <v>933</v>
      </c>
    </row>
    <row r="84" spans="1:76" ht="14.1" customHeight="1">
      <c r="A84" s="50"/>
      <c r="B84" s="50"/>
      <c r="C84" s="50"/>
      <c r="D84" s="50"/>
      <c r="E84" s="714"/>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row>
    <row r="85" spans="1:76" ht="14.1" customHeight="1">
      <c r="A85" s="50"/>
      <c r="B85" s="50"/>
      <c r="C85" s="50"/>
      <c r="D85" s="50"/>
      <c r="E85" s="714"/>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row>
    <row r="86" spans="1:76" ht="14.1" customHeight="1">
      <c r="A86" s="50"/>
      <c r="B86" s="50"/>
      <c r="C86" s="50"/>
      <c r="D86" s="50"/>
      <c r="E86" s="714"/>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row>
    <row r="87" spans="1:76" ht="14.1" customHeight="1">
      <c r="A87" s="50"/>
      <c r="B87" s="50"/>
      <c r="C87" s="50"/>
      <c r="D87" s="50"/>
      <c r="E87" s="714"/>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row>
    <row r="88" spans="1:76" ht="14.1" customHeight="1">
      <c r="A88" s="50"/>
      <c r="B88" s="50"/>
      <c r="C88" s="50"/>
      <c r="D88" s="50"/>
      <c r="E88" s="714"/>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50"/>
      <c r="AZ88" s="50"/>
      <c r="BA88" s="50"/>
      <c r="BB88" s="50"/>
      <c r="BC88" s="50"/>
    </row>
    <row r="89" spans="1:76" ht="14.1" customHeight="1">
      <c r="A89" s="50"/>
      <c r="B89" s="50"/>
      <c r="C89" s="50"/>
      <c r="D89" s="50"/>
      <c r="E89" s="714"/>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c r="AY89" s="50"/>
      <c r="AZ89" s="50"/>
      <c r="BA89" s="50"/>
      <c r="BB89" s="50"/>
      <c r="BC89" s="50"/>
    </row>
    <row r="90" spans="1:76" ht="14.1" customHeight="1">
      <c r="A90" s="50"/>
      <c r="B90" s="50"/>
      <c r="C90" s="50"/>
      <c r="D90" s="50"/>
      <c r="E90" s="714"/>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row>
    <row r="91" spans="1:76" ht="14.1" customHeight="1">
      <c r="A91" s="50"/>
      <c r="B91" s="50"/>
      <c r="C91" s="50"/>
      <c r="D91" s="50"/>
      <c r="E91" s="714"/>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row>
    <row r="92" spans="1:76" ht="14.1" customHeight="1">
      <c r="A92" s="50"/>
      <c r="B92" s="50"/>
      <c r="C92" s="50"/>
      <c r="D92" s="50"/>
      <c r="E92" s="714"/>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row>
    <row r="93" spans="1:76" ht="14.1" customHeight="1">
      <c r="A93" s="50"/>
      <c r="B93" s="50"/>
      <c r="C93" s="50"/>
      <c r="D93" s="50"/>
      <c r="E93" s="714"/>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row>
    <row r="94" spans="1:76" ht="14.1" customHeight="1">
      <c r="A94" s="50"/>
      <c r="B94" s="50"/>
      <c r="C94" s="50"/>
      <c r="D94" s="50"/>
      <c r="E94" s="714"/>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row>
    <row r="95" spans="1:76" ht="14.1" customHeight="1">
      <c r="A95" s="50"/>
      <c r="B95" s="50"/>
      <c r="C95" s="50"/>
      <c r="D95" s="50"/>
      <c r="E95" s="714"/>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row>
    <row r="96" spans="1:76" ht="14.1" customHeight="1">
      <c r="A96" s="50"/>
      <c r="B96" s="50"/>
      <c r="C96" s="50"/>
      <c r="D96" s="50"/>
      <c r="E96" s="714"/>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row>
    <row r="97" spans="1:55" ht="14.1" customHeight="1">
      <c r="A97" s="50"/>
      <c r="B97" s="50"/>
      <c r="C97" s="50"/>
      <c r="D97" s="50"/>
      <c r="E97" s="714"/>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row>
    <row r="98" spans="1:55" ht="14.1" customHeight="1">
      <c r="A98" s="50"/>
      <c r="B98" s="50"/>
      <c r="C98" s="50"/>
      <c r="D98" s="50"/>
      <c r="E98" s="714"/>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row>
    <row r="99" spans="1:55" ht="14.1" customHeight="1">
      <c r="A99" s="50"/>
      <c r="B99" s="50"/>
      <c r="C99" s="50"/>
      <c r="D99" s="50"/>
      <c r="E99" s="714"/>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row>
    <row r="100" spans="1:55" ht="14.1" customHeight="1">
      <c r="A100" s="50"/>
      <c r="B100" s="50"/>
      <c r="C100" s="50"/>
      <c r="D100" s="50"/>
      <c r="E100" s="714"/>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row>
    <row r="101" spans="1:55" ht="14.1" customHeight="1">
      <c r="A101" s="50"/>
      <c r="B101" s="50"/>
      <c r="C101" s="50"/>
      <c r="D101" s="50"/>
      <c r="E101" s="714"/>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row>
    <row r="102" spans="1:55" ht="14.1" customHeight="1">
      <c r="A102" s="50"/>
      <c r="B102" s="50"/>
      <c r="C102" s="50"/>
      <c r="D102" s="50"/>
      <c r="E102" s="714"/>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row>
    <row r="103" spans="1:55" ht="14.1" customHeight="1">
      <c r="A103" s="50"/>
      <c r="B103" s="50"/>
      <c r="C103" s="50"/>
      <c r="D103" s="50"/>
      <c r="E103" s="714"/>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row>
    <row r="104" spans="1:55" ht="14.1" customHeight="1">
      <c r="A104" s="50"/>
      <c r="B104" s="50"/>
      <c r="C104" s="50"/>
      <c r="D104" s="50"/>
      <c r="E104" s="714"/>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row>
    <row r="105" spans="1:55" ht="14.1" customHeight="1">
      <c r="A105" s="50"/>
      <c r="B105" s="50"/>
      <c r="C105" s="50"/>
      <c r="D105" s="50"/>
      <c r="E105" s="714"/>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row>
    <row r="106" spans="1:55" ht="14.1" customHeight="1">
      <c r="A106" s="50"/>
      <c r="B106" s="50"/>
      <c r="C106" s="50"/>
      <c r="D106" s="50"/>
      <c r="E106" s="714"/>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row>
    <row r="107" spans="1:55" ht="14.1" customHeight="1">
      <c r="A107" s="50"/>
      <c r="B107" s="50"/>
      <c r="C107" s="50"/>
      <c r="D107" s="50"/>
      <c r="E107" s="714"/>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row>
    <row r="108" spans="1:55" ht="14.1" customHeight="1">
      <c r="A108" s="50"/>
      <c r="B108" s="50"/>
      <c r="C108" s="50"/>
      <c r="D108" s="50"/>
      <c r="E108" s="714"/>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row>
    <row r="109" spans="1:55" ht="14.1" customHeight="1">
      <c r="A109" s="50"/>
      <c r="B109" s="50"/>
      <c r="C109" s="50"/>
      <c r="D109" s="50"/>
      <c r="E109" s="714"/>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row>
    <row r="110" spans="1:55" ht="75.599999999999994" customHeight="1">
      <c r="A110" s="50"/>
      <c r="B110" s="50"/>
      <c r="C110" s="50"/>
      <c r="D110" s="50"/>
      <c r="E110" s="714"/>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row>
    <row r="111" spans="1:55" ht="75.599999999999994" customHeight="1">
      <c r="A111" s="50"/>
      <c r="B111" s="50"/>
      <c r="C111" s="50"/>
      <c r="D111" s="50"/>
      <c r="E111" s="714"/>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row>
    <row r="112" spans="1:55" ht="14.1" customHeight="1">
      <c r="A112" s="50"/>
      <c r="B112" s="50"/>
      <c r="C112" s="50"/>
      <c r="D112" s="50"/>
      <c r="E112" s="714"/>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row>
    <row r="113" spans="1:55" ht="14.1" customHeight="1">
      <c r="A113" s="50"/>
      <c r="B113" s="50"/>
      <c r="C113" s="50"/>
      <c r="D113" s="50"/>
      <c r="E113" s="714"/>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row>
    <row r="114" spans="1:55" ht="14.1" customHeight="1">
      <c r="A114" s="50"/>
      <c r="B114" s="50"/>
      <c r="C114" s="50"/>
      <c r="D114" s="50"/>
      <c r="E114" s="714"/>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row>
    <row r="115" spans="1:55" ht="14.1" customHeight="1">
      <c r="A115" s="50"/>
      <c r="B115" s="50"/>
      <c r="C115" s="50"/>
      <c r="D115" s="50"/>
      <c r="E115" s="714"/>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row>
    <row r="116" spans="1:55" ht="14.1" customHeight="1">
      <c r="A116" s="50"/>
      <c r="B116" s="50"/>
      <c r="C116" s="50"/>
      <c r="D116" s="50"/>
      <c r="E116" s="714"/>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row>
    <row r="117" spans="1:55" ht="14.1" customHeight="1">
      <c r="A117" s="50"/>
      <c r="B117" s="50"/>
      <c r="C117" s="50"/>
      <c r="D117" s="50"/>
      <c r="E117" s="714"/>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row>
    <row r="118" spans="1:55" ht="14.1" customHeight="1">
      <c r="A118" s="50"/>
      <c r="B118" s="50"/>
      <c r="C118" s="50"/>
      <c r="D118" s="50"/>
      <c r="E118" s="714"/>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179"/>
      <c r="AI118" s="179"/>
      <c r="AJ118" s="50"/>
      <c r="AK118" s="50"/>
      <c r="AL118" s="50"/>
      <c r="AM118" s="50"/>
      <c r="AN118" s="50"/>
      <c r="AO118" s="50"/>
      <c r="AP118" s="50"/>
      <c r="AQ118" s="50"/>
      <c r="AR118" s="50"/>
      <c r="AS118" s="50"/>
      <c r="AT118" s="50"/>
      <c r="AU118" s="50"/>
      <c r="AV118" s="50"/>
      <c r="AW118" s="180"/>
      <c r="AX118" s="50"/>
      <c r="AY118" s="50"/>
      <c r="AZ118" s="50"/>
      <c r="BA118" s="50"/>
      <c r="BB118" s="50"/>
      <c r="BC118" s="50"/>
    </row>
    <row r="119" spans="1:55" ht="14.1" customHeight="1">
      <c r="A119" s="50"/>
      <c r="B119" s="50"/>
      <c r="C119" s="50"/>
      <c r="D119" s="50"/>
      <c r="E119" s="714"/>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179"/>
      <c r="AI119" s="179"/>
      <c r="AJ119" s="50"/>
      <c r="AK119" s="50"/>
      <c r="AL119" s="50"/>
      <c r="AM119" s="50"/>
      <c r="AN119" s="50"/>
      <c r="AO119" s="50"/>
      <c r="AP119" s="50"/>
      <c r="AQ119" s="50"/>
      <c r="AR119" s="50"/>
      <c r="AS119" s="50"/>
      <c r="AT119" s="50"/>
      <c r="AU119" s="50"/>
      <c r="AV119" s="50"/>
      <c r="AW119" s="180"/>
      <c r="AX119" s="50"/>
      <c r="AY119" s="50"/>
      <c r="AZ119" s="50"/>
      <c r="BA119" s="50"/>
      <c r="BB119" s="50"/>
      <c r="BC119" s="50"/>
    </row>
    <row r="120" spans="1:55" ht="14.1" customHeight="1">
      <c r="A120" s="50"/>
      <c r="B120" s="50"/>
      <c r="C120" s="50"/>
      <c r="D120" s="50"/>
      <c r="E120" s="714"/>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179"/>
      <c r="AI120" s="179"/>
      <c r="AJ120" s="50"/>
      <c r="AK120" s="50"/>
      <c r="AL120" s="50"/>
      <c r="AM120" s="50"/>
      <c r="AN120" s="50"/>
      <c r="AO120" s="50"/>
      <c r="AP120" s="50"/>
      <c r="AQ120" s="50"/>
      <c r="AR120" s="50"/>
      <c r="AS120" s="50"/>
      <c r="AT120" s="50"/>
      <c r="AU120" s="50"/>
      <c r="AV120" s="50"/>
      <c r="AW120" s="180"/>
      <c r="AX120" s="50"/>
      <c r="AY120" s="50"/>
      <c r="AZ120" s="50"/>
      <c r="BA120" s="50"/>
      <c r="BB120" s="50"/>
      <c r="BC120" s="50"/>
    </row>
    <row r="121" spans="1:55" ht="14.1" customHeight="1">
      <c r="A121" s="50"/>
      <c r="B121" s="50"/>
      <c r="C121" s="50"/>
      <c r="D121" s="50"/>
      <c r="E121" s="714"/>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179"/>
      <c r="AI121" s="179"/>
      <c r="AJ121" s="50"/>
      <c r="AK121" s="50"/>
      <c r="AL121" s="50"/>
      <c r="AM121" s="50"/>
      <c r="AN121" s="50"/>
      <c r="AO121" s="50"/>
      <c r="AP121" s="50"/>
      <c r="AQ121" s="50"/>
      <c r="AR121" s="50"/>
      <c r="AS121" s="50"/>
      <c r="AT121" s="50"/>
      <c r="AU121" s="50"/>
      <c r="AV121" s="50"/>
      <c r="AW121" s="180"/>
      <c r="AX121" s="50"/>
      <c r="AY121" s="50"/>
      <c r="AZ121" s="50"/>
      <c r="BA121" s="50"/>
      <c r="BB121" s="50"/>
      <c r="BC121" s="50"/>
    </row>
    <row r="122" spans="1:55" ht="14.1" customHeight="1">
      <c r="A122" s="50"/>
      <c r="B122" s="50"/>
      <c r="C122" s="50"/>
      <c r="D122" s="50"/>
      <c r="E122" s="714"/>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179"/>
      <c r="AI122" s="179"/>
      <c r="AJ122" s="50"/>
      <c r="AK122" s="50"/>
      <c r="AL122" s="50"/>
      <c r="AM122" s="50"/>
      <c r="AN122" s="50"/>
      <c r="AO122" s="50"/>
      <c r="AP122" s="50"/>
      <c r="AQ122" s="50"/>
      <c r="AR122" s="50"/>
      <c r="AS122" s="50"/>
      <c r="AT122" s="50"/>
      <c r="AU122" s="50"/>
      <c r="AV122" s="50"/>
      <c r="AW122" s="180"/>
      <c r="AX122" s="50"/>
      <c r="AY122" s="50"/>
      <c r="AZ122" s="50"/>
      <c r="BA122" s="50"/>
      <c r="BB122" s="50"/>
      <c r="BC122" s="50"/>
    </row>
    <row r="123" spans="1:55" ht="14.1" customHeight="1">
      <c r="A123" s="50"/>
      <c r="B123" s="50"/>
      <c r="C123" s="50"/>
      <c r="D123" s="50"/>
      <c r="E123" s="714"/>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179"/>
      <c r="AI123" s="179"/>
      <c r="AJ123" s="50"/>
      <c r="AK123" s="50"/>
      <c r="AL123" s="50"/>
      <c r="AM123" s="50"/>
      <c r="AN123" s="50"/>
      <c r="AO123" s="50"/>
      <c r="AP123" s="50"/>
      <c r="AQ123" s="50"/>
      <c r="AR123" s="50"/>
      <c r="AS123" s="50"/>
      <c r="AT123" s="50"/>
      <c r="AU123" s="50"/>
      <c r="AV123" s="50"/>
      <c r="AW123" s="180"/>
      <c r="AX123" s="50"/>
      <c r="AY123" s="50"/>
      <c r="AZ123" s="50"/>
      <c r="BA123" s="50"/>
      <c r="BB123" s="50"/>
      <c r="BC123" s="50"/>
    </row>
    <row r="124" spans="1:55" ht="14.1" customHeight="1">
      <c r="A124" s="50"/>
      <c r="B124" s="50"/>
      <c r="C124" s="50"/>
      <c r="D124" s="50"/>
      <c r="E124" s="714"/>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179"/>
      <c r="AI124" s="179"/>
      <c r="AJ124" s="50"/>
      <c r="AK124" s="50"/>
      <c r="AL124" s="50"/>
      <c r="AM124" s="50"/>
      <c r="AN124" s="50"/>
      <c r="AO124" s="50"/>
      <c r="AP124" s="50"/>
      <c r="AQ124" s="50"/>
      <c r="AR124" s="50"/>
      <c r="AS124" s="50"/>
      <c r="AT124" s="50"/>
      <c r="AU124" s="50"/>
      <c r="AV124" s="50"/>
      <c r="AW124" s="180"/>
      <c r="AX124" s="50"/>
      <c r="AY124" s="50"/>
      <c r="AZ124" s="50"/>
      <c r="BA124" s="50"/>
      <c r="BB124" s="50"/>
      <c r="BC124" s="50"/>
    </row>
    <row r="125" spans="1:55" ht="14.1" customHeight="1">
      <c r="A125" s="50"/>
      <c r="B125" s="50"/>
      <c r="C125" s="50"/>
      <c r="D125" s="50"/>
      <c r="E125" s="714"/>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179"/>
      <c r="AI125" s="179"/>
      <c r="AJ125" s="50"/>
      <c r="AK125" s="50"/>
      <c r="AL125" s="50"/>
      <c r="AM125" s="50"/>
      <c r="AN125" s="50"/>
      <c r="AO125" s="50"/>
      <c r="AP125" s="50"/>
      <c r="AQ125" s="50"/>
      <c r="AR125" s="50"/>
      <c r="AS125" s="50"/>
      <c r="AT125" s="50"/>
      <c r="AU125" s="50"/>
      <c r="AV125" s="50"/>
      <c r="AW125" s="180"/>
      <c r="AX125" s="50"/>
      <c r="AY125" s="50"/>
      <c r="AZ125" s="50"/>
      <c r="BA125" s="50"/>
      <c r="BB125" s="50"/>
      <c r="BC125" s="50"/>
    </row>
    <row r="126" spans="1:55" ht="14.1" customHeight="1">
      <c r="A126" s="50"/>
      <c r="B126" s="50"/>
      <c r="C126" s="50"/>
      <c r="D126" s="50"/>
      <c r="E126" s="714"/>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179"/>
      <c r="AI126" s="179"/>
      <c r="AJ126" s="50"/>
      <c r="AK126" s="50"/>
      <c r="AL126" s="50"/>
      <c r="AM126" s="50"/>
      <c r="AN126" s="50"/>
      <c r="AO126" s="50"/>
      <c r="AP126" s="50"/>
      <c r="AQ126" s="50"/>
      <c r="AR126" s="50"/>
      <c r="AS126" s="50"/>
      <c r="AT126" s="50"/>
      <c r="AU126" s="50"/>
      <c r="AV126" s="50"/>
      <c r="AW126" s="180"/>
      <c r="AX126" s="50"/>
      <c r="AY126" s="50"/>
      <c r="AZ126" s="50"/>
      <c r="BA126" s="50"/>
      <c r="BB126" s="50"/>
      <c r="BC126" s="50"/>
    </row>
    <row r="127" spans="1:55" ht="14.1" customHeight="1">
      <c r="A127" s="50"/>
      <c r="B127" s="50"/>
      <c r="C127" s="50"/>
      <c r="D127" s="50"/>
      <c r="E127" s="714"/>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179"/>
      <c r="AI127" s="179"/>
      <c r="AJ127" s="50"/>
      <c r="AK127" s="50"/>
      <c r="AL127" s="50"/>
      <c r="AM127" s="50"/>
      <c r="AN127" s="50"/>
      <c r="AO127" s="50"/>
      <c r="AP127" s="50"/>
      <c r="AQ127" s="50"/>
      <c r="AR127" s="50"/>
      <c r="AS127" s="50"/>
      <c r="AT127" s="50"/>
      <c r="AU127" s="50"/>
      <c r="AV127" s="50"/>
      <c r="AW127" s="180"/>
      <c r="AX127" s="50"/>
      <c r="AY127" s="50"/>
      <c r="AZ127" s="50"/>
      <c r="BA127" s="50"/>
      <c r="BB127" s="50"/>
      <c r="BC127" s="50"/>
    </row>
    <row r="128" spans="1:55" ht="14.1" customHeight="1">
      <c r="A128" s="50"/>
      <c r="B128" s="50"/>
      <c r="C128" s="50"/>
      <c r="D128" s="50"/>
      <c r="E128" s="714"/>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179"/>
      <c r="AI128" s="179"/>
      <c r="AJ128" s="50"/>
      <c r="AK128" s="50"/>
      <c r="AL128" s="50"/>
      <c r="AM128" s="50"/>
      <c r="AN128" s="50"/>
      <c r="AO128" s="50"/>
      <c r="AP128" s="50"/>
      <c r="AQ128" s="50"/>
      <c r="AR128" s="50"/>
      <c r="AS128" s="50"/>
      <c r="AT128" s="50"/>
      <c r="AU128" s="50"/>
      <c r="AV128" s="50"/>
      <c r="AW128" s="180"/>
      <c r="AX128" s="50"/>
      <c r="AY128" s="50"/>
      <c r="AZ128" s="50"/>
      <c r="BA128" s="50"/>
      <c r="BB128" s="50"/>
      <c r="BC128" s="50"/>
    </row>
    <row r="129" spans="1:55" ht="14.1" customHeight="1">
      <c r="A129" s="50"/>
      <c r="B129" s="50"/>
      <c r="C129" s="50"/>
      <c r="D129" s="50"/>
      <c r="E129" s="714"/>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179"/>
      <c r="AI129" s="179"/>
      <c r="AJ129" s="50"/>
      <c r="AK129" s="50"/>
      <c r="AL129" s="50"/>
      <c r="AM129" s="50"/>
      <c r="AN129" s="50"/>
      <c r="AO129" s="50"/>
      <c r="AP129" s="50"/>
      <c r="AQ129" s="50"/>
      <c r="AR129" s="50"/>
      <c r="AS129" s="50"/>
      <c r="AT129" s="50"/>
      <c r="AU129" s="50"/>
      <c r="AV129" s="50"/>
      <c r="AW129" s="180"/>
      <c r="AX129" s="50"/>
      <c r="AY129" s="50"/>
      <c r="AZ129" s="50"/>
      <c r="BA129" s="50"/>
      <c r="BB129" s="50"/>
      <c r="BC129" s="50"/>
    </row>
    <row r="130" spans="1:55" ht="14.1" customHeight="1">
      <c r="A130" s="50"/>
      <c r="B130" s="50"/>
      <c r="C130" s="50"/>
      <c r="D130" s="50"/>
      <c r="E130" s="714"/>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179"/>
      <c r="AI130" s="179"/>
      <c r="AJ130" s="50"/>
      <c r="AK130" s="50"/>
      <c r="AL130" s="50"/>
      <c r="AM130" s="50"/>
      <c r="AN130" s="50"/>
      <c r="AO130" s="50"/>
      <c r="AP130" s="50"/>
      <c r="AQ130" s="50"/>
      <c r="AR130" s="50"/>
      <c r="AS130" s="50"/>
      <c r="AT130" s="50"/>
      <c r="AU130" s="50"/>
      <c r="AV130" s="50"/>
      <c r="AW130" s="180"/>
      <c r="AX130" s="50"/>
      <c r="AY130" s="50"/>
      <c r="AZ130" s="50"/>
      <c r="BA130" s="50"/>
      <c r="BB130" s="50"/>
      <c r="BC130" s="50"/>
    </row>
    <row r="131" spans="1:55" ht="14.1" customHeight="1">
      <c r="A131" s="50"/>
      <c r="B131" s="50"/>
      <c r="C131" s="50"/>
      <c r="D131" s="50"/>
      <c r="E131" s="714"/>
      <c r="F131" s="50"/>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c r="AG131" s="50"/>
      <c r="AH131" s="179"/>
      <c r="AI131" s="179"/>
      <c r="AJ131" s="50"/>
      <c r="AK131" s="50"/>
      <c r="AL131" s="50"/>
      <c r="AM131" s="50"/>
      <c r="AN131" s="50"/>
      <c r="AO131" s="50"/>
      <c r="AP131" s="50"/>
      <c r="AQ131" s="50"/>
      <c r="AR131" s="50"/>
      <c r="AS131" s="50"/>
      <c r="AT131" s="50"/>
      <c r="AU131" s="50"/>
      <c r="AV131" s="50"/>
      <c r="AW131" s="180"/>
      <c r="AX131" s="50"/>
      <c r="AY131" s="50"/>
      <c r="AZ131" s="50"/>
      <c r="BA131" s="50"/>
      <c r="BB131" s="50"/>
      <c r="BC131" s="50"/>
    </row>
    <row r="132" spans="1:55" ht="14.1" customHeight="1">
      <c r="A132" s="50"/>
      <c r="B132" s="50"/>
      <c r="C132" s="50"/>
      <c r="D132" s="50"/>
      <c r="E132" s="714"/>
      <c r="F132" s="50"/>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c r="AH132" s="179"/>
      <c r="AI132" s="179"/>
      <c r="AJ132" s="50"/>
      <c r="AK132" s="50"/>
      <c r="AL132" s="50"/>
      <c r="AM132" s="50"/>
      <c r="AN132" s="50"/>
      <c r="AO132" s="50"/>
      <c r="AP132" s="50"/>
      <c r="AQ132" s="50"/>
      <c r="AR132" s="50"/>
      <c r="AS132" s="50"/>
      <c r="AT132" s="50"/>
      <c r="AU132" s="50"/>
      <c r="AV132" s="50"/>
      <c r="AW132" s="180"/>
      <c r="AX132" s="50"/>
      <c r="AY132" s="50"/>
      <c r="AZ132" s="50"/>
      <c r="BA132" s="50"/>
      <c r="BB132" s="50"/>
      <c r="BC132" s="50"/>
    </row>
    <row r="133" spans="1:55" ht="14.1" customHeight="1">
      <c r="A133" s="50"/>
      <c r="B133" s="50"/>
      <c r="C133" s="50"/>
      <c r="D133" s="50"/>
      <c r="E133" s="714"/>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179"/>
      <c r="AI133" s="179"/>
      <c r="AJ133" s="50"/>
      <c r="AK133" s="50"/>
      <c r="AL133" s="50"/>
      <c r="AM133" s="50"/>
      <c r="AN133" s="50"/>
      <c r="AO133" s="50"/>
      <c r="AP133" s="50"/>
      <c r="AQ133" s="50"/>
      <c r="AR133" s="50"/>
      <c r="AS133" s="50"/>
      <c r="AT133" s="50"/>
      <c r="AU133" s="50"/>
      <c r="AV133" s="50"/>
      <c r="AW133" s="180"/>
      <c r="AX133" s="50"/>
      <c r="AY133" s="50"/>
      <c r="AZ133" s="50"/>
      <c r="BA133" s="50"/>
      <c r="BB133" s="50"/>
      <c r="BC133" s="50"/>
    </row>
    <row r="134" spans="1:55" ht="14.1" customHeight="1">
      <c r="A134" s="50"/>
      <c r="B134" s="50"/>
      <c r="C134" s="50"/>
      <c r="D134" s="50"/>
      <c r="E134" s="714"/>
      <c r="F134" s="50"/>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179"/>
      <c r="AI134" s="179"/>
      <c r="AJ134" s="50"/>
      <c r="AK134" s="50"/>
      <c r="AL134" s="50"/>
      <c r="AM134" s="50"/>
      <c r="AN134" s="50"/>
      <c r="AO134" s="50"/>
      <c r="AP134" s="50"/>
      <c r="AQ134" s="50"/>
      <c r="AR134" s="50"/>
      <c r="AS134" s="50"/>
      <c r="AT134" s="50"/>
      <c r="AU134" s="50"/>
      <c r="AV134" s="50"/>
      <c r="AW134" s="180"/>
      <c r="AX134" s="50"/>
      <c r="AY134" s="50"/>
      <c r="AZ134" s="50"/>
      <c r="BA134" s="50"/>
      <c r="BB134" s="50"/>
      <c r="BC134" s="50"/>
    </row>
    <row r="135" spans="1:55" ht="14.1" customHeight="1">
      <c r="A135" s="50"/>
      <c r="B135" s="50"/>
      <c r="C135" s="50"/>
      <c r="D135" s="50"/>
      <c r="E135" s="714"/>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c r="AH135" s="179"/>
      <c r="AI135" s="179"/>
      <c r="AJ135" s="50"/>
      <c r="AK135" s="50"/>
      <c r="AL135" s="50"/>
      <c r="AM135" s="50"/>
      <c r="AN135" s="50"/>
      <c r="AO135" s="50"/>
      <c r="AP135" s="50"/>
      <c r="AQ135" s="50"/>
      <c r="AR135" s="50"/>
      <c r="AS135" s="50"/>
      <c r="AT135" s="50"/>
      <c r="AU135" s="50"/>
      <c r="AV135" s="50"/>
      <c r="AW135" s="180"/>
      <c r="AX135" s="50"/>
      <c r="AY135" s="50"/>
      <c r="AZ135" s="50"/>
      <c r="BA135" s="50"/>
      <c r="BB135" s="50"/>
      <c r="BC135" s="50"/>
    </row>
    <row r="136" spans="1:55" ht="14.1" customHeight="1">
      <c r="A136" s="50"/>
      <c r="B136" s="50"/>
      <c r="C136" s="50"/>
      <c r="D136" s="50"/>
      <c r="E136" s="714"/>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179"/>
      <c r="AI136" s="179"/>
      <c r="AJ136" s="50"/>
      <c r="AK136" s="50"/>
      <c r="AL136" s="50"/>
      <c r="AM136" s="50"/>
      <c r="AN136" s="50"/>
      <c r="AO136" s="50"/>
      <c r="AP136" s="50"/>
      <c r="AQ136" s="50"/>
      <c r="AR136" s="50"/>
      <c r="AS136" s="50"/>
      <c r="AT136" s="50"/>
      <c r="AU136" s="50"/>
      <c r="AV136" s="50"/>
      <c r="AW136" s="180"/>
      <c r="AX136" s="50"/>
      <c r="AY136" s="50"/>
      <c r="AZ136" s="50"/>
      <c r="BA136" s="50"/>
      <c r="BB136" s="50"/>
      <c r="BC136" s="50"/>
    </row>
    <row r="137" spans="1:55" ht="14.1" customHeight="1">
      <c r="A137" s="50"/>
      <c r="B137" s="50"/>
      <c r="C137" s="50"/>
      <c r="D137" s="50"/>
      <c r="E137" s="714"/>
      <c r="F137" s="50"/>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c r="AH137" s="179"/>
      <c r="AI137" s="179"/>
      <c r="AJ137" s="50"/>
      <c r="AK137" s="50"/>
      <c r="AL137" s="50"/>
      <c r="AM137" s="50"/>
      <c r="AN137" s="50"/>
      <c r="AO137" s="50"/>
      <c r="AP137" s="50"/>
      <c r="AQ137" s="50"/>
      <c r="AR137" s="50"/>
      <c r="AS137" s="50"/>
      <c r="AT137" s="50"/>
      <c r="AU137" s="50"/>
      <c r="AV137" s="50"/>
      <c r="AW137" s="180"/>
      <c r="AX137" s="50"/>
      <c r="AY137" s="50"/>
      <c r="AZ137" s="50"/>
      <c r="BA137" s="50"/>
      <c r="BB137" s="50"/>
      <c r="BC137" s="50"/>
    </row>
    <row r="138" spans="1:55" ht="14.1" customHeight="1">
      <c r="A138" s="50"/>
      <c r="B138" s="50"/>
      <c r="C138" s="50"/>
      <c r="D138" s="50"/>
      <c r="E138" s="714"/>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c r="AH138" s="179"/>
      <c r="AI138" s="179"/>
      <c r="AJ138" s="50"/>
      <c r="AK138" s="50"/>
      <c r="AL138" s="50"/>
      <c r="AM138" s="50"/>
      <c r="AN138" s="50"/>
      <c r="AO138" s="50"/>
      <c r="AP138" s="50"/>
      <c r="AQ138" s="50"/>
      <c r="AR138" s="50"/>
      <c r="AS138" s="50"/>
      <c r="AT138" s="50"/>
      <c r="AU138" s="50"/>
      <c r="AV138" s="50"/>
      <c r="AW138" s="180"/>
      <c r="AX138" s="50"/>
      <c r="AY138" s="50"/>
      <c r="AZ138" s="50"/>
      <c r="BA138" s="50"/>
      <c r="BB138" s="50"/>
      <c r="BC138" s="50"/>
    </row>
    <row r="139" spans="1:55" ht="14.1" customHeight="1">
      <c r="A139" s="50"/>
      <c r="B139" s="50"/>
      <c r="C139" s="50"/>
      <c r="D139" s="50"/>
      <c r="E139" s="714"/>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179"/>
      <c r="AI139" s="179"/>
      <c r="AJ139" s="50"/>
      <c r="AK139" s="50"/>
      <c r="AL139" s="50"/>
      <c r="AM139" s="50"/>
      <c r="AN139" s="50"/>
      <c r="AO139" s="50"/>
      <c r="AP139" s="50"/>
      <c r="AQ139" s="50"/>
      <c r="AR139" s="50"/>
      <c r="AS139" s="50"/>
      <c r="AT139" s="50"/>
      <c r="AU139" s="50"/>
      <c r="AV139" s="50"/>
      <c r="AW139" s="180"/>
      <c r="AX139" s="50"/>
      <c r="AY139" s="50"/>
      <c r="AZ139" s="50"/>
      <c r="BA139" s="50"/>
      <c r="BB139" s="50"/>
      <c r="BC139" s="50"/>
    </row>
    <row r="140" spans="1:55" ht="14.1" customHeight="1">
      <c r="A140" s="50"/>
      <c r="B140" s="50"/>
      <c r="C140" s="50"/>
      <c r="D140" s="50"/>
      <c r="E140" s="714"/>
      <c r="F140" s="50"/>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c r="AH140" s="179"/>
      <c r="AI140" s="179"/>
      <c r="AJ140" s="50"/>
      <c r="AK140" s="50"/>
      <c r="AL140" s="50"/>
      <c r="AM140" s="50"/>
      <c r="AN140" s="50"/>
      <c r="AO140" s="50"/>
      <c r="AP140" s="50"/>
      <c r="AQ140" s="50"/>
      <c r="AR140" s="50"/>
      <c r="AS140" s="50"/>
      <c r="AT140" s="50"/>
      <c r="AU140" s="50"/>
      <c r="AV140" s="50"/>
      <c r="AW140" s="180"/>
      <c r="AX140" s="50"/>
      <c r="AY140" s="50"/>
      <c r="AZ140" s="50"/>
      <c r="BA140" s="50"/>
      <c r="BB140" s="50"/>
      <c r="BC140" s="50"/>
    </row>
    <row r="141" spans="1:55" ht="0" hidden="1" customHeight="1">
      <c r="D141" s="50"/>
      <c r="E141" s="714"/>
      <c r="F141" s="50"/>
      <c r="G141" s="50"/>
      <c r="H141" s="50"/>
      <c r="I141" s="50"/>
      <c r="J141" s="50"/>
      <c r="K141" s="50"/>
      <c r="L141" s="50"/>
      <c r="M141" s="50"/>
      <c r="N141" s="50"/>
      <c r="O141" s="50"/>
      <c r="P141" s="50"/>
      <c r="Q141" s="50"/>
      <c r="R141" s="50"/>
      <c r="S141" s="50"/>
      <c r="T141" s="50"/>
      <c r="U141" s="50"/>
      <c r="V141" s="50"/>
      <c r="W141" s="50"/>
    </row>
    <row r="142" spans="1:55" ht="0" hidden="1" customHeight="1">
      <c r="D142" s="50"/>
      <c r="E142" s="714"/>
      <c r="F142" s="50"/>
      <c r="G142" s="50"/>
      <c r="H142" s="50"/>
      <c r="T142" s="50"/>
      <c r="U142" s="50"/>
      <c r="V142" s="50"/>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21" activePane="bottomLeft" state="frozen"/>
      <selection activeCell="F138" sqref="F138"/>
      <selection pane="bottomLeft" activeCell="G22" sqref="G22:G24"/>
    </sheetView>
  </sheetViews>
  <sheetFormatPr defaultColWidth="0" defaultRowHeight="12.75"/>
  <cols>
    <col min="1" max="1" width="1.140625" customWidth="1"/>
    <col min="2" max="2" width="8.7109375" style="195" customWidth="1"/>
    <col min="3" max="3" width="1.5703125" customWidth="1"/>
    <col min="4" max="4" width="7.140625" style="195" customWidth="1"/>
    <col min="5" max="5" width="1.42578125" customWidth="1"/>
    <col min="6" max="6" width="16.7109375" customWidth="1"/>
    <col min="7" max="8" width="66" customWidth="1"/>
    <col min="9" max="9" width="1.5703125" customWidth="1"/>
  </cols>
  <sheetData>
    <row r="1" spans="2:21" ht="7.35" customHeight="1"/>
    <row r="2" spans="2:21" s="46" customFormat="1" ht="42" customHeight="1">
      <c r="B2" s="1085" t="s">
        <v>973</v>
      </c>
      <c r="C2" s="1085"/>
      <c r="D2" s="1085"/>
      <c r="E2" s="1085"/>
      <c r="F2" s="1085"/>
      <c r="G2" s="1085"/>
      <c r="H2" s="1085"/>
    </row>
    <row r="3" spans="2:21" ht="6.6" customHeight="1">
      <c r="F3" s="497"/>
      <c r="G3" s="497"/>
      <c r="H3" s="497"/>
    </row>
    <row r="4" spans="2:21" ht="13.35" customHeight="1">
      <c r="F4" s="200" t="s">
        <v>704</v>
      </c>
      <c r="G4" s="747" t="str">
        <f>IF(ISBLANK('Start Page'!AB9),"&lt;&lt; Please enter system details on the Start Page &gt;&gt;",'Start Page'!AB9&amp;IF(ISBLANK('Start Page'!AM28),"","  ("&amp;'Start Page'!AM28&amp;")"))</f>
        <v>PAW - 520 Yardley</v>
      </c>
      <c r="H4" s="748" t="str">
        <f>IF(ISBLANK('Start Page'!AB19),"",'Start Page'!AB19)</f>
        <v>Calendar</v>
      </c>
    </row>
    <row r="5" spans="2:21" ht="13.35" customHeight="1">
      <c r="F5" s="200" t="s">
        <v>705</v>
      </c>
      <c r="G5" s="748">
        <f>IF(ISBLANK('Start Page'!AB18),"",'Start Page'!AB18)</f>
        <v>2023</v>
      </c>
      <c r="H5" s="748" t="str">
        <f>IF(ISBLANK('Start Page'!AB20),"",TEXT('Start Page'!AB20,"mmm dd yyyy")&amp;" - "&amp;TEXT('Start Page'!AB21,"mmm dd yyyy"))</f>
        <v>Jan 01 2023 - Dec 31 2023</v>
      </c>
    </row>
    <row r="6" spans="2:21" ht="7.35" customHeight="1">
      <c r="F6" s="498"/>
      <c r="G6" s="498"/>
      <c r="H6" s="498"/>
    </row>
    <row r="7" spans="2:21" ht="56.45" customHeight="1">
      <c r="F7" s="402" t="s">
        <v>974</v>
      </c>
      <c r="G7" s="1084"/>
      <c r="H7" s="1084"/>
    </row>
    <row r="8" spans="2:21" ht="5.45" customHeight="1">
      <c r="F8" s="815"/>
      <c r="G8" s="815"/>
      <c r="H8" s="815"/>
    </row>
    <row r="9" spans="2:21" ht="16.350000000000001" customHeight="1">
      <c r="F9" s="403" t="s">
        <v>975</v>
      </c>
      <c r="G9" s="403" t="s">
        <v>976</v>
      </c>
      <c r="H9" s="403" t="s">
        <v>977</v>
      </c>
    </row>
    <row r="10" spans="2:21" ht="28.9" customHeight="1">
      <c r="B10" s="427"/>
      <c r="C10" s="411"/>
      <c r="D10" s="427"/>
      <c r="F10" s="1078" t="s">
        <v>978</v>
      </c>
      <c r="G10" s="1081"/>
      <c r="H10" s="1081"/>
    </row>
    <row r="11" spans="2:21" ht="28.9" customHeight="1">
      <c r="B11" s="704" t="s">
        <v>875</v>
      </c>
      <c r="C11" s="411"/>
      <c r="D11" s="704" t="s">
        <v>876</v>
      </c>
      <c r="F11" s="1079"/>
      <c r="G11" s="1082"/>
      <c r="H11" s="1082"/>
      <c r="J11" s="869"/>
      <c r="K11" s="869"/>
      <c r="L11" s="869"/>
      <c r="M11" s="869"/>
      <c r="N11" s="869"/>
      <c r="O11" s="869"/>
      <c r="P11" s="869"/>
      <c r="Q11" s="869"/>
      <c r="R11" s="869"/>
      <c r="S11" s="869"/>
      <c r="T11" s="869"/>
      <c r="U11" s="273"/>
    </row>
    <row r="12" spans="2:21" ht="28.9" customHeight="1">
      <c r="B12" s="427"/>
      <c r="C12" s="411"/>
      <c r="D12" s="427"/>
      <c r="F12" s="1080"/>
      <c r="G12" s="1083"/>
      <c r="H12" s="1083"/>
      <c r="J12" s="697"/>
      <c r="K12" s="697"/>
      <c r="L12" s="697"/>
      <c r="M12" s="697"/>
      <c r="N12" s="697"/>
      <c r="O12" s="697"/>
      <c r="P12" s="697"/>
      <c r="Q12" s="697"/>
      <c r="R12" s="697"/>
      <c r="S12" s="697"/>
      <c r="T12" s="697"/>
      <c r="U12" s="697"/>
    </row>
    <row r="13" spans="2:21" ht="28.9" customHeight="1">
      <c r="B13" s="427"/>
      <c r="C13" s="411"/>
      <c r="D13" s="427"/>
      <c r="F13" s="1078" t="s">
        <v>979</v>
      </c>
      <c r="G13" s="1081"/>
      <c r="H13" s="1081"/>
      <c r="J13" s="697"/>
      <c r="K13" s="697"/>
      <c r="L13" s="697"/>
      <c r="M13" s="697"/>
      <c r="N13" s="697"/>
      <c r="O13" s="697"/>
      <c r="P13" s="697"/>
      <c r="Q13" s="697"/>
      <c r="R13" s="697"/>
      <c r="S13" s="697"/>
      <c r="T13" s="697"/>
      <c r="U13" s="697"/>
    </row>
    <row r="14" spans="2:21" ht="28.9" customHeight="1">
      <c r="B14" s="704" t="s">
        <v>875</v>
      </c>
      <c r="C14" s="411"/>
      <c r="D14" s="704" t="s">
        <v>876</v>
      </c>
      <c r="F14" s="1079"/>
      <c r="G14" s="1082"/>
      <c r="H14" s="1082"/>
    </row>
    <row r="15" spans="2:21" ht="28.9" customHeight="1">
      <c r="B15" s="705"/>
      <c r="C15" s="411"/>
      <c r="D15" s="705"/>
      <c r="F15" s="1080"/>
      <c r="G15" s="1083"/>
      <c r="H15" s="1083"/>
    </row>
    <row r="16" spans="2:21" ht="28.9" customHeight="1">
      <c r="B16" s="427"/>
      <c r="C16" s="411"/>
      <c r="D16" s="427"/>
      <c r="F16" s="1078" t="s">
        <v>980</v>
      </c>
      <c r="G16" s="1081"/>
      <c r="H16" s="1081"/>
    </row>
    <row r="17" spans="2:8" ht="28.9" customHeight="1">
      <c r="B17" s="704" t="s">
        <v>875</v>
      </c>
      <c r="C17" s="411"/>
      <c r="D17" s="704" t="s">
        <v>876</v>
      </c>
      <c r="F17" s="1079"/>
      <c r="G17" s="1082"/>
      <c r="H17" s="1082"/>
    </row>
    <row r="18" spans="2:8" ht="28.9" customHeight="1">
      <c r="B18" s="427"/>
      <c r="C18" s="411"/>
      <c r="D18" s="427"/>
      <c r="F18" s="1080"/>
      <c r="G18" s="1083"/>
      <c r="H18" s="1083"/>
    </row>
    <row r="19" spans="2:8" ht="28.9" customHeight="1">
      <c r="B19" s="427"/>
      <c r="C19" s="411"/>
      <c r="D19" s="427"/>
      <c r="F19" s="1078" t="s">
        <v>981</v>
      </c>
      <c r="G19" s="1081"/>
      <c r="H19" s="1081"/>
    </row>
    <row r="20" spans="2:8" ht="28.9" customHeight="1">
      <c r="B20" s="704" t="s">
        <v>875</v>
      </c>
      <c r="C20" s="411"/>
      <c r="D20" s="704" t="s">
        <v>876</v>
      </c>
      <c r="F20" s="1079"/>
      <c r="G20" s="1082"/>
      <c r="H20" s="1082"/>
    </row>
    <row r="21" spans="2:8" ht="28.9" customHeight="1">
      <c r="B21" s="427"/>
      <c r="C21" s="411"/>
      <c r="D21" s="427"/>
      <c r="F21" s="1080"/>
      <c r="G21" s="1083"/>
      <c r="H21" s="1083"/>
    </row>
    <row r="22" spans="2:8" ht="28.9" customHeight="1">
      <c r="B22" s="427"/>
      <c r="C22" s="411"/>
      <c r="D22" s="427"/>
      <c r="F22" s="1078" t="s">
        <v>982</v>
      </c>
      <c r="G22" s="1081"/>
      <c r="H22" s="1081"/>
    </row>
    <row r="23" spans="2:8" ht="28.9" customHeight="1">
      <c r="B23" s="704" t="s">
        <v>875</v>
      </c>
      <c r="C23" s="411"/>
      <c r="D23" s="704" t="s">
        <v>876</v>
      </c>
      <c r="F23" s="1079"/>
      <c r="G23" s="1082"/>
      <c r="H23" s="1082"/>
    </row>
    <row r="24" spans="2:8" ht="28.9" customHeight="1">
      <c r="B24" s="427"/>
      <c r="C24" s="411"/>
      <c r="D24" s="427"/>
      <c r="F24" s="1080"/>
      <c r="G24" s="1083"/>
      <c r="H24" s="1083"/>
    </row>
    <row r="25" spans="2:8" ht="28.9" customHeight="1">
      <c r="B25" s="427"/>
      <c r="C25" s="411"/>
      <c r="D25" s="427"/>
      <c r="F25" s="1078" t="s">
        <v>983</v>
      </c>
      <c r="G25" s="1086"/>
      <c r="H25" s="1086"/>
    </row>
    <row r="26" spans="2:8" ht="28.9" customHeight="1">
      <c r="B26" s="704" t="s">
        <v>875</v>
      </c>
      <c r="C26" s="411"/>
      <c r="D26" s="704" t="s">
        <v>876</v>
      </c>
      <c r="F26" s="1079"/>
      <c r="G26" s="1087"/>
      <c r="H26" s="1087"/>
    </row>
    <row r="27" spans="2:8" ht="28.9" customHeight="1">
      <c r="B27" s="427"/>
      <c r="C27" s="411"/>
      <c r="D27" s="427"/>
      <c r="F27" s="1080"/>
      <c r="G27" s="1088"/>
      <c r="H27" s="1088"/>
    </row>
    <row r="28" spans="2:8" ht="28.9" customHeight="1">
      <c r="B28" s="427"/>
      <c r="C28" s="411"/>
      <c r="D28" s="427"/>
      <c r="F28" s="1078" t="s">
        <v>984</v>
      </c>
      <c r="G28" s="1081"/>
      <c r="H28" s="1081"/>
    </row>
    <row r="29" spans="2:8" ht="28.9" customHeight="1">
      <c r="B29" s="704" t="s">
        <v>875</v>
      </c>
      <c r="C29" s="411"/>
      <c r="D29" s="704" t="s">
        <v>876</v>
      </c>
      <c r="F29" s="1079"/>
      <c r="G29" s="1082"/>
      <c r="H29" s="1082"/>
    </row>
    <row r="30" spans="2:8" ht="28.9" customHeight="1">
      <c r="B30" s="427"/>
      <c r="C30" s="411"/>
      <c r="D30" s="427"/>
      <c r="F30" s="1080"/>
      <c r="G30" s="1083"/>
      <c r="H30" s="1083"/>
    </row>
    <row r="31" spans="2:8" ht="28.9" customHeight="1">
      <c r="B31" s="427"/>
      <c r="C31" s="411"/>
      <c r="D31" s="427"/>
      <c r="F31" s="1078" t="s">
        <v>985</v>
      </c>
      <c r="G31" s="1081"/>
      <c r="H31" s="1081"/>
    </row>
    <row r="32" spans="2:8" ht="28.9" customHeight="1">
      <c r="B32" s="704" t="s">
        <v>875</v>
      </c>
      <c r="C32" s="411"/>
      <c r="D32" s="704" t="s">
        <v>876</v>
      </c>
      <c r="F32" s="1079"/>
      <c r="G32" s="1082"/>
      <c r="H32" s="1082"/>
    </row>
    <row r="33" spans="2:8" ht="28.9" customHeight="1">
      <c r="B33" s="427"/>
      <c r="C33" s="411"/>
      <c r="D33" s="427"/>
      <c r="F33" s="1080"/>
      <c r="G33" s="1083"/>
      <c r="H33" s="1083"/>
    </row>
    <row r="34" spans="2:8" ht="28.9" customHeight="1">
      <c r="B34" s="427"/>
      <c r="C34" s="411"/>
      <c r="D34" s="427"/>
      <c r="F34" s="1078" t="s">
        <v>986</v>
      </c>
      <c r="G34" s="1086"/>
      <c r="H34" s="1086"/>
    </row>
    <row r="35" spans="2:8" ht="28.9" customHeight="1">
      <c r="B35" s="704" t="s">
        <v>875</v>
      </c>
      <c r="C35" s="411"/>
      <c r="D35" s="704" t="s">
        <v>876</v>
      </c>
      <c r="F35" s="1079"/>
      <c r="G35" s="1087"/>
      <c r="H35" s="1087"/>
    </row>
    <row r="36" spans="2:8" ht="28.9" customHeight="1">
      <c r="B36" s="427"/>
      <c r="C36" s="411"/>
      <c r="D36" s="427"/>
      <c r="F36" s="1080"/>
      <c r="G36" s="1088"/>
      <c r="H36" s="1088"/>
    </row>
    <row r="37" spans="2:8" ht="28.9" customHeight="1">
      <c r="B37" s="427"/>
      <c r="C37" s="411"/>
      <c r="D37" s="427"/>
      <c r="F37" s="1078" t="s">
        <v>987</v>
      </c>
      <c r="G37" s="1086"/>
      <c r="H37" s="1086"/>
    </row>
    <row r="38" spans="2:8" ht="28.9" customHeight="1">
      <c r="B38" s="704" t="s">
        <v>875</v>
      </c>
      <c r="C38" s="411"/>
      <c r="D38" s="704" t="s">
        <v>876</v>
      </c>
      <c r="F38" s="1079"/>
      <c r="G38" s="1087"/>
      <c r="H38" s="1087"/>
    </row>
    <row r="39" spans="2:8" ht="28.9" customHeight="1">
      <c r="B39" s="427"/>
      <c r="C39" s="411"/>
      <c r="D39" s="427"/>
      <c r="F39" s="1080"/>
      <c r="G39" s="1088"/>
      <c r="H39" s="1088"/>
    </row>
    <row r="40" spans="2:8" ht="28.9" customHeight="1">
      <c r="B40" s="427"/>
      <c r="C40" s="411"/>
      <c r="D40" s="427"/>
      <c r="F40" s="1078" t="s">
        <v>988</v>
      </c>
      <c r="G40" s="1086"/>
      <c r="H40" s="1086"/>
    </row>
    <row r="41" spans="2:8" ht="28.9" customHeight="1">
      <c r="B41" s="704" t="s">
        <v>875</v>
      </c>
      <c r="C41" s="411"/>
      <c r="D41" s="704" t="s">
        <v>876</v>
      </c>
      <c r="F41" s="1079"/>
      <c r="G41" s="1087"/>
      <c r="H41" s="1087"/>
    </row>
    <row r="42" spans="2:8" ht="28.9" customHeight="1">
      <c r="B42" s="427"/>
      <c r="C42" s="411"/>
      <c r="D42" s="427"/>
      <c r="F42" s="1080"/>
      <c r="G42" s="1088"/>
      <c r="H42" s="1088"/>
    </row>
    <row r="43" spans="2:8" ht="28.9" customHeight="1">
      <c r="B43" s="427"/>
      <c r="C43" s="411"/>
      <c r="D43" s="427"/>
      <c r="F43" s="1078" t="s">
        <v>989</v>
      </c>
      <c r="G43" s="1086"/>
      <c r="H43" s="1086"/>
    </row>
    <row r="44" spans="2:8" ht="28.9" customHeight="1">
      <c r="B44" s="704" t="s">
        <v>875</v>
      </c>
      <c r="C44" s="411"/>
      <c r="D44" s="704" t="s">
        <v>876</v>
      </c>
      <c r="F44" s="1079"/>
      <c r="G44" s="1087"/>
      <c r="H44" s="1087"/>
    </row>
    <row r="45" spans="2:8" ht="28.9" customHeight="1">
      <c r="B45" s="427"/>
      <c r="C45" s="411"/>
      <c r="D45" s="427"/>
      <c r="F45" s="1080"/>
      <c r="G45" s="1088"/>
      <c r="H45" s="1088"/>
    </row>
    <row r="46" spans="2:8" ht="28.9" customHeight="1">
      <c r="B46" s="427"/>
      <c r="C46" s="411"/>
      <c r="D46" s="427"/>
      <c r="F46" s="1078" t="s">
        <v>990</v>
      </c>
      <c r="G46" s="1086"/>
      <c r="H46" s="1086"/>
    </row>
    <row r="47" spans="2:8" ht="28.9" customHeight="1">
      <c r="B47" s="704" t="s">
        <v>875</v>
      </c>
      <c r="C47" s="411"/>
      <c r="D47" s="704" t="s">
        <v>876</v>
      </c>
      <c r="F47" s="1079"/>
      <c r="G47" s="1087"/>
      <c r="H47" s="1087"/>
    </row>
    <row r="48" spans="2:8" ht="28.9" customHeight="1">
      <c r="B48" s="427"/>
      <c r="C48" s="411"/>
      <c r="D48" s="427"/>
      <c r="F48" s="1080"/>
      <c r="G48" s="1088"/>
      <c r="H48" s="1088"/>
    </row>
    <row r="49" spans="2:8" ht="28.9" customHeight="1">
      <c r="B49" s="427"/>
      <c r="C49" s="411"/>
      <c r="D49" s="427"/>
      <c r="F49" s="1078" t="s">
        <v>991</v>
      </c>
      <c r="G49" s="1086"/>
      <c r="H49" s="1086"/>
    </row>
    <row r="50" spans="2:8" ht="28.9" customHeight="1">
      <c r="B50" s="704" t="s">
        <v>875</v>
      </c>
      <c r="C50" s="411"/>
      <c r="D50" s="704" t="s">
        <v>876</v>
      </c>
      <c r="F50" s="1079"/>
      <c r="G50" s="1087"/>
      <c r="H50" s="1087"/>
    </row>
    <row r="51" spans="2:8" ht="28.9" customHeight="1">
      <c r="B51" s="427"/>
      <c r="C51" s="411"/>
      <c r="D51" s="427"/>
      <c r="F51" s="1080"/>
      <c r="G51" s="1088"/>
      <c r="H51" s="1088"/>
    </row>
    <row r="52" spans="2:8" ht="28.9" customHeight="1">
      <c r="B52" s="427"/>
      <c r="C52" s="411"/>
      <c r="D52" s="427"/>
      <c r="F52" s="1078" t="s">
        <v>992</v>
      </c>
      <c r="G52" s="1086"/>
      <c r="H52" s="1086"/>
    </row>
    <row r="53" spans="2:8" ht="28.9" customHeight="1">
      <c r="B53" s="704" t="s">
        <v>875</v>
      </c>
      <c r="C53" s="411"/>
      <c r="D53" s="704" t="s">
        <v>876</v>
      </c>
      <c r="F53" s="1079"/>
      <c r="G53" s="1087"/>
      <c r="H53" s="1087"/>
    </row>
    <row r="54" spans="2:8" ht="28.9" customHeight="1">
      <c r="B54" s="427"/>
      <c r="C54" s="411"/>
      <c r="D54" s="427"/>
      <c r="F54" s="1080"/>
      <c r="G54" s="1088"/>
      <c r="H54" s="1088"/>
    </row>
    <row r="55" spans="2:8" ht="28.9" customHeight="1">
      <c r="B55" s="427"/>
      <c r="C55" s="411"/>
      <c r="D55" s="427"/>
      <c r="F55" s="1078" t="s">
        <v>993</v>
      </c>
      <c r="G55" s="1086"/>
      <c r="H55" s="1086"/>
    </row>
    <row r="56" spans="2:8" ht="28.9" customHeight="1">
      <c r="B56" s="704" t="s">
        <v>875</v>
      </c>
      <c r="C56" s="411"/>
      <c r="D56" s="704" t="s">
        <v>876</v>
      </c>
      <c r="F56" s="1079"/>
      <c r="G56" s="1087"/>
      <c r="H56" s="1087"/>
    </row>
    <row r="57" spans="2:8" ht="28.9" customHeight="1">
      <c r="B57" s="427"/>
      <c r="C57" s="411"/>
      <c r="D57" s="427"/>
      <c r="F57" s="1080"/>
      <c r="G57" s="1088"/>
      <c r="H57" s="1088"/>
    </row>
    <row r="58" spans="2:8" ht="28.9" customHeight="1">
      <c r="B58" s="427"/>
      <c r="C58" s="411"/>
      <c r="D58" s="427"/>
      <c r="F58" s="1078" t="s">
        <v>994</v>
      </c>
      <c r="G58" s="1086"/>
      <c r="H58" s="1086"/>
    </row>
    <row r="59" spans="2:8" ht="28.9" customHeight="1">
      <c r="B59" s="704" t="s">
        <v>875</v>
      </c>
      <c r="C59" s="411"/>
      <c r="D59" s="704" t="s">
        <v>876</v>
      </c>
      <c r="F59" s="1079"/>
      <c r="G59" s="1087"/>
      <c r="H59" s="1087"/>
    </row>
    <row r="60" spans="2:8" ht="28.9" customHeight="1">
      <c r="B60" s="427"/>
      <c r="C60" s="411"/>
      <c r="D60" s="427"/>
      <c r="F60" s="1080"/>
      <c r="G60" s="1088"/>
      <c r="H60" s="1088"/>
    </row>
    <row r="61" spans="2:8" ht="28.9" customHeight="1">
      <c r="B61" s="427"/>
      <c r="C61" s="411"/>
      <c r="D61" s="427"/>
      <c r="F61" s="1078" t="s">
        <v>995</v>
      </c>
      <c r="G61" s="1086"/>
      <c r="H61" s="1086"/>
    </row>
    <row r="62" spans="2:8" ht="28.9" customHeight="1">
      <c r="B62" s="704" t="s">
        <v>875</v>
      </c>
      <c r="C62" s="411"/>
      <c r="D62" s="704" t="s">
        <v>876</v>
      </c>
      <c r="F62" s="1079"/>
      <c r="G62" s="1087"/>
      <c r="H62" s="1087"/>
    </row>
    <row r="63" spans="2:8" ht="28.9" customHeight="1">
      <c r="B63" s="427"/>
      <c r="C63" s="411"/>
      <c r="D63" s="427"/>
      <c r="F63" s="1080"/>
      <c r="G63" s="1088"/>
      <c r="H63" s="1088"/>
    </row>
    <row r="64" spans="2:8" ht="28.9" customHeight="1">
      <c r="B64" s="427"/>
      <c r="C64" s="411"/>
      <c r="D64" s="427"/>
      <c r="F64" s="1078" t="s">
        <v>996</v>
      </c>
      <c r="G64" s="1086"/>
      <c r="H64" s="1086"/>
    </row>
    <row r="65" spans="2:8" ht="28.9" customHeight="1">
      <c r="B65" s="704" t="s">
        <v>875</v>
      </c>
      <c r="C65" s="411"/>
      <c r="D65" s="704" t="s">
        <v>876</v>
      </c>
      <c r="F65" s="1079"/>
      <c r="G65" s="1087"/>
      <c r="H65" s="1087"/>
    </row>
    <row r="66" spans="2:8" ht="28.9" customHeight="1">
      <c r="B66" s="427"/>
      <c r="C66" s="411"/>
      <c r="D66" s="427"/>
      <c r="F66" s="1080"/>
      <c r="G66" s="1088"/>
      <c r="H66" s="1088"/>
    </row>
    <row r="67" spans="2:8">
      <c r="B67" s="698"/>
      <c r="C67" s="699"/>
      <c r="D67" s="698"/>
    </row>
    <row r="68" spans="2:8">
      <c r="B68" s="698"/>
      <c r="C68" s="699"/>
      <c r="D68" s="698"/>
    </row>
    <row r="69" spans="2:8">
      <c r="B69" s="698"/>
      <c r="C69" s="699"/>
      <c r="D69" s="698"/>
    </row>
    <row r="70" spans="2:8">
      <c r="B70" s="698"/>
      <c r="C70" s="699"/>
      <c r="D70" s="698"/>
    </row>
    <row r="71" spans="2:8">
      <c r="B71" s="698"/>
      <c r="C71" s="699"/>
      <c r="D71" s="698"/>
    </row>
    <row r="72" spans="2:8">
      <c r="B72" s="698"/>
      <c r="C72" s="699"/>
      <c r="D72" s="698"/>
    </row>
    <row r="73" spans="2:8">
      <c r="B73" s="698"/>
      <c r="C73" s="699"/>
      <c r="D73" s="698"/>
    </row>
    <row r="74" spans="2:8">
      <c r="B74" s="698"/>
      <c r="C74" s="699"/>
      <c r="D74" s="698"/>
    </row>
    <row r="75" spans="2:8">
      <c r="B75" s="698"/>
      <c r="C75" s="699"/>
      <c r="D75" s="698"/>
    </row>
    <row r="76" spans="2:8">
      <c r="B76" s="698"/>
      <c r="C76" s="699"/>
      <c r="D76" s="698"/>
    </row>
    <row r="77" spans="2:8">
      <c r="B77" s="698"/>
      <c r="C77" s="699"/>
      <c r="D77" s="698"/>
    </row>
    <row r="78" spans="2:8">
      <c r="B78" s="698"/>
      <c r="C78" s="699"/>
      <c r="D78" s="698"/>
    </row>
    <row r="79" spans="2:8">
      <c r="B79" s="698"/>
      <c r="C79" s="699"/>
      <c r="D79" s="698"/>
    </row>
    <row r="80" spans="2:8">
      <c r="B80" s="698"/>
      <c r="C80" s="699"/>
      <c r="D80" s="698"/>
    </row>
    <row r="81" spans="2:4">
      <c r="B81" s="698"/>
      <c r="C81" s="699"/>
      <c r="D81" s="698"/>
    </row>
    <row r="82" spans="2:4">
      <c r="B82" s="698"/>
      <c r="C82" s="699"/>
      <c r="D82" s="698"/>
    </row>
    <row r="83" spans="2:4">
      <c r="B83" s="698"/>
      <c r="C83" s="699"/>
      <c r="D83" s="698"/>
    </row>
    <row r="84" spans="2:4">
      <c r="B84" s="698"/>
      <c r="C84" s="699"/>
      <c r="D84" s="698"/>
    </row>
    <row r="85" spans="2:4">
      <c r="B85" s="698"/>
      <c r="C85" s="699"/>
      <c r="D85" s="698"/>
    </row>
    <row r="86" spans="2:4">
      <c r="B86" s="698"/>
      <c r="C86" s="699"/>
      <c r="D86" s="698"/>
    </row>
    <row r="87" spans="2:4">
      <c r="B87" s="698"/>
      <c r="C87" s="699"/>
      <c r="D87" s="698"/>
    </row>
    <row r="88" spans="2:4">
      <c r="B88" s="698"/>
      <c r="C88" s="699"/>
      <c r="D88" s="698"/>
    </row>
    <row r="89" spans="2:4">
      <c r="B89" s="698"/>
      <c r="C89" s="699"/>
      <c r="D89" s="698"/>
    </row>
    <row r="90" spans="2:4">
      <c r="B90" s="698"/>
      <c r="C90" s="699"/>
      <c r="D90" s="698"/>
    </row>
    <row r="91" spans="2:4">
      <c r="B91" s="698"/>
      <c r="C91" s="699"/>
      <c r="D91" s="698"/>
    </row>
    <row r="92" spans="2:4">
      <c r="B92" s="698"/>
      <c r="C92" s="699"/>
      <c r="D92" s="698"/>
    </row>
    <row r="93" spans="2:4">
      <c r="B93" s="698"/>
      <c r="C93" s="699"/>
      <c r="D93" s="698"/>
    </row>
    <row r="94" spans="2:4">
      <c r="B94" s="698"/>
      <c r="C94" s="699"/>
      <c r="D94" s="698"/>
    </row>
    <row r="95" spans="2:4">
      <c r="B95" s="698"/>
      <c r="C95" s="699"/>
      <c r="D95" s="698"/>
    </row>
    <row r="96" spans="2:4">
      <c r="B96" s="698"/>
      <c r="C96" s="699"/>
      <c r="D96" s="698"/>
    </row>
    <row r="97" spans="2:4">
      <c r="B97" s="698"/>
      <c r="C97" s="699"/>
      <c r="D97" s="698"/>
    </row>
    <row r="98" spans="2:4">
      <c r="B98" s="698"/>
      <c r="C98" s="699"/>
      <c r="D98" s="698"/>
    </row>
    <row r="99" spans="2:4">
      <c r="B99" s="698"/>
      <c r="C99" s="699"/>
      <c r="D99" s="698"/>
    </row>
    <row r="100" spans="2:4">
      <c r="B100" s="698"/>
      <c r="C100" s="699"/>
      <c r="D100" s="698"/>
    </row>
    <row r="101" spans="2:4">
      <c r="B101" s="698"/>
      <c r="C101" s="699"/>
      <c r="D101" s="698"/>
    </row>
    <row r="102" spans="2:4">
      <c r="B102" s="698"/>
      <c r="C102" s="699"/>
      <c r="D102" s="698"/>
    </row>
    <row r="103" spans="2:4">
      <c r="B103" s="698"/>
      <c r="C103" s="699"/>
      <c r="D103" s="698"/>
    </row>
    <row r="104" spans="2:4">
      <c r="B104" s="698"/>
      <c r="C104" s="699"/>
      <c r="D104" s="698"/>
    </row>
    <row r="105" spans="2:4">
      <c r="B105" s="698"/>
      <c r="C105" s="699"/>
      <c r="D105" s="698"/>
    </row>
    <row r="106" spans="2:4">
      <c r="B106" s="698"/>
      <c r="C106" s="699"/>
      <c r="D106" s="698"/>
    </row>
    <row r="107" spans="2:4">
      <c r="B107" s="698"/>
      <c r="C107" s="699"/>
      <c r="D107" s="698"/>
    </row>
    <row r="108" spans="2:4">
      <c r="B108" s="698"/>
      <c r="C108" s="699"/>
      <c r="D108" s="698"/>
    </row>
    <row r="109" spans="2:4">
      <c r="B109" s="698"/>
      <c r="C109" s="699"/>
      <c r="D109" s="698"/>
    </row>
    <row r="110" spans="2:4">
      <c r="B110" s="698"/>
      <c r="C110" s="699"/>
      <c r="D110" s="698"/>
    </row>
    <row r="111" spans="2:4">
      <c r="B111" s="698"/>
      <c r="C111" s="699"/>
      <c r="D111" s="698"/>
    </row>
    <row r="112" spans="2:4">
      <c r="B112" s="698"/>
      <c r="C112" s="699"/>
      <c r="D112" s="698"/>
    </row>
    <row r="113" spans="2:4">
      <c r="B113" s="698"/>
      <c r="C113" s="699"/>
      <c r="D113" s="698"/>
    </row>
    <row r="114" spans="2:4">
      <c r="B114" s="698"/>
      <c r="C114" s="699"/>
      <c r="D114" s="698"/>
    </row>
    <row r="115" spans="2:4">
      <c r="B115" s="698"/>
      <c r="C115" s="699"/>
      <c r="D115" s="698"/>
    </row>
    <row r="116" spans="2:4">
      <c r="B116" s="698"/>
      <c r="C116" s="699"/>
      <c r="D116" s="698"/>
    </row>
    <row r="117" spans="2:4">
      <c r="B117" s="698"/>
      <c r="C117" s="699"/>
      <c r="D117" s="698"/>
    </row>
    <row r="118" spans="2:4">
      <c r="B118" s="698"/>
      <c r="C118" s="699"/>
      <c r="D118" s="698"/>
    </row>
    <row r="119" spans="2:4">
      <c r="B119" s="698"/>
      <c r="C119" s="699"/>
      <c r="D119" s="698"/>
    </row>
    <row r="120" spans="2:4">
      <c r="B120" s="698"/>
      <c r="C120" s="699"/>
      <c r="D120" s="698"/>
    </row>
    <row r="121" spans="2:4">
      <c r="B121" s="698"/>
      <c r="C121" s="699"/>
      <c r="D121" s="698"/>
    </row>
    <row r="122" spans="2:4">
      <c r="B122" s="698"/>
      <c r="C122" s="699"/>
      <c r="D122" s="698"/>
    </row>
    <row r="123" spans="2:4">
      <c r="B123" s="698"/>
      <c r="C123" s="699"/>
      <c r="D123" s="698"/>
    </row>
    <row r="124" spans="2:4">
      <c r="B124" s="698"/>
      <c r="C124" s="699"/>
      <c r="D124" s="698"/>
    </row>
    <row r="125" spans="2:4">
      <c r="B125" s="698"/>
      <c r="C125" s="699"/>
      <c r="D125" s="698"/>
    </row>
    <row r="126" spans="2:4">
      <c r="B126" s="698"/>
      <c r="C126" s="699"/>
      <c r="D126" s="698"/>
    </row>
    <row r="127" spans="2:4">
      <c r="B127" s="698"/>
      <c r="C127" s="699"/>
      <c r="D127" s="698"/>
    </row>
    <row r="128" spans="2:4">
      <c r="B128" s="698"/>
      <c r="C128" s="699"/>
      <c r="D128" s="698"/>
    </row>
    <row r="129" spans="2:4">
      <c r="B129" s="698"/>
      <c r="C129" s="699"/>
      <c r="D129" s="698"/>
    </row>
    <row r="130" spans="2:4">
      <c r="B130" s="698"/>
      <c r="C130" s="699"/>
      <c r="D130" s="698"/>
    </row>
    <row r="131" spans="2:4">
      <c r="B131" s="698"/>
      <c r="C131" s="699"/>
      <c r="D131" s="698"/>
    </row>
    <row r="132" spans="2:4">
      <c r="B132" s="698"/>
      <c r="C132" s="699"/>
      <c r="D132" s="698"/>
    </row>
    <row r="133" spans="2:4">
      <c r="B133" s="698"/>
      <c r="C133" s="699"/>
      <c r="D133" s="698"/>
    </row>
    <row r="134" spans="2:4">
      <c r="B134" s="698"/>
      <c r="C134" s="699"/>
      <c r="D134" s="698"/>
    </row>
    <row r="135" spans="2:4">
      <c r="B135" s="698"/>
      <c r="C135" s="699"/>
      <c r="D135" s="698"/>
    </row>
    <row r="136" spans="2:4">
      <c r="B136" s="698"/>
      <c r="C136" s="699"/>
      <c r="D136" s="698"/>
    </row>
    <row r="137" spans="2:4">
      <c r="B137" s="698"/>
      <c r="C137" s="699"/>
      <c r="D137" s="698"/>
    </row>
    <row r="138" spans="2:4">
      <c r="B138" s="698"/>
      <c r="C138" s="699"/>
      <c r="D138" s="698"/>
    </row>
    <row r="815" spans="9:9">
      <c r="I815">
        <v>7</v>
      </c>
    </row>
  </sheetData>
  <sheetProtection password="832B" sheet="1" objects="1" scenarios="1"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8" customWidth="1"/>
    <col min="2" max="2" width="20.140625" style="8" customWidth="1"/>
    <col min="3" max="3" width="23.140625" style="8" bestFit="1" customWidth="1"/>
    <col min="4" max="4" width="12.5703125" style="8" bestFit="1" customWidth="1"/>
    <col min="5" max="5" width="14.140625" style="8" bestFit="1" customWidth="1"/>
    <col min="6" max="6" width="15.5703125" style="8" customWidth="1"/>
    <col min="7" max="7" width="16.85546875" style="8" customWidth="1"/>
    <col min="8" max="8" width="8.140625" style="8" customWidth="1"/>
    <col min="9" max="9" width="33.140625" style="8" bestFit="1" customWidth="1"/>
    <col min="10" max="10" width="4.140625" style="8" customWidth="1"/>
    <col min="11" max="11" width="9" style="8" customWidth="1"/>
    <col min="12" max="15" width="28.140625" style="8" customWidth="1"/>
    <col min="16" max="16384" width="9.140625" style="8"/>
  </cols>
  <sheetData>
    <row r="1" spans="1:16">
      <c r="A1" s="7"/>
      <c r="B1" s="7" t="s">
        <v>997</v>
      </c>
      <c r="C1" s="7" t="s">
        <v>775</v>
      </c>
      <c r="D1" s="7" t="s">
        <v>998</v>
      </c>
      <c r="F1" s="17" t="s">
        <v>999</v>
      </c>
      <c r="G1" s="18"/>
      <c r="M1" s="28" t="s">
        <v>1000</v>
      </c>
      <c r="N1" s="7" t="s">
        <v>562</v>
      </c>
      <c r="O1" s="7" t="s">
        <v>1001</v>
      </c>
      <c r="P1" s="7" t="s">
        <v>1002</v>
      </c>
    </row>
    <row r="2" spans="1:16">
      <c r="A2" s="7" t="s">
        <v>562</v>
      </c>
      <c r="B2" s="19">
        <f>1000000/(F2*100)</f>
        <v>1336.8055610095364</v>
      </c>
      <c r="C2" s="19">
        <v>1000</v>
      </c>
      <c r="D2" s="19">
        <f>1000/F5</f>
        <v>3785.4117999999999</v>
      </c>
      <c r="E2" s="9"/>
      <c r="F2" s="870">
        <v>7.4805194500000001</v>
      </c>
      <c r="G2" s="15" t="s">
        <v>1003</v>
      </c>
      <c r="H2" s="8" t="s">
        <v>1004</v>
      </c>
      <c r="M2" s="7" t="s">
        <v>562</v>
      </c>
      <c r="N2" s="19">
        <v>1</v>
      </c>
      <c r="O2" s="19">
        <f>F4</f>
        <v>3.7854117999999999</v>
      </c>
      <c r="P2" s="29">
        <v>3.068883289737228</v>
      </c>
    </row>
    <row r="3" spans="1:16">
      <c r="A3" s="7" t="s">
        <v>1001</v>
      </c>
      <c r="B3" s="19">
        <f>1000000/F4/(F2*100)</f>
        <v>353.14666716301156</v>
      </c>
      <c r="C3" s="19">
        <f>1000/F4</f>
        <v>264.17205124155845</v>
      </c>
      <c r="D3" s="19">
        <v>1000</v>
      </c>
      <c r="F3" s="20">
        <v>43560</v>
      </c>
      <c r="G3" s="15" t="s">
        <v>1005</v>
      </c>
      <c r="H3" s="10"/>
      <c r="M3" s="7" t="s">
        <v>1001</v>
      </c>
      <c r="N3" s="19">
        <f>1/O2</f>
        <v>0.26417205124155846</v>
      </c>
      <c r="O3" s="19">
        <v>1</v>
      </c>
      <c r="P3" s="19">
        <v>0.8107131936708255</v>
      </c>
    </row>
    <row r="4" spans="1:16">
      <c r="A4" s="7" t="s">
        <v>1002</v>
      </c>
      <c r="B4" s="19">
        <f>F3/100</f>
        <v>435.6</v>
      </c>
      <c r="C4" s="19">
        <f>F3*F2/1000</f>
        <v>325.851427242</v>
      </c>
      <c r="D4" s="19">
        <f>F3*F2*F4/1000</f>
        <v>1233.4818377287083</v>
      </c>
      <c r="F4" s="26">
        <v>3.7854117999999999</v>
      </c>
      <c r="G4" s="15" t="s">
        <v>1006</v>
      </c>
      <c r="H4" s="10"/>
      <c r="M4" s="7" t="s">
        <v>1002</v>
      </c>
      <c r="N4" s="29">
        <f>325851.427242/1000000</f>
        <v>0.325851427242</v>
      </c>
      <c r="O4" s="19">
        <v>1.2334818377287082</v>
      </c>
      <c r="P4" s="19">
        <v>1</v>
      </c>
    </row>
    <row r="5" spans="1:16">
      <c r="F5" s="25">
        <f>1/F4</f>
        <v>0.26417205124155846</v>
      </c>
      <c r="G5" s="16" t="s">
        <v>1007</v>
      </c>
      <c r="H5" s="10"/>
    </row>
    <row r="6" spans="1:16" ht="13.5" thickBot="1">
      <c r="H6" s="10"/>
    </row>
    <row r="7" spans="1:16" ht="13.5" thickBot="1">
      <c r="A7" s="10" t="s">
        <v>1008</v>
      </c>
      <c r="B7" s="11">
        <v>1</v>
      </c>
      <c r="C7" s="8" t="s">
        <v>1009</v>
      </c>
      <c r="D7" s="8">
        <f>MATCH(C7,A2:A4,0)</f>
        <v>1</v>
      </c>
      <c r="H7" s="10"/>
    </row>
    <row r="8" spans="1:16" ht="13.5" thickBot="1">
      <c r="A8" s="10"/>
      <c r="E8" s="8">
        <f>INDEX($B$2:$D$4,MATCH(C7,A2:A4,0),MATCH(C9,B1:D1,0))</f>
        <v>1336.8055610095364</v>
      </c>
      <c r="H8" s="10"/>
    </row>
    <row r="9" spans="1:16" ht="13.5" thickBot="1">
      <c r="A9" s="10" t="s">
        <v>1010</v>
      </c>
      <c r="B9" s="12">
        <v>10</v>
      </c>
      <c r="C9" s="8" t="s">
        <v>997</v>
      </c>
      <c r="D9" s="8">
        <f>MATCH(C9,B1:D1,0)</f>
        <v>1</v>
      </c>
      <c r="H9" s="10"/>
    </row>
    <row r="11" spans="1:16">
      <c r="B11" s="10" t="s">
        <v>1011</v>
      </c>
      <c r="C11" s="13">
        <f>B7*B9*E8</f>
        <v>13368.055610095364</v>
      </c>
      <c r="I11" s="8" t="s">
        <v>1012</v>
      </c>
    </row>
    <row r="12" spans="1:16">
      <c r="G12" s="8" t="s">
        <v>1013</v>
      </c>
      <c r="I12" s="27" t="s">
        <v>1014</v>
      </c>
      <c r="J12" s="27"/>
      <c r="K12" s="7"/>
      <c r="L12" s="27" t="s">
        <v>1015</v>
      </c>
    </row>
    <row r="13" spans="1:16" ht="14.25">
      <c r="G13" s="8" t="s">
        <v>1016</v>
      </c>
      <c r="H13" s="871">
        <v>547500</v>
      </c>
      <c r="I13" s="872" t="s">
        <v>1017</v>
      </c>
      <c r="J13" s="30" t="s">
        <v>1018</v>
      </c>
      <c r="K13" s="8">
        <f>H13*INDEX(N2:P4,MATCH(I13,M2:M4,0),MATCH(L13,N1:P1,0))</f>
        <v>2072512.9605</v>
      </c>
      <c r="L13" s="872" t="s">
        <v>1001</v>
      </c>
    </row>
    <row r="14" spans="1:16">
      <c r="K14" s="9"/>
    </row>
    <row r="15" spans="1:16">
      <c r="B15" s="8" t="s">
        <v>1019</v>
      </c>
      <c r="H15" s="789"/>
    </row>
    <row r="16" spans="1:16">
      <c r="B16" s="7" t="s">
        <v>997</v>
      </c>
      <c r="C16" s="7" t="s">
        <v>775</v>
      </c>
      <c r="D16" s="7" t="s">
        <v>998</v>
      </c>
      <c r="H16" s="8">
        <f>1500000000/1000000*365</f>
        <v>547500</v>
      </c>
      <c r="I16" s="789" t="s">
        <v>1020</v>
      </c>
    </row>
    <row r="17" spans="1:5">
      <c r="A17" s="7" t="s">
        <v>1009</v>
      </c>
      <c r="B17" s="8">
        <f>1000000/(7.48*100)</f>
        <v>1336.8983957219252</v>
      </c>
      <c r="C17" s="8">
        <v>1000</v>
      </c>
      <c r="D17" s="8">
        <f>1000000/CONVERT(1000,"l","gal")</f>
        <v>3785.4117839999994</v>
      </c>
    </row>
    <row r="18" spans="1:5">
      <c r="A18" s="7" t="s">
        <v>1021</v>
      </c>
      <c r="B18" s="8">
        <f>1000000/CONVERT((7.48*100),"gal","l")</f>
        <v>353.171192992177</v>
      </c>
      <c r="C18" s="8">
        <f>1000000/CONVERT(1000,"gal","l")</f>
        <v>264.17205235814845</v>
      </c>
      <c r="D18" s="8">
        <v>1000</v>
      </c>
    </row>
    <row r="19" spans="1:5">
      <c r="A19" s="7" t="s">
        <v>1022</v>
      </c>
      <c r="B19" s="8">
        <f>43560/100</f>
        <v>435.6</v>
      </c>
      <c r="C19" s="8">
        <f>43560/(1000/7.48)</f>
        <v>325.8288</v>
      </c>
      <c r="D19" s="8">
        <f>F3/(CONVERT(1000,"l","gal")/F2)</f>
        <v>1233.4818325150852</v>
      </c>
    </row>
    <row r="21" spans="1:5" ht="13.5" thickBot="1"/>
    <row r="22" spans="1:5" ht="13.5" thickBot="1">
      <c r="A22" s="10" t="s">
        <v>1019</v>
      </c>
      <c r="B22" s="11">
        <v>5</v>
      </c>
      <c r="C22" s="8" t="s">
        <v>775</v>
      </c>
      <c r="D22" s="8">
        <f>MATCH(C22,B16:D16,0)</f>
        <v>2</v>
      </c>
    </row>
    <row r="23" spans="1:5" ht="13.5" thickBot="1">
      <c r="A23" s="10"/>
      <c r="E23" s="8">
        <f>INDEX($B$2:$D$4,MATCH(C24,A2:A4,0),MATCH(C22,B1:D1,0))</f>
        <v>1000</v>
      </c>
    </row>
    <row r="24" spans="1:5" ht="13.5" thickBot="1">
      <c r="A24" s="10" t="s">
        <v>1023</v>
      </c>
      <c r="B24" s="12">
        <v>5000</v>
      </c>
      <c r="C24" s="8" t="s">
        <v>1009</v>
      </c>
      <c r="D24" s="8">
        <f>MATCH(C24,A17:A19,0)</f>
        <v>1</v>
      </c>
    </row>
    <row r="26" spans="1:5">
      <c r="B26" s="10" t="s">
        <v>1011</v>
      </c>
      <c r="C26" s="14">
        <f>(B22*E23)/B24</f>
        <v>1</v>
      </c>
    </row>
    <row r="27" spans="1:5">
      <c r="C27" s="8" t="s">
        <v>1024</v>
      </c>
    </row>
    <row r="28" spans="1:5">
      <c r="C28" s="8" t="s">
        <v>1025</v>
      </c>
    </row>
    <row r="31" spans="1:5">
      <c r="A31" s="9" t="s">
        <v>1026</v>
      </c>
    </row>
    <row r="33" spans="1:2">
      <c r="B33" s="8" t="s">
        <v>1027</v>
      </c>
    </row>
    <row r="37" spans="1:2">
      <c r="A37" s="9" t="s">
        <v>1028</v>
      </c>
    </row>
    <row r="38" spans="1:2">
      <c r="A38" s="21" t="s">
        <v>1029</v>
      </c>
    </row>
    <row r="39" spans="1:2">
      <c r="A39" s="8" t="s">
        <v>1030</v>
      </c>
    </row>
    <row r="40" spans="1:2">
      <c r="A40" s="8" t="s">
        <v>1031</v>
      </c>
    </row>
    <row r="42" spans="1:2">
      <c r="A42" s="24" t="s">
        <v>1032</v>
      </c>
    </row>
    <row r="43" spans="1:2">
      <c r="A43" s="24" t="s">
        <v>1033</v>
      </c>
    </row>
    <row r="44" spans="1:2">
      <c r="A44" s="24" t="s">
        <v>1034</v>
      </c>
    </row>
    <row r="45" spans="1:2">
      <c r="A45" s="24" t="s">
        <v>1035</v>
      </c>
    </row>
    <row r="47" spans="1:2">
      <c r="A47" s="22" t="s">
        <v>1036</v>
      </c>
    </row>
    <row r="48" spans="1:2">
      <c r="A48" s="22" t="s">
        <v>1037</v>
      </c>
    </row>
    <row r="49" spans="1:1">
      <c r="A49" s="22" t="s">
        <v>1038</v>
      </c>
    </row>
    <row r="50" spans="1:1">
      <c r="A50" s="22" t="s">
        <v>1035</v>
      </c>
    </row>
    <row r="52" spans="1:1">
      <c r="A52" s="23" t="s">
        <v>1039</v>
      </c>
    </row>
    <row r="53" spans="1:1">
      <c r="A53" s="23" t="s">
        <v>1037</v>
      </c>
    </row>
    <row r="54" spans="1:1">
      <c r="A54" s="23" t="s">
        <v>1038</v>
      </c>
    </row>
    <row r="55" spans="1:1">
      <c r="A55" s="23" t="s">
        <v>1035</v>
      </c>
    </row>
    <row r="78" spans="1:6">
      <c r="A78" s="789" t="s">
        <v>1040</v>
      </c>
      <c r="E78" s="8" t="str">
        <f>"Total Volume of NRW = "&amp;TEXT(SUM(C90,C91,C94,C95,C97,C99),"#,###")&amp;" "&amp;Worksheet!J15</f>
        <v>Total Volume of NRW = 175 MG/Yr</v>
      </c>
    </row>
    <row r="79" spans="1:6" ht="16.5">
      <c r="B79" s="46"/>
      <c r="C79" s="46"/>
      <c r="D79" s="46"/>
      <c r="E79" s="8" t="str">
        <f>IFERROR("Total Cost of NRW = $"&amp;TEXT(SUM(D90,D91,D94,D95,D96,D97,D99),"#,###")&amp;"/Yr","")</f>
        <v>Total Cost of NRW = $394,492/Yr</v>
      </c>
      <c r="F79" s="46"/>
    </row>
    <row r="80" spans="1:6">
      <c r="A80"/>
      <c r="B80"/>
      <c r="C80" s="47" t="str">
        <f>"Volume ("&amp;Worksheet!J15&amp;")"</f>
        <v>Volume (MG/Yr)</v>
      </c>
      <c r="D80" s="47" t="s">
        <v>1041</v>
      </c>
      <c r="E80" s="79" t="s">
        <v>1042</v>
      </c>
      <c r="F80"/>
    </row>
    <row r="81" spans="1:6">
      <c r="A81" s="118" t="s">
        <v>1043</v>
      </c>
      <c r="B81" s="118"/>
      <c r="C81" s="100">
        <f>IF(Dashboard!BO$2&gt;0,"",Worksheet!H15)</f>
        <v>1006.997</v>
      </c>
      <c r="D81" s="873">
        <f>IF(Dashboard!BO$2&gt;0,"",C81*(Worksheet!$H$77))</f>
        <v>834578.9736599999</v>
      </c>
      <c r="E81" s="489">
        <f>D81</f>
        <v>834578.9736599999</v>
      </c>
      <c r="F81" s="75" t="s">
        <v>1044</v>
      </c>
    </row>
    <row r="82" spans="1:6">
      <c r="A82" s="118" t="str">
        <f>A81&amp;" MA"</f>
        <v>Vol. from own sources: MA</v>
      </c>
      <c r="B82" s="118"/>
      <c r="C82" s="100">
        <f>IF(Dashboard!BO$2&gt;0,"",Worksheet!X15)</f>
        <v>10.170669699999999</v>
      </c>
      <c r="D82" s="873">
        <f>IF(Dashboard!BO$2&gt;0,"",C82*(Worksheet!$H$77))</f>
        <v>8429.2476339659988</v>
      </c>
      <c r="E82" s="489">
        <f t="shared" ref="E82:E100" si="0">D82</f>
        <v>8429.2476339659988</v>
      </c>
      <c r="F82"/>
    </row>
    <row r="83" spans="1:6">
      <c r="A83" t="s">
        <v>1045</v>
      </c>
      <c r="B83"/>
      <c r="C83" s="100">
        <f>IF(Dashboard!BO$2&gt;0,"",Worksheet!H16)</f>
        <v>0</v>
      </c>
      <c r="D83" s="873">
        <f>IF(Dashboard!BO$2&gt;0,"",C83*(Worksheet!$H$77))</f>
        <v>0</v>
      </c>
      <c r="E83" s="489">
        <f t="shared" si="0"/>
        <v>0</v>
      </c>
      <c r="F83"/>
    </row>
    <row r="84" spans="1:6">
      <c r="A84" t="str">
        <f>A83&amp;" MA"</f>
        <v>Water imported: MA</v>
      </c>
      <c r="B84"/>
      <c r="C84" s="100">
        <f>IF(Dashboard!BO$2&gt;0,"",Worksheet!X16)</f>
        <v>0</v>
      </c>
      <c r="D84" s="873">
        <f>IF(Dashboard!BO$2&gt;0,"",C84*(Worksheet!$H$77))</f>
        <v>0</v>
      </c>
      <c r="E84" s="489">
        <f t="shared" si="0"/>
        <v>0</v>
      </c>
      <c r="F84"/>
    </row>
    <row r="85" spans="1:6">
      <c r="A85" t="s">
        <v>1046</v>
      </c>
      <c r="B85"/>
      <c r="C85" s="100">
        <f>IF(Dashboard!BO$2&gt;0,"",Worksheet!H17)</f>
        <v>67.866</v>
      </c>
      <c r="D85" s="873">
        <f>IF(Dashboard!BO$2&gt;0,"",C85*(Worksheet!$H$77))</f>
        <v>56245.983479999995</v>
      </c>
      <c r="E85" s="489">
        <f t="shared" si="0"/>
        <v>56245.983479999995</v>
      </c>
      <c r="F85"/>
    </row>
    <row r="86" spans="1:6">
      <c r="A86" t="str">
        <f>A85&amp;" MA"</f>
        <v>Water exported: MA</v>
      </c>
      <c r="B86"/>
      <c r="C86" s="100">
        <f>IF(Dashboard!BO$2&gt;0,"",Worksheet!X17)</f>
        <v>1.3233870000000001</v>
      </c>
      <c r="D86" s="873">
        <f>IF(Dashboard!BO$2&gt;0,"",C86*(Worksheet!$H$77))</f>
        <v>1096.79667786</v>
      </c>
      <c r="E86" s="489">
        <f t="shared" si="0"/>
        <v>1096.79667786</v>
      </c>
      <c r="F86"/>
    </row>
    <row r="87" spans="1:6">
      <c r="A87" t="s">
        <v>732</v>
      </c>
      <c r="B87"/>
      <c r="C87" s="100">
        <f>IF(Dashboard!BO$2&gt;0,"",Worksheet!H19)</f>
        <v>927.71232065571678</v>
      </c>
      <c r="D87" s="873">
        <f>IF(Dashboard!BO$2&gt;0,"",C87*(Worksheet!$H$77))</f>
        <v>768869.41711304488</v>
      </c>
      <c r="E87" s="489">
        <f t="shared" si="0"/>
        <v>768869.41711304488</v>
      </c>
      <c r="F87"/>
    </row>
    <row r="88" spans="1:6">
      <c r="A88" s="118" t="s">
        <v>1047</v>
      </c>
      <c r="B88"/>
      <c r="C88" s="100">
        <f>IF(Dashboard!BO$2&gt;0,"",Worksheet!H23)</f>
        <v>752.62800000000004</v>
      </c>
      <c r="D88" s="873">
        <f>IF(Dashboard!BO$2&gt;0,"",C88*(Worksheet!$H$76*1000))</f>
        <v>10438950.360000001</v>
      </c>
      <c r="E88" s="489">
        <f t="shared" si="0"/>
        <v>10438950.360000001</v>
      </c>
      <c r="F88"/>
    </row>
    <row r="89" spans="1:6">
      <c r="A89" s="118" t="s">
        <v>1048</v>
      </c>
      <c r="B89"/>
      <c r="C89" s="100">
        <f>IF(Dashboard!BO$2&gt;0,"",Worksheet!H24)</f>
        <v>0</v>
      </c>
      <c r="D89" s="873">
        <f>IF(Dashboard!BO$2&gt;0,"",C89*(Worksheet!$H$76*1000))</f>
        <v>0</v>
      </c>
      <c r="E89" s="489">
        <f t="shared" si="0"/>
        <v>0</v>
      </c>
      <c r="F89"/>
    </row>
    <row r="90" spans="1:6">
      <c r="A90" s="797" t="str">
        <f>"Unbilled Metered (UMAC) valued at "&amp;A76&amp;""</f>
        <v xml:space="preserve">Unbilled Metered (UMAC) valued at </v>
      </c>
      <c r="B90" s="794"/>
      <c r="C90" s="795">
        <f>IF(Dashboard!BO$2&gt;0,"",Worksheet!H25)</f>
        <v>3.899</v>
      </c>
      <c r="D90" s="874">
        <f>IF(Dashboard!BO$2&gt;0,"",IF(ISBLANK('Start Page'!AB22),"",IF(AND(ISBLANK(Worksheet!H77),Worksheet!Z77&lt;&gt;1),"",Worksheet!H25*(IF(Dashboard!BD29=FALSE,Worksheet!H77,IF(Dashboard!BD29=TRUE,Worksheet!H76*INDEX(Sheet1!B2:D4,MATCH('Start Page'!AB22,Sheet1!A2:A4,0),MATCH(Worksheet!J76,Sheet1!B1:D1,0)),""))))))</f>
        <v>3231.4132199999999</v>
      </c>
      <c r="E90" s="796">
        <f t="shared" si="0"/>
        <v>3231.4132199999999</v>
      </c>
      <c r="F90"/>
    </row>
    <row r="91" spans="1:6">
      <c r="A91" s="797" t="str">
        <f>"Unbilled Unmetered (UUAC) valued at "&amp;A76&amp;""</f>
        <v xml:space="preserve">Unbilled Unmetered (UUAC) valued at </v>
      </c>
      <c r="B91" s="794"/>
      <c r="C91" s="795">
        <f>IF(Dashboard!BO$2&gt;0,"",Worksheet!H26)</f>
        <v>11.961</v>
      </c>
      <c r="D91" s="874">
        <f>IF(Dashboard!BO$2&gt;0,"",IF(ISBLANK('Start Page'!AB22),"",IF(AND(ISBLANK(Worksheet!H77),Worksheet!Z77&lt;&gt;1),"",Worksheet!H26*(IF(Dashboard!BD29=FALSE,Worksheet!H77,IF(Dashboard!BD29=TRUE,Worksheet!H76*INDEX(Sheet1!B2:D4,MATCH('Start Page'!AB22,Sheet1!A2:A4,0),MATCH(Worksheet!J76,Sheet1!B1:D1,0)),""))))))</f>
        <v>9913.0375800000002</v>
      </c>
      <c r="E91" s="796">
        <f t="shared" si="0"/>
        <v>9913.0375800000002</v>
      </c>
      <c r="F91"/>
    </row>
    <row r="92" spans="1:6">
      <c r="A92" s="118" t="s">
        <v>1049</v>
      </c>
      <c r="B92" s="875" t="s">
        <v>1050</v>
      </c>
      <c r="C92" s="100">
        <f>IF(Dashboard!BO$2&gt;0,"",Worksheet!H30)</f>
        <v>768.48800000000006</v>
      </c>
      <c r="D92" s="873">
        <f>IF(Dashboard!BO$2&gt;0,"",C92*(Worksheet!$H$76*1000))</f>
        <v>10658928.560000001</v>
      </c>
      <c r="E92" s="489">
        <f t="shared" si="0"/>
        <v>10658928.560000001</v>
      </c>
      <c r="F92"/>
    </row>
    <row r="93" spans="1:6">
      <c r="A93" t="s">
        <v>1051</v>
      </c>
      <c r="B93"/>
      <c r="C93" s="100">
        <f>IF(Dashboard!BO$2&gt;0,"",Worksheet!H35)</f>
        <v>159.22432065571672</v>
      </c>
      <c r="D93" s="873"/>
      <c r="E93" s="489">
        <f t="shared" si="0"/>
        <v>0</v>
      </c>
      <c r="F93"/>
    </row>
    <row r="94" spans="1:6">
      <c r="A94" s="171" t="s">
        <v>1052</v>
      </c>
      <c r="B94" s="118"/>
      <c r="C94" s="102">
        <f>IF(Dashboard!BO$2&gt;0,"",Worksheet!H43)</f>
        <v>1.8815700000000002</v>
      </c>
      <c r="D94" s="876">
        <f>IF(Dashboard!BO$2&gt;0,"",IF(ISBLANK('Start Page'!AB22),"",IF(AND(ISBLANK(Worksheet!H77),Worksheet!Z77&lt;&gt;1),"",C94*Worksheet!H76*INDEX(Sheet1!B2:D4,MATCH('Start Page'!AB22,Sheet1!A2:A4,0),MATCH(Worksheet!J76,Sheet1!B1:D1,0)))))</f>
        <v>26097.375899999999</v>
      </c>
      <c r="E94" s="490">
        <f t="shared" si="0"/>
        <v>26097.375899999999</v>
      </c>
      <c r="F94" s="103"/>
    </row>
    <row r="95" spans="1:6">
      <c r="A95" s="785" t="s">
        <v>1053</v>
      </c>
      <c r="B95" s="785"/>
      <c r="C95" s="786">
        <f>Worksheet!X50</f>
        <v>15.359755102040822</v>
      </c>
      <c r="D95" s="877">
        <f>IF(Dashboard!BO$2&gt;0,"",IF(ISBLANK('Start Page'!AB22),"",IF(AND(ISBLANK(Worksheet!H77),Worksheet!Z77&lt;&gt;1),"",C95*Worksheet!H76*INDEX(Sheet1!B2:D4,MATCH('Start Page'!AB22,Sheet1!A2:A4,0),MATCH(Worksheet!J76,Sheet1!B1:D1,0)))))</f>
        <v>213039.80326530617</v>
      </c>
      <c r="E95" s="787">
        <f t="shared" si="0"/>
        <v>213039.80326530617</v>
      </c>
      <c r="F95" s="103"/>
    </row>
    <row r="96" spans="1:6">
      <c r="A96" s="785" t="s">
        <v>1054</v>
      </c>
      <c r="B96" s="785"/>
      <c r="C96" s="786">
        <f>Worksheet!Y50</f>
        <v>7.9571428571428626E-2</v>
      </c>
      <c r="D96" s="877">
        <f>C96*input_VPC</f>
        <v>65.947208571428618</v>
      </c>
      <c r="E96" s="787">
        <f t="shared" si="0"/>
        <v>65.947208571428618</v>
      </c>
      <c r="F96" s="788" t="s">
        <v>1055</v>
      </c>
    </row>
    <row r="97" spans="1:7">
      <c r="A97" s="171" t="s">
        <v>1056</v>
      </c>
      <c r="B97" s="118"/>
      <c r="C97" s="102">
        <f>IF(Dashboard!BO$2&gt;0,"",Worksheet!H39)</f>
        <v>1.8815700000000002</v>
      </c>
      <c r="D97" s="876">
        <f>IF(Dashboard!BO$2&gt;0,"",IF(ISBLANK('Start Page'!AB22),"",IF(AND(ISBLANK(Worksheet!H77),Worksheet!Z77&lt;&gt;1),"",C97*Worksheet!H76*INDEX(Sheet1!B2:D4,MATCH('Start Page'!AB22,Sheet1!A2:A4,0),MATCH(Worksheet!J76,Sheet1!B1:D1,0)))))</f>
        <v>26097.375899999999</v>
      </c>
      <c r="E97" s="490">
        <f t="shared" si="0"/>
        <v>26097.375899999999</v>
      </c>
      <c r="F97" s="103"/>
    </row>
    <row r="98" spans="1:7">
      <c r="A98" s="792" t="s">
        <v>749</v>
      </c>
      <c r="B98" s="792"/>
      <c r="C98" s="793">
        <f>IF(Dashboard!BO$2&gt;0,"",Worksheet!H46)</f>
        <v>19.20246653061222</v>
      </c>
      <c r="D98" s="878">
        <f>IF(Dashboard!BO$2&gt;0,"",SUM(D94:D97))</f>
        <v>265300.50227387756</v>
      </c>
      <c r="E98" s="489">
        <f t="shared" si="0"/>
        <v>265300.50227387756</v>
      </c>
      <c r="F98"/>
    </row>
    <row r="99" spans="1:7">
      <c r="A99" s="171" t="str">
        <f>"Real Losses valued at "&amp;A76&amp;""</f>
        <v xml:space="preserve">Real Losses valued at </v>
      </c>
      <c r="B99" s="118"/>
      <c r="C99" s="102">
        <f>IF(Dashboard!BO$2&gt;0,"",Worksheet!H51)</f>
        <v>140.02185412510451</v>
      </c>
      <c r="D99" s="879">
        <f>IF(Dashboard!BO$2&gt;0,"",Dashboard!N50)</f>
        <v>116047.31226180411</v>
      </c>
      <c r="E99" s="490">
        <f t="shared" si="0"/>
        <v>116047.31226180411</v>
      </c>
      <c r="F99" s="489"/>
    </row>
    <row r="100" spans="1:7">
      <c r="A100" t="s">
        <v>757</v>
      </c>
      <c r="B100"/>
      <c r="C100" s="100">
        <f>IF(Dashboard!BO$2&gt;0,"",Worksheet!H57)</f>
        <v>175.08432065571674</v>
      </c>
      <c r="D100" s="101">
        <f>IF(Dashboard!BO$2&gt;0,"",D98+D99+D90+D91)</f>
        <v>394492.26533568167</v>
      </c>
      <c r="E100" s="489">
        <f t="shared" si="0"/>
        <v>394492.26533568167</v>
      </c>
      <c r="F100"/>
      <c r="G100" s="104"/>
    </row>
    <row r="101" spans="1:7">
      <c r="A101" s="789"/>
    </row>
    <row r="102" spans="1:7">
      <c r="A102" s="789" t="s">
        <v>1057</v>
      </c>
      <c r="C102" s="790">
        <f>C95+C96</f>
        <v>15.43932653061225</v>
      </c>
      <c r="D102" s="104">
        <f>D95+D96</f>
        <v>213105.75047387759</v>
      </c>
      <c r="E102" s="104">
        <f>E95+E96</f>
        <v>213105.75047387759</v>
      </c>
    </row>
    <row r="104" spans="1:7">
      <c r="D104" s="104"/>
    </row>
    <row r="113" spans="7:15">
      <c r="G113" s="791"/>
    </row>
    <row r="122" spans="7:15" ht="75.599999999999994" customHeight="1">
      <c r="L122" s="781" t="s">
        <v>1058</v>
      </c>
      <c r="M122" s="779"/>
      <c r="N122" s="781" t="str">
        <f>Dashboard!BO3</f>
        <v>ok</v>
      </c>
      <c r="O122" s="779"/>
    </row>
    <row r="123" spans="7:15" ht="75.599999999999994" customHeight="1">
      <c r="L123" s="781" t="s">
        <v>1059</v>
      </c>
      <c r="M123" s="779"/>
      <c r="N123" s="50"/>
      <c r="O123" s="50"/>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G10"/>
  <sheetViews>
    <sheetView zoomScaleNormal="100" workbookViewId="0">
      <selection activeCell="F8" sqref="F8:G8"/>
    </sheetView>
  </sheetViews>
  <sheetFormatPr defaultRowHeight="12.75"/>
  <sheetData>
    <row r="1" spans="1:7" ht="15">
      <c r="A1" s="193" t="s">
        <v>1060</v>
      </c>
    </row>
    <row r="3" spans="1:7">
      <c r="B3" s="118"/>
    </row>
    <row r="5" spans="1:7" ht="12.6" customHeight="1"/>
    <row r="7" spans="1:7">
      <c r="B7" s="118"/>
    </row>
    <row r="8" spans="1:7">
      <c r="F8" s="798">
        <v>0.97499999999999998</v>
      </c>
      <c r="G8" s="798">
        <v>0.98599999999999999</v>
      </c>
    </row>
    <row r="10" spans="1:7">
      <c r="D10" s="11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28515625" style="1" customWidth="1"/>
    <col min="8" max="8" width="21.140625" style="1" customWidth="1"/>
    <col min="9" max="9" width="1.140625" style="1" customWidth="1"/>
    <col min="10" max="10" width="8.85546875" style="1" customWidth="1"/>
    <col min="11" max="11" width="28.5703125" style="1" customWidth="1"/>
    <col min="12" max="16" width="15.85546875" style="98" customWidth="1"/>
    <col min="17" max="17" width="15.85546875" style="1" customWidth="1"/>
    <col min="18" max="16384" width="8.85546875" style="1" hidden="1"/>
  </cols>
  <sheetData>
    <row r="1" spans="2:16" ht="3.75" customHeight="1"/>
    <row r="2" spans="2:16" ht="24.75" hidden="1" customHeight="1" thickTop="1">
      <c r="B2" s="1091" t="s">
        <v>1061</v>
      </c>
      <c r="C2" s="1092"/>
      <c r="D2" s="1092"/>
      <c r="E2" s="1092"/>
      <c r="F2" s="1092"/>
      <c r="G2" s="1092"/>
      <c r="H2" s="1093"/>
      <c r="I2" s="4"/>
    </row>
    <row r="3" spans="2:16" ht="18" customHeight="1">
      <c r="B3" s="1094"/>
      <c r="C3" s="1095"/>
      <c r="D3" s="1095"/>
      <c r="E3" s="1095"/>
      <c r="F3" s="1095"/>
      <c r="G3" s="1095"/>
      <c r="H3" s="1096"/>
      <c r="I3" s="4"/>
    </row>
    <row r="4" spans="2:16" ht="4.3499999999999996" customHeight="1">
      <c r="B4" s="372"/>
      <c r="C4" s="373"/>
      <c r="D4" s="373"/>
      <c r="E4" s="373"/>
      <c r="F4" s="373"/>
      <c r="G4" s="374"/>
      <c r="H4" s="375"/>
      <c r="I4" s="4"/>
    </row>
    <row r="5" spans="2:16" ht="17.100000000000001" customHeight="1">
      <c r="B5" s="764" t="s">
        <v>580</v>
      </c>
      <c r="C5" s="373"/>
      <c r="D5" s="373"/>
      <c r="E5" s="650" t="s">
        <v>704</v>
      </c>
      <c r="F5" s="1103" t="str">
        <f>IF(ISBLANK('Start Page'!AB9),"&lt;&lt; Please enter system details on the Start Page &gt;&gt;",'Start Page'!AB9&amp;IF(ISBLANK('Start Page'!AM28),"","  ("&amp;'Start Page'!AM28&amp;")"))</f>
        <v>PAW - 520 Yardley</v>
      </c>
      <c r="G5" s="1104"/>
      <c r="H5" s="375"/>
      <c r="I5" s="4"/>
    </row>
    <row r="6" spans="2:16" ht="18" customHeight="1">
      <c r="B6" s="372"/>
      <c r="C6" s="381"/>
      <c r="D6" s="373"/>
      <c r="E6" s="650" t="s">
        <v>705</v>
      </c>
      <c r="F6" s="651">
        <f>IF(ISBLANK('Start Page'!AB18),"",'Start Page'!AB18)</f>
        <v>2023</v>
      </c>
      <c r="G6" s="652" t="str">
        <f>IF(ISBLANK('Start Page'!AB20),"",TEXT('Start Page'!AB20,"mmm dd yyyy")&amp;" - "&amp;TEXT('Start Page'!AB21,"mmm dd yyyy"))</f>
        <v>Jan 01 2023 - Dec 31 2023</v>
      </c>
      <c r="H6" s="376"/>
      <c r="I6" s="4"/>
    </row>
    <row r="7" spans="2:16" ht="18" customHeight="1">
      <c r="B7" s="372"/>
      <c r="C7" s="373"/>
      <c r="D7" s="373"/>
      <c r="E7" s="650" t="s">
        <v>888</v>
      </c>
      <c r="F7" s="651" t="str">
        <f>Dashboard!BR4</f>
        <v>Tier IV (71-90)</v>
      </c>
      <c r="G7" s="653" t="str">
        <f>IF(F7="N/A*","* Confirm Units and Data Grading are Complete","")</f>
        <v/>
      </c>
      <c r="H7" s="375"/>
      <c r="I7" s="4"/>
    </row>
    <row r="8" spans="2:16" ht="6.75" customHeight="1" thickBot="1">
      <c r="B8" s="377"/>
      <c r="C8" s="378"/>
      <c r="D8" s="378"/>
      <c r="E8" s="378"/>
      <c r="F8" s="378"/>
      <c r="G8" s="379"/>
      <c r="H8" s="380"/>
      <c r="I8" s="4"/>
    </row>
    <row r="9" spans="2:16" ht="52.9" customHeight="1" thickTop="1">
      <c r="B9" s="880"/>
      <c r="C9" s="881"/>
      <c r="D9" s="275" t="s">
        <v>1062</v>
      </c>
      <c r="E9" s="1105" t="s">
        <v>1063</v>
      </c>
      <c r="F9" s="1106"/>
      <c r="G9" s="1107"/>
      <c r="H9" s="276" t="s">
        <v>1064</v>
      </c>
      <c r="I9" s="4"/>
    </row>
    <row r="10" spans="2:16" ht="16.5" customHeight="1" thickBot="1">
      <c r="B10" s="880"/>
      <c r="C10" s="118"/>
      <c r="D10" s="277">
        <f>Worksheet!AG17</f>
        <v>69.215706272310044</v>
      </c>
      <c r="E10" s="1108"/>
      <c r="F10" s="1109"/>
      <c r="G10" s="1110"/>
      <c r="H10" s="278">
        <f>D10</f>
        <v>69.215706272310044</v>
      </c>
      <c r="I10" s="4"/>
    </row>
    <row r="11" spans="2:16" ht="30" customHeight="1">
      <c r="B11" s="279"/>
      <c r="C11" s="280"/>
      <c r="D11" s="281"/>
      <c r="E11" s="282"/>
      <c r="F11" s="1099" t="s">
        <v>1065</v>
      </c>
      <c r="G11" s="283" t="s">
        <v>1066</v>
      </c>
      <c r="H11" s="284" t="s">
        <v>1067</v>
      </c>
      <c r="I11" s="4"/>
      <c r="K11" s="755"/>
      <c r="L11" s="99"/>
      <c r="M11" s="99"/>
      <c r="N11" s="99"/>
      <c r="O11" s="99"/>
      <c r="P11" s="99"/>
    </row>
    <row r="12" spans="2:16" ht="15.75" customHeight="1">
      <c r="B12" s="1090" t="s">
        <v>1068</v>
      </c>
      <c r="C12" s="285"/>
      <c r="D12" s="286"/>
      <c r="E12" s="1099" t="s">
        <v>1049</v>
      </c>
      <c r="F12" s="1099"/>
      <c r="G12" s="287">
        <f>Worksheet!H23</f>
        <v>752.62800000000004</v>
      </c>
      <c r="H12" s="882"/>
      <c r="I12" s="4"/>
      <c r="K12" s="756"/>
    </row>
    <row r="13" spans="2:16" ht="22.5" customHeight="1">
      <c r="B13" s="1090"/>
      <c r="C13" s="288"/>
      <c r="D13" s="286"/>
      <c r="E13" s="1099"/>
      <c r="F13" s="290">
        <f>Worksheet!H23+Worksheet!H24</f>
        <v>752.62800000000004</v>
      </c>
      <c r="G13" s="485" t="s">
        <v>1069</v>
      </c>
      <c r="H13" s="291">
        <f>SUM(G12+G14)</f>
        <v>752.62800000000004</v>
      </c>
      <c r="I13" s="4"/>
      <c r="K13" s="118"/>
      <c r="L13" s="99"/>
      <c r="M13" s="99"/>
      <c r="N13" s="99"/>
      <c r="O13" s="99"/>
      <c r="P13" s="99"/>
    </row>
    <row r="14" spans="2:16" ht="15.75" customHeight="1">
      <c r="B14" s="1101" t="s">
        <v>1070</v>
      </c>
      <c r="C14" s="292"/>
      <c r="D14" s="286"/>
      <c r="E14" s="293"/>
      <c r="F14" s="294"/>
      <c r="G14" s="295">
        <f>Worksheet!H24</f>
        <v>0</v>
      </c>
      <c r="H14" s="883"/>
      <c r="I14" s="4"/>
      <c r="K14" s="118"/>
    </row>
    <row r="15" spans="2:16" ht="15.75" customHeight="1">
      <c r="B15" s="1102"/>
      <c r="C15" s="292"/>
      <c r="D15" s="286"/>
      <c r="E15" s="296">
        <f>Worksheet!H30</f>
        <v>768.48800000000006</v>
      </c>
      <c r="F15" s="1100" t="s">
        <v>1071</v>
      </c>
      <c r="G15" s="884" t="s">
        <v>1072</v>
      </c>
      <c r="H15" s="1097" t="s">
        <v>1073</v>
      </c>
      <c r="I15" s="4"/>
      <c r="K15" s="118"/>
      <c r="L15" s="99"/>
      <c r="M15" s="99"/>
      <c r="N15" s="99"/>
      <c r="O15" s="99"/>
      <c r="P15" s="99"/>
    </row>
    <row r="16" spans="2:16" ht="15.75" customHeight="1">
      <c r="B16" s="297"/>
      <c r="C16" s="285"/>
      <c r="D16" s="286"/>
      <c r="E16" s="194"/>
      <c r="F16" s="1099"/>
      <c r="G16" s="298">
        <f>Worksheet!H25</f>
        <v>3.899</v>
      </c>
      <c r="H16" s="1098"/>
      <c r="I16" s="4"/>
      <c r="K16" s="118"/>
    </row>
    <row r="17" spans="2:16" ht="22.5" customHeight="1">
      <c r="B17" s="299">
        <f>Worksheet!AG15</f>
        <v>996.92802692802684</v>
      </c>
      <c r="C17" s="300"/>
      <c r="D17" s="301"/>
      <c r="E17" s="194"/>
      <c r="F17" s="302">
        <f>Worksheet!H25+Worksheet!H26</f>
        <v>15.86</v>
      </c>
      <c r="G17" s="289" t="s">
        <v>1074</v>
      </c>
      <c r="H17" s="882"/>
      <c r="I17" s="4"/>
      <c r="K17" s="118"/>
      <c r="L17" s="99"/>
      <c r="M17" s="99"/>
      <c r="N17" s="99"/>
      <c r="O17" s="99"/>
      <c r="P17" s="99"/>
    </row>
    <row r="18" spans="2:16" ht="15.75" customHeight="1">
      <c r="B18" s="297"/>
      <c r="C18" s="1111" t="s">
        <v>1075</v>
      </c>
      <c r="D18" s="286"/>
      <c r="E18" s="303"/>
      <c r="F18" s="294"/>
      <c r="G18" s="304">
        <f>Worksheet!H26</f>
        <v>11.961</v>
      </c>
      <c r="H18" s="882"/>
      <c r="I18" s="4"/>
      <c r="K18" s="118"/>
    </row>
    <row r="19" spans="2:16" ht="22.5" customHeight="1">
      <c r="B19" s="297"/>
      <c r="C19" s="1111"/>
      <c r="D19" s="816" t="s">
        <v>1076</v>
      </c>
      <c r="E19" s="282"/>
      <c r="F19" s="885"/>
      <c r="G19" s="485" t="s">
        <v>1077</v>
      </c>
      <c r="H19" s="305">
        <f>Worksheet!H25+Worksheet!H26+Worksheet!H46+Worksheet!H51</f>
        <v>175.08432065571674</v>
      </c>
      <c r="I19" s="4"/>
      <c r="K19" s="118"/>
      <c r="L19" s="99"/>
      <c r="M19" s="99"/>
      <c r="N19" s="99"/>
      <c r="O19" s="99"/>
      <c r="P19" s="99"/>
    </row>
    <row r="20" spans="2:16" ht="15.75" customHeight="1">
      <c r="B20" s="297"/>
      <c r="C20" s="306">
        <f>B17+B27</f>
        <v>996.92802692802684</v>
      </c>
      <c r="D20" s="286"/>
      <c r="E20" s="194"/>
      <c r="F20" s="307" t="s">
        <v>745</v>
      </c>
      <c r="G20" s="298">
        <f>Worksheet!H39</f>
        <v>1.8815700000000002</v>
      </c>
      <c r="H20" s="882"/>
      <c r="I20" s="4"/>
      <c r="K20" s="118"/>
    </row>
    <row r="21" spans="2:16" ht="14.25" customHeight="1">
      <c r="B21" s="308"/>
      <c r="C21" s="309"/>
      <c r="D21" s="306">
        <f>Worksheet!H19</f>
        <v>927.71232065571678</v>
      </c>
      <c r="E21" s="310"/>
      <c r="F21" s="302">
        <f>Worksheet!H46</f>
        <v>19.20246653061222</v>
      </c>
      <c r="G21" s="289" t="s">
        <v>1078</v>
      </c>
      <c r="H21" s="882"/>
      <c r="I21" s="4"/>
      <c r="K21" s="118"/>
      <c r="L21" s="99"/>
      <c r="M21" s="99"/>
      <c r="N21" s="99"/>
      <c r="O21" s="99"/>
      <c r="P21" s="99"/>
    </row>
    <row r="22" spans="2:16" ht="15.75" customHeight="1">
      <c r="B22" s="297"/>
      <c r="C22" s="285"/>
      <c r="D22" s="286"/>
      <c r="E22" s="194"/>
      <c r="F22" s="310"/>
      <c r="G22" s="311">
        <f>Worksheet!H41</f>
        <v>15.43932653061222</v>
      </c>
      <c r="H22" s="882"/>
      <c r="I22" s="4"/>
      <c r="K22" s="118"/>
    </row>
    <row r="23" spans="2:16" ht="23.25" customHeight="1">
      <c r="B23" s="297"/>
      <c r="C23" s="285"/>
      <c r="D23" s="286"/>
      <c r="E23" s="194"/>
      <c r="F23" s="310"/>
      <c r="G23" s="485" t="s">
        <v>1079</v>
      </c>
      <c r="H23" s="882"/>
      <c r="I23" s="4"/>
      <c r="K23" s="118"/>
      <c r="L23" s="99"/>
      <c r="M23" s="99"/>
      <c r="N23" s="99"/>
      <c r="O23" s="99"/>
      <c r="P23" s="99"/>
    </row>
    <row r="24" spans="2:16" ht="15.75" customHeight="1">
      <c r="B24" s="297"/>
      <c r="C24" s="285"/>
      <c r="D24" s="286"/>
      <c r="E24" s="312" t="s">
        <v>1051</v>
      </c>
      <c r="F24" s="294"/>
      <c r="G24" s="298">
        <f>Worksheet!H43</f>
        <v>1.8815700000000002</v>
      </c>
      <c r="H24" s="882"/>
      <c r="I24" s="4"/>
      <c r="K24" s="118"/>
    </row>
    <row r="25" spans="2:16" ht="26.25" customHeight="1">
      <c r="B25" s="1089" t="s">
        <v>1080</v>
      </c>
      <c r="C25" s="288"/>
      <c r="D25" s="286"/>
      <c r="E25" s="313">
        <f>Worksheet!H53</f>
        <v>159.22432065571672</v>
      </c>
      <c r="F25" s="310"/>
      <c r="G25" s="289" t="s">
        <v>1081</v>
      </c>
      <c r="H25" s="882"/>
      <c r="I25" s="4"/>
      <c r="K25" s="118"/>
      <c r="L25" s="99"/>
      <c r="M25" s="99"/>
      <c r="N25" s="99"/>
      <c r="O25" s="99"/>
      <c r="P25" s="99"/>
    </row>
    <row r="26" spans="2:16" ht="15.75" customHeight="1">
      <c r="B26" s="1090"/>
      <c r="C26" s="285"/>
      <c r="D26" s="286"/>
      <c r="E26" s="194"/>
      <c r="F26" s="307" t="s">
        <v>953</v>
      </c>
      <c r="G26" s="314" t="s">
        <v>1082</v>
      </c>
      <c r="H26" s="882"/>
      <c r="I26" s="4"/>
    </row>
    <row r="27" spans="2:16" ht="24.75" customHeight="1">
      <c r="B27" s="299">
        <f>Worksheet!AG16</f>
        <v>0</v>
      </c>
      <c r="C27" s="300"/>
      <c r="D27" s="286"/>
      <c r="E27" s="194"/>
      <c r="F27" s="302">
        <f>Worksheet!H51</f>
        <v>140.02185412510451</v>
      </c>
      <c r="G27" s="485" t="s">
        <v>1083</v>
      </c>
      <c r="H27" s="882"/>
      <c r="I27" s="4"/>
      <c r="L27" s="99"/>
      <c r="M27" s="99"/>
      <c r="N27" s="99"/>
      <c r="O27" s="99"/>
      <c r="P27" s="99"/>
    </row>
    <row r="28" spans="2:16" ht="16.5" customHeight="1">
      <c r="B28" s="297"/>
      <c r="C28" s="285"/>
      <c r="D28" s="286"/>
      <c r="E28" s="194"/>
      <c r="F28" s="310"/>
      <c r="G28" s="315" t="s">
        <v>1082</v>
      </c>
      <c r="H28" s="882"/>
      <c r="I28" s="4"/>
    </row>
    <row r="29" spans="2:16" ht="12.75" customHeight="1">
      <c r="B29" s="297"/>
      <c r="C29" s="285"/>
      <c r="D29" s="286"/>
      <c r="E29" s="194"/>
      <c r="F29" s="310"/>
      <c r="G29" s="289" t="s">
        <v>1084</v>
      </c>
      <c r="H29" s="882"/>
      <c r="I29" s="4"/>
      <c r="L29" s="99"/>
      <c r="M29" s="99"/>
      <c r="N29" s="99"/>
      <c r="O29" s="99"/>
      <c r="P29" s="99"/>
    </row>
    <row r="30" spans="2:16" ht="14.25" thickBot="1">
      <c r="B30" s="316"/>
      <c r="C30" s="317"/>
      <c r="D30" s="318"/>
      <c r="E30" s="319"/>
      <c r="F30" s="320"/>
      <c r="G30" s="321" t="s">
        <v>1082</v>
      </c>
      <c r="H30" s="886"/>
      <c r="I30" s="4"/>
    </row>
    <row r="31" spans="2:16" ht="14.25" thickTop="1">
      <c r="B31" s="5"/>
      <c r="C31" s="5"/>
      <c r="D31" s="5"/>
      <c r="E31" s="5"/>
      <c r="F31" s="4"/>
      <c r="G31" s="4"/>
      <c r="H31" s="4"/>
      <c r="I31" s="4"/>
    </row>
    <row r="32" spans="2:16">
      <c r="B32" s="4"/>
      <c r="C32" s="4"/>
      <c r="D32" s="4"/>
      <c r="E32" s="4"/>
      <c r="F32" s="4"/>
      <c r="G32" s="4"/>
      <c r="H32" s="4"/>
      <c r="I32" s="4"/>
    </row>
    <row r="33" spans="2:9">
      <c r="B33" s="4"/>
      <c r="C33" s="4"/>
      <c r="D33" s="4"/>
      <c r="E33" s="4"/>
      <c r="F33" s="4"/>
      <c r="H33" s="4"/>
      <c r="I33" s="4"/>
    </row>
    <row r="34" spans="2:9">
      <c r="B34" s="4"/>
      <c r="C34" s="4"/>
      <c r="D34" s="4"/>
      <c r="E34" s="4"/>
      <c r="F34" s="4"/>
      <c r="H34" s="4"/>
      <c r="I34" s="4"/>
    </row>
    <row r="35" spans="2:9">
      <c r="B35" s="4"/>
      <c r="C35" s="4"/>
      <c r="D35" s="4"/>
      <c r="E35" s="4"/>
      <c r="F35" s="4"/>
      <c r="G35" s="4"/>
      <c r="H35" s="4"/>
      <c r="I35" s="4"/>
    </row>
    <row r="36" spans="2:9">
      <c r="B36" s="4"/>
      <c r="C36" s="4"/>
      <c r="D36" s="4"/>
      <c r="E36" s="4"/>
      <c r="F36" s="4"/>
      <c r="G36" s="4"/>
      <c r="H36" s="4"/>
      <c r="I36" s="4"/>
    </row>
    <row r="37" spans="2:9">
      <c r="B37" s="4"/>
      <c r="C37" s="4"/>
      <c r="D37" s="4"/>
      <c r="E37" s="4"/>
      <c r="F37" s="4"/>
      <c r="G37" s="4"/>
      <c r="H37" s="4"/>
      <c r="I37" s="4"/>
    </row>
    <row r="38" spans="2:9">
      <c r="B38" s="4"/>
      <c r="C38" s="4"/>
      <c r="D38" s="4"/>
      <c r="E38" s="4"/>
      <c r="F38" s="4"/>
      <c r="G38" s="4"/>
      <c r="H38" s="4"/>
      <c r="I38" s="4"/>
    </row>
    <row r="39" spans="2:9">
      <c r="B39" s="4"/>
      <c r="C39" s="4"/>
      <c r="D39" s="4"/>
      <c r="E39" s="4"/>
      <c r="F39" s="4"/>
      <c r="G39" s="4"/>
      <c r="H39" s="4"/>
      <c r="I39" s="4"/>
    </row>
    <row r="40" spans="2:9">
      <c r="B40" s="4"/>
      <c r="C40" s="4"/>
      <c r="D40" s="4"/>
      <c r="E40" s="4"/>
      <c r="F40" s="4"/>
      <c r="G40" s="4"/>
      <c r="H40" s="4"/>
      <c r="I40" s="4"/>
    </row>
    <row r="41" spans="2:9">
      <c r="B41" s="4"/>
      <c r="C41" s="4"/>
      <c r="D41" s="4"/>
      <c r="E41" s="4"/>
      <c r="F41" s="4"/>
      <c r="G41" s="4"/>
      <c r="H41" s="4"/>
      <c r="I41" s="4"/>
    </row>
    <row r="42" spans="2:9">
      <c r="B42" s="4"/>
      <c r="C42" s="4"/>
      <c r="D42" s="4"/>
      <c r="E42" s="4"/>
      <c r="F42" s="4"/>
      <c r="G42" s="4"/>
      <c r="H42" s="4"/>
      <c r="I42" s="4"/>
    </row>
    <row r="43" spans="2:9">
      <c r="B43" s="4"/>
      <c r="C43" s="4"/>
      <c r="D43" s="4"/>
      <c r="E43" s="4"/>
      <c r="F43" s="4"/>
      <c r="G43" s="4"/>
      <c r="H43" s="4"/>
      <c r="I43" s="4"/>
    </row>
    <row r="44" spans="2:9">
      <c r="B44" s="4"/>
      <c r="C44" s="4"/>
      <c r="D44" s="4"/>
      <c r="E44" s="4"/>
      <c r="F44" s="4"/>
      <c r="G44" s="4"/>
      <c r="H44" s="4"/>
      <c r="I44" s="4"/>
    </row>
    <row r="45" spans="2:9">
      <c r="B45" s="4"/>
      <c r="C45" s="4"/>
      <c r="D45" s="4"/>
      <c r="E45" s="4"/>
      <c r="F45" s="4"/>
      <c r="G45" s="4"/>
      <c r="H45" s="4"/>
      <c r="I45" s="4"/>
    </row>
    <row r="46" spans="2:9">
      <c r="B46" s="4"/>
      <c r="C46" s="4"/>
      <c r="D46" s="4"/>
      <c r="E46" s="4"/>
      <c r="F46" s="4"/>
      <c r="G46" s="4"/>
      <c r="H46" s="4"/>
      <c r="I46" s="4"/>
    </row>
    <row r="47" spans="2:9" ht="12.75" customHeight="1">
      <c r="B47" s="4"/>
      <c r="C47" s="4"/>
      <c r="D47" s="4"/>
      <c r="E47" s="4"/>
      <c r="F47" s="4"/>
      <c r="G47" s="4"/>
      <c r="H47" s="4"/>
      <c r="I47" s="4"/>
    </row>
    <row r="48" spans="2:9">
      <c r="B48" s="4"/>
      <c r="C48" s="4"/>
      <c r="D48" s="4"/>
      <c r="E48" s="4"/>
      <c r="F48" s="4"/>
      <c r="G48" s="4"/>
      <c r="H48" s="4"/>
      <c r="I48" s="4"/>
    </row>
    <row r="49" spans="2:9">
      <c r="B49" s="4"/>
      <c r="C49" s="4"/>
      <c r="D49" s="4"/>
      <c r="E49" s="4"/>
      <c r="F49" s="4"/>
      <c r="G49" s="4"/>
      <c r="H49" s="4"/>
      <c r="I49" s="4"/>
    </row>
    <row r="50" spans="2:9">
      <c r="B50" s="4"/>
      <c r="C50" s="4"/>
      <c r="D50" s="4"/>
      <c r="E50" s="4"/>
      <c r="F50" s="4"/>
      <c r="G50" s="4"/>
      <c r="H50" s="4"/>
      <c r="I50" s="4"/>
    </row>
    <row r="51" spans="2:9">
      <c r="B51" s="4"/>
      <c r="C51" s="4"/>
      <c r="D51" s="4"/>
      <c r="E51" s="4"/>
      <c r="F51" s="4"/>
      <c r="G51" s="4"/>
      <c r="H51" s="4"/>
      <c r="I51" s="4"/>
    </row>
    <row r="52" spans="2:9">
      <c r="B52" s="4"/>
      <c r="C52" s="4"/>
      <c r="D52" s="4"/>
      <c r="E52" s="4"/>
      <c r="F52" s="4"/>
      <c r="G52" s="4"/>
      <c r="H52" s="4"/>
      <c r="I52" s="4"/>
    </row>
    <row r="53" spans="2:9">
      <c r="B53" s="4"/>
      <c r="C53" s="4"/>
      <c r="D53" s="4"/>
      <c r="E53" s="4"/>
      <c r="F53" s="4"/>
      <c r="G53" s="4"/>
      <c r="H53" s="4"/>
      <c r="I53" s="4"/>
    </row>
    <row r="54" spans="2:9">
      <c r="B54" s="4"/>
      <c r="C54" s="4"/>
      <c r="D54" s="4"/>
      <c r="E54" s="4"/>
      <c r="F54" s="4"/>
      <c r="G54" s="4"/>
      <c r="H54" s="4"/>
      <c r="I54" s="4"/>
    </row>
    <row r="55" spans="2:9">
      <c r="B55" s="4"/>
      <c r="C55" s="4"/>
      <c r="D55" s="4"/>
      <c r="E55" s="4"/>
      <c r="F55" s="4"/>
      <c r="G55" s="4"/>
      <c r="H55" s="4"/>
      <c r="I55" s="4"/>
    </row>
    <row r="56" spans="2:9">
      <c r="B56" s="4"/>
      <c r="C56" s="4"/>
      <c r="D56" s="4"/>
      <c r="E56" s="4"/>
      <c r="F56" s="4"/>
      <c r="G56" s="4"/>
      <c r="H56" s="4"/>
      <c r="I56" s="4"/>
    </row>
    <row r="57" spans="2:9">
      <c r="B57" s="4"/>
      <c r="C57" s="4"/>
      <c r="D57" s="4"/>
      <c r="E57" s="4"/>
      <c r="F57" s="4"/>
      <c r="G57" s="4"/>
      <c r="H57" s="4"/>
      <c r="I57" s="4"/>
    </row>
    <row r="58" spans="2:9">
      <c r="B58" s="4"/>
      <c r="C58" s="4"/>
      <c r="D58" s="4"/>
      <c r="E58" s="4"/>
      <c r="F58" s="4"/>
      <c r="G58" s="4"/>
      <c r="H58" s="4"/>
      <c r="I58" s="4"/>
    </row>
    <row r="59" spans="2:9">
      <c r="B59" s="4"/>
      <c r="C59" s="4"/>
      <c r="D59" s="4"/>
      <c r="E59" s="4"/>
      <c r="F59" s="4"/>
      <c r="G59" s="4"/>
      <c r="H59" s="4"/>
      <c r="I59" s="4"/>
    </row>
    <row r="60" spans="2:9">
      <c r="B60" s="4"/>
      <c r="C60" s="4"/>
      <c r="D60" s="4"/>
      <c r="E60" s="4"/>
      <c r="F60" s="4"/>
      <c r="G60" s="4"/>
      <c r="H60" s="4"/>
      <c r="I60" s="4"/>
    </row>
    <row r="61" spans="2:9">
      <c r="B61" s="4"/>
      <c r="C61" s="4"/>
      <c r="D61" s="4"/>
      <c r="E61" s="4"/>
      <c r="F61" s="4"/>
      <c r="G61" s="4"/>
      <c r="H61" s="4"/>
      <c r="I61" s="4"/>
    </row>
    <row r="62" spans="2:9">
      <c r="B62" s="4"/>
      <c r="C62" s="4"/>
      <c r="D62" s="4"/>
      <c r="E62" s="4"/>
      <c r="F62" s="4"/>
      <c r="G62" s="4"/>
      <c r="H62" s="4"/>
      <c r="I62" s="4"/>
    </row>
    <row r="63" spans="2:9">
      <c r="B63" s="4"/>
      <c r="C63" s="4"/>
      <c r="D63" s="4"/>
      <c r="E63" s="4"/>
      <c r="F63" s="4"/>
      <c r="G63" s="4"/>
      <c r="H63" s="4"/>
      <c r="I63" s="4"/>
    </row>
    <row r="64" spans="2:9">
      <c r="B64" s="4"/>
      <c r="C64" s="4"/>
      <c r="D64" s="4"/>
      <c r="E64" s="4"/>
      <c r="F64" s="4"/>
      <c r="G64" s="4"/>
      <c r="H64" s="4"/>
      <c r="I64" s="4"/>
    </row>
    <row r="65" spans="2:9">
      <c r="B65" s="4"/>
      <c r="C65" s="4"/>
      <c r="D65" s="4"/>
      <c r="E65" s="4"/>
      <c r="F65" s="4"/>
      <c r="G65" s="4"/>
      <c r="H65" s="4"/>
      <c r="I65" s="4"/>
    </row>
    <row r="66" spans="2:9">
      <c r="B66" s="4"/>
      <c r="C66" s="4"/>
      <c r="D66" s="4"/>
      <c r="E66" s="4"/>
      <c r="F66" s="4"/>
      <c r="G66" s="4"/>
      <c r="H66" s="4"/>
      <c r="I66" s="4"/>
    </row>
    <row r="67" spans="2:9">
      <c r="B67" s="4"/>
      <c r="C67" s="4"/>
      <c r="D67" s="4"/>
      <c r="E67" s="4"/>
      <c r="F67" s="4"/>
      <c r="G67" s="4"/>
      <c r="H67" s="4"/>
      <c r="I67" s="4"/>
    </row>
    <row r="68" spans="2:9">
      <c r="B68" s="4"/>
      <c r="C68" s="4"/>
      <c r="D68" s="4"/>
      <c r="E68" s="4"/>
      <c r="F68" s="4"/>
      <c r="G68" s="4"/>
      <c r="H68" s="4"/>
      <c r="I68" s="4"/>
    </row>
    <row r="69" spans="2:9">
      <c r="B69" s="4"/>
      <c r="C69" s="4"/>
      <c r="D69" s="4"/>
      <c r="E69" s="4"/>
      <c r="F69" s="4"/>
      <c r="G69" s="4"/>
      <c r="H69" s="4"/>
      <c r="I69" s="4"/>
    </row>
    <row r="70" spans="2:9">
      <c r="B70" s="4"/>
      <c r="C70" s="4"/>
      <c r="D70" s="4"/>
      <c r="E70" s="4"/>
      <c r="F70" s="4"/>
      <c r="G70" s="4"/>
      <c r="H70" s="4"/>
      <c r="I70" s="4"/>
    </row>
    <row r="71" spans="2:9">
      <c r="B71" s="4"/>
      <c r="C71" s="4"/>
      <c r="D71" s="4"/>
      <c r="E71" s="4"/>
      <c r="F71" s="4"/>
      <c r="G71" s="4"/>
      <c r="H71" s="4"/>
      <c r="I71" s="4"/>
    </row>
    <row r="72" spans="2:9">
      <c r="B72" s="4"/>
      <c r="C72" s="4"/>
      <c r="D72" s="4"/>
      <c r="E72" s="4"/>
      <c r="F72" s="4"/>
      <c r="G72" s="4"/>
      <c r="H72" s="4"/>
      <c r="I72" s="4"/>
    </row>
    <row r="73" spans="2:9">
      <c r="B73" s="4"/>
      <c r="C73" s="4"/>
      <c r="D73" s="4"/>
      <c r="E73" s="4"/>
      <c r="F73" s="4"/>
      <c r="G73" s="4"/>
      <c r="H73" s="4"/>
      <c r="I73" s="4"/>
    </row>
    <row r="74" spans="2:9">
      <c r="B74" s="4"/>
      <c r="C74" s="4"/>
      <c r="D74" s="4"/>
      <c r="E74" s="4"/>
      <c r="F74" s="4"/>
      <c r="G74" s="4"/>
      <c r="H74" s="4"/>
      <c r="I74" s="4"/>
    </row>
    <row r="75" spans="2:9">
      <c r="B75" s="4"/>
      <c r="C75" s="4"/>
      <c r="D75" s="4"/>
      <c r="E75" s="4"/>
      <c r="F75" s="4"/>
      <c r="G75" s="4"/>
      <c r="H75" s="4"/>
      <c r="I75" s="4"/>
    </row>
    <row r="76" spans="2:9">
      <c r="B76" s="4"/>
      <c r="C76" s="4"/>
      <c r="D76" s="4"/>
      <c r="E76" s="4"/>
      <c r="F76" s="4"/>
      <c r="G76" s="4"/>
      <c r="H76" s="4"/>
      <c r="I76" s="4"/>
    </row>
    <row r="77" spans="2:9">
      <c r="B77" s="4"/>
      <c r="C77" s="4"/>
      <c r="D77" s="4"/>
      <c r="E77" s="4"/>
      <c r="F77" s="4"/>
      <c r="G77" s="4"/>
      <c r="H77" s="4"/>
      <c r="I77" s="4"/>
    </row>
    <row r="78" spans="2:9">
      <c r="B78" s="4"/>
      <c r="C78" s="4"/>
      <c r="D78" s="4"/>
      <c r="E78" s="4"/>
      <c r="F78" s="4"/>
      <c r="G78" s="4"/>
      <c r="H78" s="4"/>
      <c r="I78" s="4"/>
    </row>
    <row r="79" spans="2:9">
      <c r="B79" s="4"/>
      <c r="C79" s="4"/>
      <c r="D79" s="4"/>
      <c r="E79" s="4"/>
      <c r="F79" s="4"/>
      <c r="G79" s="4"/>
      <c r="H79" s="4"/>
      <c r="I79" s="4"/>
    </row>
    <row r="80" spans="2:9">
      <c r="B80" s="4"/>
      <c r="C80" s="4"/>
      <c r="D80" s="4"/>
      <c r="E80" s="4"/>
      <c r="F80" s="4"/>
      <c r="G80" s="4"/>
      <c r="H80" s="4"/>
      <c r="I80" s="4"/>
    </row>
    <row r="81" spans="2:9">
      <c r="B81" s="4"/>
      <c r="C81" s="4"/>
      <c r="D81" s="4"/>
      <c r="E81" s="4"/>
      <c r="F81" s="4"/>
      <c r="G81" s="4"/>
      <c r="H81" s="4"/>
      <c r="I81" s="4"/>
    </row>
    <row r="82" spans="2:9">
      <c r="B82" s="4"/>
      <c r="C82" s="4"/>
      <c r="D82" s="4"/>
      <c r="E82" s="4"/>
      <c r="F82" s="4"/>
      <c r="G82" s="4"/>
      <c r="H82" s="4"/>
      <c r="I82" s="4"/>
    </row>
    <row r="83" spans="2:9">
      <c r="B83" s="4"/>
      <c r="C83" s="4"/>
      <c r="D83" s="4"/>
      <c r="E83" s="4"/>
      <c r="F83" s="4"/>
      <c r="G83" s="4"/>
      <c r="H83" s="4"/>
      <c r="I83" s="4"/>
    </row>
    <row r="84" spans="2:9">
      <c r="B84" s="4"/>
      <c r="C84" s="4"/>
      <c r="D84" s="4"/>
      <c r="E84" s="4"/>
      <c r="F84" s="4"/>
      <c r="G84" s="4"/>
      <c r="H84" s="4"/>
      <c r="I84" s="4"/>
    </row>
    <row r="85" spans="2:9">
      <c r="B85" s="4"/>
      <c r="C85" s="4"/>
      <c r="D85" s="4"/>
      <c r="E85" s="4"/>
      <c r="F85" s="4"/>
      <c r="G85" s="4"/>
      <c r="H85" s="4"/>
      <c r="I85" s="4"/>
    </row>
    <row r="86" spans="2:9">
      <c r="B86" s="4"/>
      <c r="C86" s="4"/>
      <c r="D86" s="4"/>
      <c r="E86" s="4"/>
      <c r="F86" s="4"/>
      <c r="G86" s="4"/>
      <c r="H86" s="4"/>
      <c r="I86" s="4"/>
    </row>
    <row r="87" spans="2:9">
      <c r="B87" s="4"/>
      <c r="C87" s="4"/>
      <c r="D87" s="4"/>
      <c r="E87" s="4"/>
      <c r="F87" s="4"/>
      <c r="G87" s="4"/>
      <c r="H87" s="4"/>
      <c r="I87" s="4"/>
    </row>
    <row r="88" spans="2:9">
      <c r="B88" s="4"/>
      <c r="C88" s="4"/>
      <c r="D88" s="4"/>
      <c r="E88" s="4"/>
      <c r="F88" s="4"/>
      <c r="G88" s="4"/>
      <c r="H88" s="4"/>
      <c r="I88" s="4"/>
    </row>
    <row r="89" spans="2:9">
      <c r="B89" s="4"/>
      <c r="C89" s="4"/>
      <c r="D89" s="4"/>
      <c r="E89" s="4"/>
      <c r="F89" s="4"/>
      <c r="G89" s="4"/>
      <c r="H89" s="4"/>
      <c r="I89" s="4"/>
    </row>
    <row r="90" spans="2:9">
      <c r="B90" s="4"/>
      <c r="C90" s="4"/>
      <c r="D90" s="4"/>
      <c r="E90" s="4"/>
      <c r="F90" s="4"/>
      <c r="G90" s="4"/>
      <c r="H90" s="4"/>
      <c r="I90" s="4"/>
    </row>
    <row r="91" spans="2:9">
      <c r="B91" s="4"/>
      <c r="C91" s="4"/>
      <c r="D91" s="4"/>
      <c r="E91" s="4"/>
      <c r="F91" s="4"/>
      <c r="G91" s="4"/>
      <c r="H91" s="4"/>
      <c r="I91" s="4"/>
    </row>
    <row r="92" spans="2:9">
      <c r="B92" s="4"/>
      <c r="C92" s="4"/>
      <c r="D92" s="4"/>
      <c r="E92" s="4"/>
      <c r="F92" s="4"/>
      <c r="G92" s="4"/>
      <c r="H92" s="4"/>
      <c r="I92" s="4"/>
    </row>
    <row r="93" spans="2:9">
      <c r="B93" s="4"/>
      <c r="C93" s="4"/>
      <c r="D93" s="4"/>
      <c r="E93" s="4"/>
      <c r="F93" s="4"/>
      <c r="G93" s="4"/>
      <c r="H93" s="4"/>
      <c r="I93" s="4"/>
    </row>
    <row r="94" spans="2:9">
      <c r="B94" s="4"/>
      <c r="C94" s="4"/>
      <c r="D94" s="4"/>
      <c r="E94" s="4"/>
      <c r="F94" s="4"/>
      <c r="G94" s="4"/>
      <c r="H94" s="4"/>
      <c r="I94" s="4"/>
    </row>
    <row r="95" spans="2:9">
      <c r="B95" s="4"/>
      <c r="C95" s="4"/>
      <c r="D95" s="4"/>
      <c r="E95" s="4"/>
      <c r="F95" s="4"/>
      <c r="G95" s="4"/>
      <c r="H95" s="4"/>
      <c r="I95" s="4"/>
    </row>
    <row r="96" spans="2:9">
      <c r="B96" s="4"/>
      <c r="C96" s="4"/>
      <c r="D96" s="4"/>
      <c r="E96" s="4"/>
      <c r="F96" s="4"/>
      <c r="G96" s="4"/>
      <c r="H96" s="4"/>
      <c r="I96" s="4"/>
    </row>
    <row r="97" spans="2:9">
      <c r="B97" s="4"/>
      <c r="C97" s="4"/>
      <c r="D97" s="4"/>
      <c r="E97" s="4"/>
      <c r="F97" s="4"/>
      <c r="G97" s="4"/>
      <c r="H97" s="4"/>
      <c r="I97" s="4"/>
    </row>
    <row r="98" spans="2:9">
      <c r="B98" s="4"/>
      <c r="C98" s="4"/>
      <c r="D98" s="4"/>
      <c r="E98" s="4"/>
      <c r="F98" s="4"/>
      <c r="G98" s="4"/>
      <c r="H98" s="4"/>
      <c r="I98" s="4"/>
    </row>
    <row r="99" spans="2:9">
      <c r="B99" s="4"/>
      <c r="C99" s="4"/>
      <c r="D99" s="4"/>
      <c r="E99" s="4"/>
      <c r="F99" s="4"/>
      <c r="G99" s="4"/>
      <c r="H99" s="4"/>
      <c r="I99" s="4"/>
    </row>
    <row r="100" spans="2:9">
      <c r="B100" s="4"/>
      <c r="C100" s="4"/>
      <c r="D100" s="4"/>
      <c r="E100" s="4"/>
      <c r="F100" s="4"/>
      <c r="G100" s="4"/>
      <c r="H100" s="4"/>
      <c r="I100" s="4"/>
    </row>
    <row r="101" spans="2:9">
      <c r="B101" s="4"/>
      <c r="C101" s="4"/>
      <c r="D101" s="4"/>
      <c r="E101" s="4"/>
      <c r="F101" s="4"/>
      <c r="G101" s="4"/>
      <c r="H101" s="4"/>
      <c r="I101" s="4"/>
    </row>
    <row r="102" spans="2:9">
      <c r="B102" s="4"/>
      <c r="C102" s="4"/>
      <c r="D102" s="4"/>
      <c r="E102" s="4"/>
      <c r="F102" s="4"/>
      <c r="G102" s="4"/>
      <c r="H102" s="4"/>
      <c r="I102" s="4"/>
    </row>
    <row r="103" spans="2:9">
      <c r="B103" s="4"/>
      <c r="C103" s="4"/>
      <c r="D103" s="4"/>
      <c r="E103" s="4"/>
      <c r="F103" s="4"/>
      <c r="G103" s="4"/>
      <c r="H103" s="4"/>
      <c r="I103" s="4"/>
    </row>
    <row r="104" spans="2:9">
      <c r="B104" s="4"/>
      <c r="C104" s="4"/>
      <c r="D104" s="4"/>
      <c r="E104" s="4"/>
      <c r="F104" s="4"/>
      <c r="G104" s="4"/>
      <c r="H104" s="4"/>
      <c r="I104" s="4"/>
    </row>
    <row r="105" spans="2:9">
      <c r="B105" s="4"/>
      <c r="C105" s="4"/>
      <c r="D105" s="4"/>
      <c r="E105" s="4"/>
      <c r="F105" s="4"/>
      <c r="G105" s="4"/>
      <c r="H105" s="4"/>
      <c r="I105" s="4"/>
    </row>
    <row r="106" spans="2:9">
      <c r="B106" s="4"/>
      <c r="C106" s="4"/>
      <c r="D106" s="4"/>
      <c r="E106" s="4"/>
      <c r="F106" s="4"/>
      <c r="G106" s="4"/>
      <c r="H106" s="4"/>
      <c r="I106" s="4"/>
    </row>
    <row r="107" spans="2:9">
      <c r="B107" s="4"/>
      <c r="C107" s="4"/>
      <c r="D107" s="4"/>
      <c r="E107" s="4"/>
      <c r="F107" s="4"/>
      <c r="G107" s="4"/>
      <c r="H107" s="4"/>
      <c r="I107" s="4"/>
    </row>
    <row r="108" spans="2:9">
      <c r="B108" s="4"/>
      <c r="C108" s="4"/>
      <c r="D108" s="4"/>
      <c r="E108" s="4"/>
      <c r="F108" s="4"/>
      <c r="G108" s="4"/>
      <c r="H108" s="4"/>
      <c r="I108" s="4"/>
    </row>
    <row r="109" spans="2:9">
      <c r="B109" s="4"/>
      <c r="C109" s="4"/>
      <c r="D109" s="4"/>
      <c r="E109" s="4"/>
      <c r="F109" s="4"/>
      <c r="G109" s="4"/>
      <c r="H109" s="4"/>
      <c r="I109" s="4"/>
    </row>
    <row r="110" spans="2:9">
      <c r="B110" s="4"/>
      <c r="C110" s="4"/>
      <c r="D110" s="4"/>
      <c r="E110" s="4"/>
      <c r="F110" s="4"/>
      <c r="G110" s="4"/>
      <c r="H110" s="4"/>
      <c r="I110" s="4"/>
    </row>
    <row r="111" spans="2:9">
      <c r="B111" s="4"/>
      <c r="C111" s="4"/>
      <c r="D111" s="4"/>
      <c r="E111" s="4"/>
      <c r="F111" s="4"/>
      <c r="G111" s="4"/>
      <c r="H111" s="4"/>
      <c r="I111" s="4"/>
    </row>
    <row r="112" spans="2:9">
      <c r="B112" s="4"/>
      <c r="C112" s="4"/>
      <c r="D112" s="4"/>
      <c r="E112" s="4"/>
      <c r="F112" s="4"/>
      <c r="G112" s="4"/>
      <c r="H112" s="4"/>
      <c r="I112" s="4"/>
    </row>
    <row r="113" spans="2:9">
      <c r="B113" s="4"/>
      <c r="C113" s="4"/>
      <c r="D113" s="4"/>
      <c r="E113" s="4"/>
      <c r="F113" s="4"/>
      <c r="G113" s="4"/>
      <c r="H113" s="4"/>
      <c r="I113" s="4"/>
    </row>
    <row r="114" spans="2:9">
      <c r="B114" s="4"/>
      <c r="C114" s="4"/>
      <c r="D114" s="4"/>
      <c r="E114" s="4"/>
      <c r="F114" s="4"/>
      <c r="G114" s="4"/>
      <c r="H114" s="4"/>
      <c r="I114" s="4"/>
    </row>
    <row r="115" spans="2:9">
      <c r="B115" s="4"/>
      <c r="C115" s="4"/>
      <c r="D115" s="4"/>
      <c r="E115" s="4"/>
      <c r="F115" s="4"/>
      <c r="G115" s="4"/>
      <c r="H115" s="4"/>
      <c r="I115" s="4"/>
    </row>
    <row r="116" spans="2:9">
      <c r="B116" s="4"/>
      <c r="C116" s="4"/>
      <c r="D116" s="4"/>
      <c r="E116" s="4"/>
      <c r="F116" s="4"/>
      <c r="G116" s="4"/>
      <c r="H116" s="4"/>
      <c r="I116" s="4"/>
    </row>
    <row r="117" spans="2:9">
      <c r="B117" s="4"/>
      <c r="C117" s="4"/>
      <c r="D117" s="4"/>
      <c r="E117" s="4"/>
      <c r="F117" s="4"/>
      <c r="G117" s="4"/>
      <c r="H117" s="4"/>
      <c r="I117" s="4"/>
    </row>
    <row r="118" spans="2:9">
      <c r="B118" s="4"/>
      <c r="C118" s="4"/>
      <c r="D118" s="4"/>
      <c r="E118" s="4"/>
      <c r="F118" s="4"/>
      <c r="G118" s="4"/>
      <c r="H118" s="4"/>
      <c r="I118" s="4"/>
    </row>
    <row r="119" spans="2:9">
      <c r="B119" s="4"/>
      <c r="C119" s="4"/>
      <c r="D119" s="4"/>
      <c r="E119" s="4"/>
      <c r="F119" s="4"/>
      <c r="G119" s="4"/>
      <c r="H119" s="4"/>
      <c r="I119" s="4"/>
    </row>
    <row r="120" spans="2:9">
      <c r="B120" s="4"/>
      <c r="C120" s="4"/>
      <c r="D120" s="4"/>
      <c r="E120" s="4"/>
      <c r="F120" s="4"/>
      <c r="G120" s="4"/>
      <c r="H120" s="4"/>
      <c r="I120" s="4"/>
    </row>
    <row r="121" spans="2:9">
      <c r="B121" s="4"/>
      <c r="C121" s="4"/>
      <c r="D121" s="4"/>
      <c r="E121" s="4"/>
      <c r="F121" s="4"/>
      <c r="G121" s="4"/>
      <c r="H121" s="4"/>
      <c r="I121" s="4"/>
    </row>
    <row r="122" spans="2:9">
      <c r="B122" s="4"/>
      <c r="C122" s="4"/>
      <c r="D122" s="4"/>
      <c r="E122" s="4"/>
      <c r="F122" s="4"/>
      <c r="G122" s="4"/>
      <c r="H122" s="4"/>
      <c r="I122" s="4"/>
    </row>
    <row r="123" spans="2:9">
      <c r="B123" s="4"/>
      <c r="C123" s="4"/>
      <c r="D123" s="4"/>
      <c r="E123" s="4"/>
      <c r="F123" s="4"/>
      <c r="G123" s="4"/>
      <c r="H123" s="4"/>
      <c r="I123" s="4"/>
    </row>
    <row r="124" spans="2:9">
      <c r="B124" s="4"/>
      <c r="C124" s="4"/>
      <c r="D124" s="4"/>
      <c r="E124" s="4"/>
      <c r="F124" s="4"/>
      <c r="G124" s="4"/>
      <c r="H124" s="4"/>
      <c r="I124" s="4"/>
    </row>
    <row r="125" spans="2:9">
      <c r="B125" s="4"/>
      <c r="C125" s="4"/>
      <c r="D125" s="4"/>
      <c r="E125" s="4"/>
      <c r="F125" s="4"/>
      <c r="G125" s="4"/>
      <c r="H125" s="4"/>
      <c r="I125" s="4"/>
    </row>
    <row r="126" spans="2:9">
      <c r="B126" s="4"/>
      <c r="C126" s="4"/>
      <c r="D126" s="4"/>
      <c r="E126" s="4"/>
      <c r="F126" s="4"/>
      <c r="G126" s="4"/>
      <c r="H126" s="4"/>
      <c r="I126" s="4"/>
    </row>
    <row r="127" spans="2:9">
      <c r="B127" s="4"/>
      <c r="C127" s="4"/>
      <c r="D127" s="4"/>
      <c r="E127" s="4"/>
      <c r="F127" s="4"/>
      <c r="G127" s="4"/>
      <c r="H127" s="4"/>
      <c r="I127" s="4"/>
    </row>
    <row r="128" spans="2:9">
      <c r="B128" s="4"/>
      <c r="C128" s="4"/>
      <c r="D128" s="4"/>
      <c r="E128" s="4"/>
      <c r="F128" s="4"/>
      <c r="G128" s="4"/>
      <c r="H128" s="4"/>
      <c r="I128" s="4"/>
    </row>
    <row r="129" spans="2:9">
      <c r="B129" s="4"/>
      <c r="C129" s="4"/>
      <c r="D129" s="4"/>
      <c r="E129" s="4"/>
      <c r="F129" s="4"/>
      <c r="G129" s="4"/>
      <c r="H129" s="4"/>
      <c r="I129" s="4"/>
    </row>
    <row r="130" spans="2:9">
      <c r="B130" s="4"/>
      <c r="C130" s="4"/>
      <c r="D130" s="4"/>
      <c r="E130" s="4"/>
      <c r="F130" s="4"/>
      <c r="G130" s="4"/>
      <c r="H130" s="4"/>
      <c r="I130" s="4"/>
    </row>
    <row r="131" spans="2:9">
      <c r="B131" s="4"/>
      <c r="C131" s="4"/>
      <c r="D131" s="4"/>
      <c r="E131" s="4"/>
      <c r="F131" s="4"/>
      <c r="G131" s="4"/>
      <c r="H131" s="4"/>
      <c r="I131" s="4"/>
    </row>
    <row r="132" spans="2:9">
      <c r="B132" s="4"/>
      <c r="C132" s="4"/>
      <c r="D132" s="4"/>
      <c r="E132" s="4"/>
      <c r="F132" s="4"/>
      <c r="G132" s="4"/>
      <c r="H132" s="4"/>
      <c r="I132" s="4"/>
    </row>
    <row r="133" spans="2:9">
      <c r="B133" s="4"/>
      <c r="C133" s="4"/>
      <c r="D133" s="4"/>
      <c r="E133" s="4"/>
      <c r="F133" s="4"/>
      <c r="G133" s="4"/>
      <c r="H133" s="4"/>
      <c r="I133" s="4"/>
    </row>
    <row r="134" spans="2:9">
      <c r="B134" s="4"/>
      <c r="C134" s="4"/>
      <c r="D134" s="4"/>
      <c r="E134" s="4"/>
      <c r="F134" s="4"/>
      <c r="G134" s="4"/>
      <c r="H134" s="4"/>
      <c r="I134" s="4"/>
    </row>
    <row r="135" spans="2:9">
      <c r="B135" s="4"/>
      <c r="C135" s="4"/>
      <c r="D135" s="4"/>
      <c r="E135" s="4"/>
      <c r="F135" s="4"/>
      <c r="G135" s="4"/>
      <c r="H135" s="4"/>
      <c r="I135" s="4"/>
    </row>
    <row r="136" spans="2:9">
      <c r="B136" s="4"/>
      <c r="C136" s="4"/>
      <c r="D136" s="4"/>
      <c r="E136" s="4"/>
      <c r="F136" s="4"/>
      <c r="G136" s="4"/>
      <c r="H136" s="4"/>
      <c r="I136" s="4"/>
    </row>
    <row r="137" spans="2:9">
      <c r="B137" s="4"/>
      <c r="C137" s="4"/>
      <c r="D137" s="4"/>
      <c r="E137" s="4"/>
      <c r="F137" s="4"/>
      <c r="G137" s="4"/>
      <c r="H137" s="4"/>
      <c r="I137" s="4"/>
    </row>
    <row r="138" spans="2:9">
      <c r="B138" s="4"/>
      <c r="C138" s="4"/>
      <c r="D138" s="4"/>
      <c r="E138" s="4"/>
      <c r="F138" s="4"/>
      <c r="G138" s="4"/>
      <c r="H138" s="4"/>
      <c r="I138" s="4"/>
    </row>
    <row r="139" spans="2:9">
      <c r="B139" s="4"/>
      <c r="C139" s="4"/>
      <c r="D139" s="4"/>
      <c r="E139" s="4"/>
      <c r="F139" s="4"/>
      <c r="G139" s="4"/>
      <c r="H139" s="4"/>
      <c r="I139" s="4"/>
    </row>
    <row r="140" spans="2:9">
      <c r="B140" s="4"/>
      <c r="C140" s="4"/>
      <c r="D140" s="4"/>
      <c r="E140" s="4"/>
      <c r="F140" s="4"/>
      <c r="G140" s="4"/>
      <c r="H140" s="4"/>
      <c r="I140" s="4"/>
    </row>
    <row r="141" spans="2:9">
      <c r="B141" s="4"/>
      <c r="C141" s="4"/>
      <c r="D141" s="4"/>
      <c r="E141" s="4"/>
      <c r="F141" s="4"/>
      <c r="G141" s="4"/>
      <c r="H141" s="4"/>
      <c r="I141" s="4"/>
    </row>
    <row r="142" spans="2:9">
      <c r="B142" s="4"/>
      <c r="C142" s="4"/>
      <c r="D142" s="4"/>
      <c r="E142" s="4"/>
      <c r="F142" s="4"/>
      <c r="G142" s="4"/>
      <c r="H142" s="4"/>
      <c r="I142" s="4"/>
    </row>
    <row r="143" spans="2:9">
      <c r="B143" s="4"/>
      <c r="C143" s="4"/>
      <c r="D143" s="4"/>
      <c r="E143" s="4"/>
      <c r="F143" s="4"/>
      <c r="G143" s="4"/>
      <c r="H143" s="4"/>
      <c r="I143" s="4"/>
    </row>
    <row r="144" spans="2:9">
      <c r="B144" s="4"/>
      <c r="C144" s="4"/>
      <c r="D144" s="4"/>
      <c r="E144" s="4"/>
      <c r="F144" s="4"/>
      <c r="G144" s="4"/>
      <c r="H144" s="4"/>
      <c r="I144" s="4"/>
    </row>
    <row r="145" spans="2:9">
      <c r="B145" s="4"/>
      <c r="C145" s="4"/>
      <c r="D145" s="4"/>
      <c r="E145" s="4"/>
      <c r="F145" s="4"/>
      <c r="G145" s="4"/>
      <c r="H145" s="4"/>
      <c r="I145" s="4"/>
    </row>
    <row r="146" spans="2:9">
      <c r="B146" s="4"/>
      <c r="C146" s="4"/>
      <c r="D146" s="4"/>
      <c r="E146" s="4"/>
      <c r="F146" s="4"/>
      <c r="G146" s="4"/>
      <c r="H146" s="4"/>
      <c r="I146" s="4"/>
    </row>
    <row r="147" spans="2:9">
      <c r="B147" s="4"/>
      <c r="C147" s="4"/>
      <c r="D147" s="4"/>
      <c r="E147" s="4"/>
      <c r="F147" s="4"/>
      <c r="G147" s="4"/>
      <c r="H147" s="4"/>
      <c r="I147" s="4"/>
    </row>
    <row r="148" spans="2:9">
      <c r="B148" s="4"/>
      <c r="C148" s="4"/>
      <c r="D148" s="4"/>
      <c r="E148" s="4"/>
      <c r="F148" s="4"/>
      <c r="G148" s="4"/>
      <c r="H148" s="4"/>
      <c r="I148" s="4"/>
    </row>
    <row r="149" spans="2:9">
      <c r="B149" s="4"/>
      <c r="C149" s="4"/>
      <c r="D149" s="4"/>
      <c r="E149" s="4"/>
      <c r="F149" s="4"/>
      <c r="G149" s="4"/>
      <c r="H149" s="4"/>
      <c r="I149" s="4"/>
    </row>
    <row r="150" spans="2:9">
      <c r="B150" s="4"/>
      <c r="C150" s="4"/>
      <c r="D150" s="4"/>
      <c r="E150" s="4"/>
      <c r="F150" s="4"/>
      <c r="G150" s="4"/>
      <c r="H150" s="4"/>
      <c r="I150" s="4"/>
    </row>
    <row r="151" spans="2:9">
      <c r="B151" s="4"/>
      <c r="C151" s="4"/>
      <c r="D151" s="4"/>
      <c r="E151" s="4"/>
      <c r="F151" s="4"/>
      <c r="G151" s="4"/>
      <c r="H151" s="4"/>
      <c r="I151" s="4"/>
    </row>
    <row r="152" spans="2:9">
      <c r="B152" s="4"/>
      <c r="C152" s="4"/>
      <c r="D152" s="4"/>
      <c r="E152" s="4"/>
      <c r="F152" s="4"/>
      <c r="G152" s="4"/>
      <c r="H152" s="4"/>
      <c r="I152" s="4"/>
    </row>
    <row r="153" spans="2:9">
      <c r="B153" s="4"/>
      <c r="C153" s="4"/>
      <c r="D153" s="4"/>
      <c r="E153" s="4"/>
      <c r="F153" s="4"/>
      <c r="G153" s="4"/>
      <c r="H153" s="4"/>
      <c r="I153" s="4"/>
    </row>
    <row r="154" spans="2:9">
      <c r="B154" s="4"/>
      <c r="C154" s="4"/>
      <c r="D154" s="4"/>
      <c r="E154" s="4"/>
      <c r="F154" s="4"/>
      <c r="G154" s="4"/>
      <c r="H154" s="4"/>
      <c r="I154" s="4"/>
    </row>
    <row r="155" spans="2:9">
      <c r="B155" s="4"/>
      <c r="C155" s="4"/>
      <c r="D155" s="4"/>
      <c r="E155" s="4"/>
      <c r="F155" s="4"/>
      <c r="G155" s="4"/>
      <c r="H155" s="4"/>
      <c r="I155" s="4"/>
    </row>
    <row r="156" spans="2:9">
      <c r="B156" s="4"/>
      <c r="C156" s="4"/>
      <c r="D156" s="4"/>
      <c r="E156" s="4"/>
      <c r="F156" s="4"/>
      <c r="G156" s="4"/>
      <c r="H156" s="4"/>
      <c r="I156" s="4"/>
    </row>
    <row r="157" spans="2:9">
      <c r="B157" s="4"/>
      <c r="C157" s="4"/>
      <c r="D157" s="4"/>
      <c r="E157" s="4"/>
      <c r="F157" s="4"/>
      <c r="G157" s="4"/>
      <c r="H157" s="4"/>
      <c r="I157" s="4"/>
    </row>
    <row r="158" spans="2:9">
      <c r="B158" s="4"/>
      <c r="C158" s="4"/>
      <c r="D158" s="4"/>
      <c r="E158" s="4"/>
      <c r="F158" s="4"/>
      <c r="G158" s="4"/>
      <c r="H158" s="4"/>
      <c r="I158" s="4"/>
    </row>
    <row r="159" spans="2:9">
      <c r="B159" s="4"/>
      <c r="C159" s="4"/>
      <c r="D159" s="4"/>
      <c r="E159" s="4"/>
      <c r="F159" s="4"/>
      <c r="G159" s="4"/>
      <c r="H159" s="4"/>
      <c r="I159" s="4"/>
    </row>
    <row r="160" spans="2:9">
      <c r="B160" s="4"/>
      <c r="C160" s="4"/>
      <c r="D160" s="4"/>
      <c r="E160" s="4"/>
      <c r="F160" s="4"/>
      <c r="G160" s="4"/>
      <c r="H160" s="4"/>
      <c r="I160" s="4"/>
    </row>
    <row r="161" spans="2:9">
      <c r="B161" s="4"/>
      <c r="C161" s="4"/>
      <c r="D161" s="4"/>
      <c r="E161" s="4"/>
      <c r="F161" s="4"/>
      <c r="G161" s="4"/>
      <c r="H161" s="4"/>
      <c r="I161" s="4"/>
    </row>
    <row r="162" spans="2:9">
      <c r="B162" s="4"/>
      <c r="C162" s="4"/>
      <c r="D162" s="4"/>
      <c r="E162" s="4"/>
      <c r="F162" s="4"/>
      <c r="G162" s="4"/>
      <c r="H162" s="4"/>
      <c r="I162" s="4"/>
    </row>
    <row r="163" spans="2:9">
      <c r="B163" s="4"/>
      <c r="C163" s="4"/>
      <c r="D163" s="4"/>
      <c r="E163" s="4"/>
      <c r="F163" s="4"/>
      <c r="G163" s="4"/>
      <c r="H163" s="4"/>
      <c r="I163" s="4"/>
    </row>
    <row r="164" spans="2:9">
      <c r="B164" s="4"/>
      <c r="C164" s="4"/>
      <c r="D164" s="4"/>
      <c r="E164" s="4"/>
      <c r="F164" s="4"/>
      <c r="G164" s="4"/>
      <c r="H164" s="4"/>
      <c r="I164" s="4"/>
    </row>
    <row r="165" spans="2:9">
      <c r="B165" s="4"/>
      <c r="C165" s="4"/>
      <c r="D165" s="4"/>
      <c r="E165" s="4"/>
      <c r="F165" s="4"/>
      <c r="G165" s="4"/>
      <c r="H165" s="4"/>
      <c r="I165" s="4"/>
    </row>
    <row r="166" spans="2:9">
      <c r="B166" s="4"/>
      <c r="C166" s="4"/>
      <c r="D166" s="4"/>
      <c r="E166" s="4"/>
      <c r="F166" s="4"/>
      <c r="G166" s="4"/>
      <c r="H166" s="4"/>
      <c r="I166" s="4"/>
    </row>
    <row r="167" spans="2:9">
      <c r="B167" s="4"/>
      <c r="C167" s="4"/>
      <c r="D167" s="4"/>
      <c r="E167" s="4"/>
      <c r="F167" s="4"/>
      <c r="G167" s="4"/>
      <c r="H167" s="4"/>
      <c r="I167" s="4"/>
    </row>
    <row r="168" spans="2:9">
      <c r="B168" s="4"/>
      <c r="C168" s="4"/>
      <c r="D168" s="4"/>
      <c r="E168" s="4"/>
      <c r="F168" s="4"/>
      <c r="G168" s="4"/>
      <c r="H168" s="4"/>
      <c r="I168" s="4"/>
    </row>
    <row r="169" spans="2:9">
      <c r="B169" s="4"/>
      <c r="C169" s="4"/>
      <c r="D169" s="4"/>
      <c r="E169" s="4"/>
      <c r="F169" s="4"/>
      <c r="G169" s="4"/>
      <c r="H169" s="4"/>
      <c r="I169" s="4"/>
    </row>
    <row r="170" spans="2:9">
      <c r="B170" s="4"/>
      <c r="C170" s="4"/>
      <c r="D170" s="4"/>
      <c r="E170" s="4"/>
      <c r="F170" s="4"/>
      <c r="G170" s="4"/>
      <c r="H170" s="4"/>
      <c r="I170" s="4"/>
    </row>
    <row r="171" spans="2:9">
      <c r="B171" s="4"/>
      <c r="C171" s="4"/>
      <c r="D171" s="4"/>
      <c r="E171" s="4"/>
      <c r="F171" s="4"/>
      <c r="G171" s="4"/>
      <c r="H171" s="4"/>
      <c r="I171" s="4"/>
    </row>
    <row r="172" spans="2:9">
      <c r="B172" s="4"/>
      <c r="C172" s="4"/>
      <c r="D172" s="4"/>
      <c r="E172" s="4"/>
      <c r="F172" s="4"/>
      <c r="G172" s="4"/>
      <c r="H172" s="4"/>
      <c r="I172" s="4"/>
    </row>
    <row r="173" spans="2:9">
      <c r="B173" s="4"/>
      <c r="C173" s="4"/>
      <c r="D173" s="4"/>
      <c r="E173" s="4"/>
      <c r="F173" s="4"/>
      <c r="G173" s="4"/>
      <c r="H173" s="4"/>
      <c r="I173" s="4"/>
    </row>
    <row r="174" spans="2:9">
      <c r="B174" s="4"/>
      <c r="C174" s="4"/>
      <c r="D174" s="4"/>
      <c r="E174" s="4"/>
      <c r="F174" s="4"/>
      <c r="G174" s="4"/>
      <c r="H174" s="4"/>
      <c r="I174" s="4"/>
    </row>
    <row r="175" spans="2:9">
      <c r="B175" s="4"/>
      <c r="C175" s="4"/>
      <c r="D175" s="4"/>
      <c r="E175" s="4"/>
      <c r="F175" s="4"/>
      <c r="G175" s="4"/>
      <c r="H175" s="4"/>
      <c r="I175" s="4"/>
    </row>
    <row r="176" spans="2:9">
      <c r="B176" s="4"/>
      <c r="C176" s="4"/>
      <c r="D176" s="4"/>
      <c r="E176" s="4"/>
      <c r="F176" s="4"/>
      <c r="G176" s="4"/>
      <c r="H176" s="4"/>
      <c r="I176" s="4"/>
    </row>
    <row r="177" spans="2:9">
      <c r="B177" s="4"/>
      <c r="C177" s="4"/>
      <c r="D177" s="4"/>
      <c r="E177" s="4"/>
      <c r="F177" s="4"/>
      <c r="G177" s="4"/>
      <c r="H177" s="4"/>
      <c r="I177" s="4"/>
    </row>
    <row r="178" spans="2:9">
      <c r="B178" s="4"/>
      <c r="C178" s="4"/>
      <c r="D178" s="4"/>
      <c r="E178" s="4"/>
      <c r="F178" s="4"/>
      <c r="G178" s="4"/>
      <c r="H178" s="4"/>
      <c r="I178" s="4"/>
    </row>
    <row r="179" spans="2:9">
      <c r="B179" s="4"/>
      <c r="C179" s="4"/>
      <c r="D179" s="4"/>
      <c r="E179" s="4"/>
      <c r="F179" s="4"/>
      <c r="G179" s="4"/>
      <c r="H179" s="4"/>
      <c r="I179" s="4"/>
    </row>
    <row r="180" spans="2:9">
      <c r="B180" s="4"/>
      <c r="C180" s="4"/>
      <c r="D180" s="4"/>
      <c r="E180" s="4"/>
      <c r="F180" s="4"/>
      <c r="G180" s="4"/>
      <c r="H180" s="4"/>
      <c r="I180" s="4"/>
    </row>
    <row r="181" spans="2:9">
      <c r="B181" s="4"/>
      <c r="C181" s="4"/>
      <c r="D181" s="4"/>
      <c r="E181" s="4"/>
      <c r="F181" s="4"/>
      <c r="G181" s="4"/>
      <c r="H181" s="4"/>
      <c r="I181" s="4"/>
    </row>
    <row r="182" spans="2:9">
      <c r="B182" s="4"/>
      <c r="C182" s="4"/>
      <c r="D182" s="4"/>
      <c r="E182" s="4"/>
      <c r="F182" s="4"/>
      <c r="G182" s="4"/>
      <c r="H182" s="4"/>
      <c r="I182" s="4"/>
    </row>
    <row r="183" spans="2:9">
      <c r="B183" s="4"/>
      <c r="C183" s="4"/>
      <c r="D183" s="4"/>
      <c r="E183" s="4"/>
      <c r="F183" s="4"/>
      <c r="G183" s="4"/>
      <c r="H183" s="4"/>
      <c r="I183" s="4"/>
    </row>
    <row r="184" spans="2:9">
      <c r="B184" s="4"/>
      <c r="C184" s="4"/>
      <c r="D184" s="4"/>
      <c r="E184" s="4"/>
      <c r="F184" s="4"/>
      <c r="G184" s="4"/>
      <c r="H184" s="4"/>
      <c r="I184" s="4"/>
    </row>
    <row r="185" spans="2:9">
      <c r="B185" s="4"/>
      <c r="C185" s="4"/>
      <c r="D185" s="4"/>
      <c r="E185" s="4"/>
      <c r="F185" s="4"/>
      <c r="G185" s="4"/>
      <c r="H185" s="4"/>
      <c r="I185" s="4"/>
    </row>
    <row r="186" spans="2:9">
      <c r="B186" s="4"/>
      <c r="C186" s="4"/>
      <c r="D186" s="4"/>
      <c r="E186" s="4"/>
      <c r="F186" s="4"/>
      <c r="G186" s="4"/>
      <c r="H186" s="4"/>
      <c r="I186" s="4"/>
    </row>
    <row r="187" spans="2:9">
      <c r="B187" s="4"/>
      <c r="C187" s="4"/>
      <c r="D187" s="4"/>
      <c r="E187" s="4"/>
      <c r="F187" s="4"/>
      <c r="G187" s="4"/>
      <c r="H187" s="4"/>
      <c r="I187" s="4"/>
    </row>
    <row r="188" spans="2:9">
      <c r="B188" s="4"/>
      <c r="C188" s="4"/>
      <c r="D188" s="4"/>
      <c r="E188" s="4"/>
      <c r="F188" s="4"/>
      <c r="G188" s="4"/>
      <c r="H188" s="4"/>
      <c r="I188" s="4"/>
    </row>
    <row r="189" spans="2:9">
      <c r="B189" s="4"/>
      <c r="C189" s="4"/>
      <c r="D189" s="4"/>
      <c r="E189" s="4"/>
      <c r="F189" s="4"/>
      <c r="G189" s="4"/>
      <c r="H189" s="4"/>
      <c r="I189" s="4"/>
    </row>
    <row r="190" spans="2:9">
      <c r="B190" s="4"/>
      <c r="C190" s="4"/>
      <c r="D190" s="4"/>
      <c r="E190" s="4"/>
      <c r="F190" s="4"/>
      <c r="G190" s="4"/>
      <c r="H190" s="4"/>
      <c r="I190" s="4"/>
    </row>
    <row r="191" spans="2:9">
      <c r="B191" s="4"/>
      <c r="C191" s="4"/>
      <c r="D191" s="4"/>
      <c r="E191" s="4"/>
      <c r="F191" s="4"/>
      <c r="G191" s="4"/>
      <c r="H191" s="4"/>
      <c r="I191" s="4"/>
    </row>
    <row r="192" spans="2:9">
      <c r="B192" s="4"/>
      <c r="C192" s="4"/>
      <c r="D192" s="4"/>
      <c r="E192" s="4"/>
      <c r="F192" s="4"/>
      <c r="G192" s="4"/>
      <c r="H192" s="4"/>
      <c r="I192" s="4"/>
    </row>
    <row r="193" spans="2:9">
      <c r="B193" s="4"/>
      <c r="C193" s="4"/>
      <c r="D193" s="4"/>
      <c r="E193" s="4"/>
      <c r="F193" s="4"/>
      <c r="G193" s="4"/>
      <c r="H193" s="4"/>
      <c r="I193" s="4"/>
    </row>
    <row r="194" spans="2:9">
      <c r="B194" s="4"/>
      <c r="C194" s="4"/>
      <c r="D194" s="4"/>
      <c r="E194" s="4"/>
      <c r="F194" s="4"/>
      <c r="G194" s="4"/>
      <c r="H194" s="4"/>
      <c r="I194" s="4"/>
    </row>
    <row r="195" spans="2:9">
      <c r="B195" s="4"/>
      <c r="C195" s="4"/>
      <c r="D195" s="4"/>
      <c r="E195" s="4"/>
      <c r="F195" s="4"/>
      <c r="G195" s="4"/>
      <c r="H195" s="4"/>
      <c r="I195" s="4"/>
    </row>
    <row r="196" spans="2:9">
      <c r="B196" s="4"/>
      <c r="C196" s="4"/>
      <c r="D196" s="4"/>
      <c r="E196" s="4"/>
      <c r="F196" s="4"/>
      <c r="G196" s="4"/>
      <c r="H196" s="4"/>
      <c r="I196" s="4"/>
    </row>
    <row r="197" spans="2:9">
      <c r="B197" s="4"/>
      <c r="C197" s="4"/>
      <c r="D197" s="4"/>
      <c r="E197" s="4"/>
      <c r="F197" s="4"/>
      <c r="G197" s="4"/>
      <c r="H197" s="4"/>
      <c r="I197" s="4"/>
    </row>
    <row r="198" spans="2:9">
      <c r="B198" s="4"/>
      <c r="C198" s="4"/>
      <c r="D198" s="4"/>
      <c r="E198" s="4"/>
      <c r="F198" s="4"/>
      <c r="G198" s="4"/>
      <c r="H198" s="4"/>
      <c r="I198" s="4"/>
    </row>
    <row r="199" spans="2:9">
      <c r="B199" s="4"/>
      <c r="C199" s="4"/>
      <c r="D199" s="4"/>
      <c r="E199" s="4"/>
      <c r="F199" s="4"/>
      <c r="G199" s="4"/>
      <c r="H199" s="4"/>
      <c r="I199" s="4"/>
    </row>
    <row r="200" spans="2:9">
      <c r="B200" s="4"/>
      <c r="C200" s="4"/>
      <c r="D200" s="4"/>
      <c r="E200" s="4"/>
      <c r="F200" s="4"/>
      <c r="G200" s="4"/>
      <c r="H200" s="4"/>
      <c r="I200" s="4"/>
    </row>
    <row r="201" spans="2:9">
      <c r="B201" s="4"/>
      <c r="C201" s="4"/>
      <c r="D201" s="4"/>
      <c r="E201" s="4"/>
      <c r="F201" s="4"/>
      <c r="G201" s="4"/>
      <c r="H201" s="4"/>
      <c r="I201" s="4"/>
    </row>
    <row r="202" spans="2:9">
      <c r="B202" s="4"/>
      <c r="C202" s="4"/>
      <c r="D202" s="4"/>
      <c r="E202" s="4"/>
      <c r="F202" s="4"/>
      <c r="G202" s="4"/>
      <c r="H202" s="4"/>
      <c r="I202" s="4"/>
    </row>
    <row r="203" spans="2:9">
      <c r="B203" s="4"/>
      <c r="C203" s="4"/>
      <c r="D203" s="4"/>
      <c r="E203" s="4"/>
      <c r="F203" s="4"/>
      <c r="G203" s="4"/>
      <c r="H203" s="4"/>
      <c r="I203" s="4"/>
    </row>
    <row r="204" spans="2:9">
      <c r="B204" s="4"/>
      <c r="C204" s="4"/>
      <c r="D204" s="4"/>
      <c r="E204" s="4"/>
      <c r="F204" s="4"/>
      <c r="G204" s="4"/>
      <c r="H204" s="4"/>
      <c r="I204" s="4"/>
    </row>
    <row r="205" spans="2:9">
      <c r="B205" s="4"/>
      <c r="C205" s="4"/>
      <c r="D205" s="4"/>
      <c r="E205" s="4"/>
      <c r="F205" s="4"/>
      <c r="G205" s="4"/>
      <c r="H205" s="4"/>
      <c r="I205" s="4"/>
    </row>
    <row r="206" spans="2:9">
      <c r="B206" s="4"/>
      <c r="C206" s="4"/>
      <c r="D206" s="4"/>
      <c r="E206" s="4"/>
      <c r="F206" s="4"/>
      <c r="G206" s="4"/>
      <c r="H206" s="4"/>
      <c r="I206" s="4"/>
    </row>
    <row r="207" spans="2:9">
      <c r="B207" s="4"/>
      <c r="C207" s="4"/>
      <c r="D207" s="4"/>
      <c r="E207" s="4"/>
      <c r="F207" s="4"/>
      <c r="G207" s="4"/>
      <c r="H207" s="4"/>
      <c r="I207" s="4"/>
    </row>
    <row r="208" spans="2:9">
      <c r="B208" s="4"/>
      <c r="C208" s="4"/>
      <c r="D208" s="4"/>
      <c r="E208" s="4"/>
      <c r="F208" s="4"/>
      <c r="G208" s="4"/>
      <c r="H208" s="4"/>
      <c r="I208" s="4"/>
    </row>
    <row r="209" spans="2:9">
      <c r="B209" s="4"/>
      <c r="C209" s="4"/>
      <c r="D209" s="4"/>
      <c r="E209" s="4"/>
      <c r="F209" s="4"/>
      <c r="G209" s="4"/>
      <c r="H209" s="4"/>
      <c r="I209" s="4"/>
    </row>
    <row r="210" spans="2:9">
      <c r="B210" s="4"/>
      <c r="C210" s="4"/>
      <c r="D210" s="4"/>
      <c r="E210" s="4"/>
      <c r="F210" s="4"/>
      <c r="G210" s="4"/>
      <c r="H210" s="4"/>
      <c r="I210" s="4"/>
    </row>
    <row r="211" spans="2:9">
      <c r="B211" s="4"/>
      <c r="C211" s="4"/>
      <c r="D211" s="4"/>
      <c r="E211" s="4"/>
      <c r="F211" s="4"/>
      <c r="G211" s="4"/>
      <c r="H211" s="4"/>
      <c r="I211" s="4"/>
    </row>
    <row r="212" spans="2:9">
      <c r="B212" s="4"/>
      <c r="C212" s="4"/>
      <c r="D212" s="4"/>
      <c r="E212" s="4"/>
      <c r="F212" s="4"/>
      <c r="G212" s="4"/>
      <c r="H212" s="4"/>
      <c r="I212" s="4"/>
    </row>
    <row r="213" spans="2:9">
      <c r="B213" s="4"/>
      <c r="C213" s="4"/>
      <c r="D213" s="4"/>
      <c r="E213" s="4"/>
      <c r="F213" s="4"/>
      <c r="G213" s="4"/>
      <c r="H213" s="4"/>
      <c r="I213" s="4"/>
    </row>
    <row r="214" spans="2:9">
      <c r="B214" s="4"/>
      <c r="C214" s="4"/>
      <c r="D214" s="4"/>
      <c r="E214" s="4"/>
      <c r="F214" s="4"/>
      <c r="G214" s="4"/>
      <c r="H214" s="4"/>
      <c r="I214" s="4"/>
    </row>
    <row r="215" spans="2:9">
      <c r="B215" s="4"/>
      <c r="C215" s="4"/>
      <c r="D215" s="4"/>
      <c r="E215" s="4"/>
      <c r="F215" s="4"/>
      <c r="G215" s="4"/>
      <c r="H215" s="4"/>
      <c r="I215" s="4"/>
    </row>
    <row r="216" spans="2:9">
      <c r="B216" s="4"/>
      <c r="C216" s="4"/>
      <c r="D216" s="4"/>
      <c r="E216" s="4"/>
      <c r="F216" s="4"/>
      <c r="G216" s="4"/>
      <c r="H216" s="4"/>
      <c r="I216" s="4"/>
    </row>
    <row r="217" spans="2:9">
      <c r="B217" s="4"/>
      <c r="C217" s="4"/>
      <c r="D217" s="4"/>
      <c r="E217" s="4"/>
      <c r="F217" s="4"/>
      <c r="G217" s="4"/>
      <c r="H217" s="4"/>
      <c r="I217" s="4"/>
    </row>
    <row r="218" spans="2:9">
      <c r="B218" s="4"/>
      <c r="C218" s="4"/>
      <c r="D218" s="4"/>
      <c r="E218" s="4"/>
      <c r="F218" s="4"/>
      <c r="G218" s="4"/>
      <c r="H218" s="4"/>
      <c r="I218" s="4"/>
    </row>
    <row r="219" spans="2:9">
      <c r="B219" s="4"/>
      <c r="C219" s="4"/>
      <c r="D219" s="4"/>
      <c r="E219" s="4"/>
      <c r="F219" s="4"/>
      <c r="G219" s="4"/>
      <c r="H219" s="4"/>
      <c r="I219" s="4"/>
    </row>
    <row r="220" spans="2:9">
      <c r="B220" s="4"/>
      <c r="C220" s="4"/>
      <c r="D220" s="4"/>
      <c r="E220" s="4"/>
      <c r="F220" s="4"/>
      <c r="G220" s="4"/>
      <c r="H220" s="4"/>
      <c r="I220" s="4"/>
    </row>
    <row r="221" spans="2:9">
      <c r="B221" s="4"/>
      <c r="C221" s="4"/>
      <c r="D221" s="4"/>
      <c r="E221" s="4"/>
      <c r="F221" s="4"/>
      <c r="G221" s="4"/>
      <c r="H221" s="4"/>
      <c r="I221" s="4"/>
    </row>
    <row r="222" spans="2:9">
      <c r="B222" s="4"/>
      <c r="C222" s="4"/>
      <c r="D222" s="4"/>
      <c r="E222" s="4"/>
      <c r="F222" s="4"/>
      <c r="G222" s="4"/>
      <c r="H222" s="4"/>
      <c r="I222" s="4"/>
    </row>
    <row r="223" spans="2:9">
      <c r="B223" s="4"/>
      <c r="C223" s="4"/>
      <c r="D223" s="4"/>
      <c r="E223" s="4"/>
      <c r="F223" s="4"/>
      <c r="G223" s="4"/>
      <c r="H223" s="4"/>
      <c r="I223" s="4"/>
    </row>
    <row r="224" spans="2:9">
      <c r="B224" s="4"/>
      <c r="C224" s="4"/>
      <c r="D224" s="4"/>
      <c r="E224" s="4"/>
      <c r="F224" s="4"/>
      <c r="G224" s="4"/>
      <c r="H224" s="4"/>
      <c r="I224" s="4"/>
    </row>
    <row r="225" spans="2:9">
      <c r="B225" s="4"/>
      <c r="C225" s="4"/>
      <c r="D225" s="4"/>
      <c r="E225" s="4"/>
      <c r="F225" s="4"/>
      <c r="G225" s="4"/>
      <c r="H225" s="4"/>
      <c r="I225" s="4"/>
    </row>
    <row r="226" spans="2:9">
      <c r="B226" s="4"/>
      <c r="C226" s="4"/>
      <c r="D226" s="4"/>
      <c r="E226" s="4"/>
      <c r="F226" s="4"/>
      <c r="G226" s="4"/>
      <c r="H226" s="4"/>
      <c r="I226" s="4"/>
    </row>
    <row r="227" spans="2:9">
      <c r="B227" s="4"/>
      <c r="C227" s="4"/>
      <c r="D227" s="4"/>
      <c r="E227" s="4"/>
      <c r="F227" s="4"/>
      <c r="G227" s="4"/>
      <c r="H227" s="4"/>
      <c r="I227" s="4"/>
    </row>
    <row r="228" spans="2:9">
      <c r="B228" s="4"/>
      <c r="C228" s="4"/>
      <c r="D228" s="4"/>
      <c r="E228" s="4"/>
      <c r="F228" s="4"/>
      <c r="G228" s="4"/>
      <c r="H228" s="4"/>
      <c r="I228" s="4"/>
    </row>
    <row r="229" spans="2:9">
      <c r="B229" s="4"/>
      <c r="C229" s="4"/>
      <c r="D229" s="4"/>
      <c r="E229" s="4"/>
      <c r="F229" s="4"/>
      <c r="G229" s="4"/>
      <c r="H229" s="4"/>
      <c r="I229" s="4"/>
    </row>
    <row r="230" spans="2:9">
      <c r="B230" s="4"/>
      <c r="C230" s="4"/>
      <c r="D230" s="4"/>
      <c r="E230" s="4"/>
      <c r="F230" s="4"/>
      <c r="G230" s="4"/>
      <c r="H230" s="4"/>
      <c r="I230" s="4"/>
    </row>
    <row r="231" spans="2:9">
      <c r="B231" s="4"/>
      <c r="C231" s="4"/>
      <c r="D231" s="4"/>
      <c r="E231" s="4"/>
      <c r="F231" s="4"/>
      <c r="G231" s="4"/>
      <c r="H231" s="4"/>
      <c r="I231" s="4"/>
    </row>
    <row r="232" spans="2:9">
      <c r="B232" s="4"/>
      <c r="C232" s="4"/>
      <c r="D232" s="4"/>
      <c r="E232" s="4"/>
      <c r="F232" s="4"/>
      <c r="G232" s="4"/>
      <c r="H232" s="4"/>
      <c r="I232" s="4"/>
    </row>
    <row r="233" spans="2:9">
      <c r="B233" s="4"/>
      <c r="C233" s="4"/>
      <c r="D233" s="4"/>
      <c r="E233" s="4"/>
      <c r="F233" s="4"/>
      <c r="G233" s="4"/>
      <c r="H233" s="4"/>
      <c r="I233" s="4"/>
    </row>
    <row r="234" spans="2:9">
      <c r="B234" s="4"/>
      <c r="C234" s="4"/>
      <c r="D234" s="4"/>
      <c r="E234" s="4"/>
      <c r="F234" s="4"/>
      <c r="G234" s="4"/>
      <c r="H234" s="4"/>
      <c r="I234" s="4"/>
    </row>
    <row r="235" spans="2:9">
      <c r="B235" s="4"/>
      <c r="C235" s="4"/>
      <c r="D235" s="4"/>
      <c r="E235" s="4"/>
      <c r="F235" s="4"/>
      <c r="G235" s="4"/>
      <c r="H235" s="4"/>
      <c r="I235" s="4"/>
    </row>
    <row r="236" spans="2:9">
      <c r="B236" s="4"/>
      <c r="C236" s="4"/>
      <c r="D236" s="4"/>
      <c r="E236" s="4"/>
      <c r="F236" s="4"/>
      <c r="G236" s="4"/>
      <c r="H236" s="4"/>
      <c r="I236" s="4"/>
    </row>
    <row r="237" spans="2:9">
      <c r="B237" s="4"/>
      <c r="C237" s="4"/>
      <c r="D237" s="4"/>
      <c r="E237" s="4"/>
      <c r="F237" s="4"/>
      <c r="G237" s="4"/>
      <c r="H237" s="4"/>
      <c r="I237" s="4"/>
    </row>
    <row r="238" spans="2:9">
      <c r="B238" s="4"/>
      <c r="C238" s="4"/>
      <c r="D238" s="4"/>
      <c r="E238" s="4"/>
      <c r="F238" s="4"/>
      <c r="G238" s="4"/>
      <c r="H238" s="4"/>
      <c r="I238" s="4"/>
    </row>
    <row r="239" spans="2:9">
      <c r="B239" s="4"/>
      <c r="C239" s="4"/>
      <c r="D239" s="4"/>
      <c r="E239" s="4"/>
      <c r="F239" s="4"/>
      <c r="G239" s="4"/>
      <c r="H239" s="4"/>
      <c r="I239" s="4"/>
    </row>
    <row r="240" spans="2:9">
      <c r="B240" s="4"/>
      <c r="C240" s="4"/>
      <c r="D240" s="4"/>
      <c r="E240" s="4"/>
      <c r="F240" s="4"/>
      <c r="G240" s="4"/>
      <c r="H240" s="4"/>
      <c r="I240" s="4"/>
    </row>
    <row r="241" spans="2:9">
      <c r="B241" s="4"/>
      <c r="C241" s="4"/>
      <c r="D241" s="4"/>
      <c r="E241" s="4"/>
      <c r="F241" s="4"/>
      <c r="G241" s="4"/>
      <c r="H241" s="4"/>
      <c r="I241" s="4"/>
    </row>
    <row r="242" spans="2:9">
      <c r="B242" s="4"/>
      <c r="C242" s="4"/>
      <c r="D242" s="4"/>
      <c r="E242" s="4"/>
      <c r="F242" s="4"/>
      <c r="G242" s="4"/>
      <c r="H242" s="4"/>
      <c r="I242" s="4"/>
    </row>
    <row r="243" spans="2:9">
      <c r="B243" s="4"/>
      <c r="C243" s="4"/>
      <c r="D243" s="4"/>
      <c r="E243" s="4"/>
      <c r="F243" s="4"/>
      <c r="G243" s="4"/>
      <c r="H243" s="4"/>
      <c r="I243" s="4"/>
    </row>
    <row r="244" spans="2:9">
      <c r="B244" s="4"/>
      <c r="C244" s="4"/>
      <c r="D244" s="4"/>
      <c r="E244" s="4"/>
      <c r="F244" s="4"/>
      <c r="G244" s="4"/>
      <c r="H244" s="4"/>
      <c r="I244" s="4"/>
    </row>
    <row r="245" spans="2:9">
      <c r="B245" s="4"/>
      <c r="C245" s="4"/>
      <c r="D245" s="4"/>
      <c r="E245" s="4"/>
      <c r="F245" s="4"/>
      <c r="G245" s="4"/>
      <c r="H245" s="4"/>
      <c r="I245" s="4"/>
    </row>
    <row r="246" spans="2:9">
      <c r="B246" s="4"/>
      <c r="C246" s="4"/>
      <c r="D246" s="4"/>
      <c r="E246" s="4"/>
      <c r="F246" s="4"/>
      <c r="G246" s="4"/>
      <c r="H246" s="4"/>
      <c r="I246" s="4"/>
    </row>
    <row r="247" spans="2:9">
      <c r="B247" s="4"/>
      <c r="C247" s="4"/>
      <c r="D247" s="4"/>
      <c r="E247" s="4"/>
      <c r="F247" s="4"/>
      <c r="G247" s="4"/>
      <c r="H247" s="4"/>
      <c r="I247" s="4"/>
    </row>
    <row r="248" spans="2:9">
      <c r="B248" s="4"/>
      <c r="C248" s="4"/>
      <c r="D248" s="4"/>
      <c r="E248" s="4"/>
      <c r="F248" s="4"/>
      <c r="G248" s="4"/>
      <c r="H248" s="4"/>
      <c r="I248" s="4"/>
    </row>
    <row r="249" spans="2:9">
      <c r="B249" s="4"/>
      <c r="C249" s="4"/>
      <c r="D249" s="4"/>
      <c r="E249" s="4"/>
      <c r="F249" s="4"/>
      <c r="G249" s="4"/>
      <c r="H249" s="4"/>
      <c r="I249" s="4"/>
    </row>
    <row r="250" spans="2:9">
      <c r="B250" s="4"/>
      <c r="C250" s="4"/>
      <c r="D250" s="4"/>
      <c r="E250" s="4"/>
      <c r="F250" s="4"/>
      <c r="G250" s="4"/>
      <c r="H250" s="4"/>
      <c r="I250" s="4"/>
    </row>
    <row r="251" spans="2:9">
      <c r="B251" s="4"/>
      <c r="C251" s="4"/>
      <c r="D251" s="4"/>
      <c r="E251" s="4"/>
      <c r="F251" s="4"/>
      <c r="G251" s="4"/>
      <c r="H251" s="4"/>
      <c r="I251" s="4"/>
    </row>
    <row r="252" spans="2:9">
      <c r="B252" s="4"/>
      <c r="C252" s="4"/>
      <c r="D252" s="4"/>
      <c r="E252" s="4"/>
      <c r="F252" s="4"/>
      <c r="G252" s="4"/>
      <c r="H252" s="4"/>
      <c r="I252" s="4"/>
    </row>
    <row r="253" spans="2:9">
      <c r="B253" s="4"/>
      <c r="C253" s="4"/>
      <c r="D253" s="4"/>
      <c r="E253" s="4"/>
      <c r="F253" s="4"/>
      <c r="G253" s="4"/>
      <c r="H253" s="4"/>
      <c r="I253" s="4"/>
    </row>
    <row r="254" spans="2:9">
      <c r="B254" s="4"/>
      <c r="C254" s="4"/>
      <c r="D254" s="4"/>
      <c r="E254" s="4"/>
      <c r="F254" s="4"/>
      <c r="G254" s="4"/>
      <c r="H254" s="4"/>
      <c r="I254" s="4"/>
    </row>
    <row r="255" spans="2:9">
      <c r="B255" s="4"/>
      <c r="C255" s="4"/>
      <c r="D255" s="4"/>
      <c r="E255" s="4"/>
      <c r="F255" s="4"/>
      <c r="G255" s="4"/>
      <c r="H255" s="4"/>
      <c r="I255" s="4"/>
    </row>
    <row r="256" spans="2:9">
      <c r="B256" s="4"/>
      <c r="C256" s="4"/>
      <c r="D256" s="4"/>
      <c r="E256" s="4"/>
      <c r="F256" s="4"/>
      <c r="G256" s="4"/>
      <c r="H256" s="4"/>
      <c r="I256" s="4"/>
    </row>
    <row r="257" spans="2:9">
      <c r="B257" s="4"/>
      <c r="C257" s="4"/>
      <c r="D257" s="4"/>
      <c r="E257" s="4"/>
      <c r="F257" s="4"/>
      <c r="G257" s="4"/>
      <c r="H257" s="4"/>
      <c r="I257" s="4"/>
    </row>
    <row r="258" spans="2:9">
      <c r="B258" s="4"/>
      <c r="C258" s="4"/>
      <c r="D258" s="4"/>
      <c r="E258" s="4"/>
      <c r="F258" s="4"/>
      <c r="G258" s="4"/>
      <c r="H258" s="4"/>
      <c r="I258" s="4"/>
    </row>
    <row r="259" spans="2:9">
      <c r="B259" s="4"/>
      <c r="C259" s="4"/>
      <c r="D259" s="4"/>
      <c r="E259" s="4"/>
      <c r="F259" s="4"/>
      <c r="G259" s="4"/>
      <c r="H259" s="4"/>
      <c r="I259" s="4"/>
    </row>
    <row r="260" spans="2:9">
      <c r="B260" s="4"/>
      <c r="C260" s="4"/>
      <c r="D260" s="4"/>
      <c r="E260" s="4"/>
      <c r="F260" s="4"/>
      <c r="G260" s="4"/>
      <c r="H260" s="4"/>
      <c r="I260" s="4"/>
    </row>
    <row r="261" spans="2:9">
      <c r="B261" s="4"/>
      <c r="C261" s="4"/>
      <c r="D261" s="4"/>
      <c r="E261" s="4"/>
      <c r="F261" s="4"/>
      <c r="G261" s="4"/>
      <c r="H261" s="4"/>
      <c r="I261" s="4"/>
    </row>
    <row r="262" spans="2:9">
      <c r="B262" s="4"/>
      <c r="C262" s="4"/>
      <c r="D262" s="4"/>
      <c r="E262" s="4"/>
      <c r="F262" s="4"/>
      <c r="G262" s="4"/>
      <c r="H262" s="4"/>
      <c r="I262" s="4"/>
    </row>
    <row r="263" spans="2:9">
      <c r="B263" s="4"/>
      <c r="C263" s="4"/>
      <c r="D263" s="4"/>
      <c r="E263" s="4"/>
      <c r="F263" s="4"/>
      <c r="G263" s="4"/>
      <c r="H263" s="4"/>
      <c r="I263" s="4"/>
    </row>
    <row r="264" spans="2:9">
      <c r="B264" s="4"/>
      <c r="C264" s="4"/>
      <c r="D264" s="4"/>
      <c r="E264" s="4"/>
      <c r="F264" s="4"/>
      <c r="G264" s="4"/>
      <c r="H264" s="4"/>
      <c r="I264" s="4"/>
    </row>
    <row r="265" spans="2:9">
      <c r="B265" s="4"/>
      <c r="C265" s="4"/>
      <c r="D265" s="4"/>
      <c r="E265" s="4"/>
      <c r="F265" s="4"/>
      <c r="G265" s="4"/>
      <c r="H265" s="4"/>
      <c r="I265" s="4"/>
    </row>
    <row r="266" spans="2:9">
      <c r="B266" s="4"/>
      <c r="C266" s="4"/>
      <c r="D266" s="4"/>
      <c r="E266" s="4"/>
      <c r="F266" s="4"/>
      <c r="G266" s="4"/>
      <c r="H266" s="4"/>
      <c r="I266" s="4"/>
    </row>
    <row r="267" spans="2:9">
      <c r="B267" s="4"/>
      <c r="C267" s="4"/>
      <c r="D267" s="4"/>
      <c r="E267" s="4"/>
      <c r="F267" s="4"/>
      <c r="G267" s="4"/>
      <c r="H267" s="4"/>
      <c r="I267" s="4"/>
    </row>
    <row r="268" spans="2:9">
      <c r="B268" s="4"/>
      <c r="C268" s="4"/>
      <c r="D268" s="4"/>
      <c r="E268" s="4"/>
      <c r="F268" s="4"/>
      <c r="G268" s="4"/>
      <c r="H268" s="4"/>
      <c r="I268" s="4"/>
    </row>
    <row r="269" spans="2:9">
      <c r="B269" s="4"/>
      <c r="C269" s="4"/>
      <c r="D269" s="4"/>
      <c r="E269" s="4"/>
      <c r="F269" s="4"/>
      <c r="G269" s="4"/>
      <c r="H269" s="4"/>
      <c r="I269" s="4"/>
    </row>
    <row r="270" spans="2:9">
      <c r="B270" s="4"/>
      <c r="C270" s="4"/>
      <c r="D270" s="4"/>
      <c r="E270" s="4"/>
      <c r="F270" s="4"/>
      <c r="G270" s="4"/>
      <c r="H270" s="4"/>
      <c r="I270" s="4"/>
    </row>
    <row r="271" spans="2:9">
      <c r="B271" s="4"/>
      <c r="C271" s="4"/>
      <c r="D271" s="4"/>
      <c r="E271" s="4"/>
      <c r="F271" s="4"/>
      <c r="G271" s="4"/>
      <c r="H271" s="4"/>
      <c r="I271" s="4"/>
    </row>
    <row r="272" spans="2:9">
      <c r="B272" s="4"/>
      <c r="C272" s="4"/>
      <c r="D272" s="4"/>
      <c r="E272" s="4"/>
      <c r="F272" s="4"/>
      <c r="G272" s="4"/>
      <c r="H272" s="4"/>
      <c r="I272" s="4"/>
    </row>
    <row r="273" spans="2:9">
      <c r="B273" s="4"/>
      <c r="C273" s="4"/>
      <c r="D273" s="4"/>
      <c r="E273" s="4"/>
      <c r="F273" s="4"/>
      <c r="G273" s="4"/>
      <c r="H273" s="4"/>
      <c r="I273" s="4"/>
    </row>
    <row r="274" spans="2:9">
      <c r="B274" s="4"/>
      <c r="C274" s="4"/>
      <c r="D274" s="4"/>
      <c r="E274" s="4"/>
      <c r="F274" s="4"/>
      <c r="G274" s="4"/>
      <c r="H274" s="4"/>
      <c r="I274" s="4"/>
    </row>
    <row r="275" spans="2:9">
      <c r="B275" s="4"/>
      <c r="C275" s="4"/>
      <c r="D275" s="4"/>
      <c r="E275" s="4"/>
      <c r="F275" s="4"/>
      <c r="G275" s="4"/>
      <c r="H275" s="4"/>
      <c r="I275" s="4"/>
    </row>
    <row r="276" spans="2:9">
      <c r="B276" s="4"/>
      <c r="C276" s="4"/>
      <c r="D276" s="4"/>
      <c r="E276" s="4"/>
      <c r="F276" s="4"/>
      <c r="G276" s="4"/>
      <c r="H276" s="4"/>
      <c r="I276" s="4"/>
    </row>
    <row r="277" spans="2:9">
      <c r="B277" s="4"/>
      <c r="C277" s="4"/>
      <c r="D277" s="4"/>
      <c r="E277" s="4"/>
      <c r="F277" s="4"/>
      <c r="G277" s="4"/>
      <c r="H277" s="4"/>
      <c r="I277" s="4"/>
    </row>
    <row r="278" spans="2:9">
      <c r="B278" s="4"/>
      <c r="C278" s="4"/>
      <c r="D278" s="4"/>
      <c r="E278" s="4"/>
      <c r="F278" s="4"/>
      <c r="G278" s="4"/>
      <c r="H278" s="4"/>
      <c r="I278" s="4"/>
    </row>
    <row r="279" spans="2:9">
      <c r="B279" s="4"/>
      <c r="C279" s="4"/>
      <c r="D279" s="4"/>
      <c r="E279" s="4"/>
      <c r="F279" s="4"/>
      <c r="G279" s="4"/>
      <c r="H279" s="4"/>
      <c r="I279" s="4"/>
    </row>
    <row r="280" spans="2:9">
      <c r="B280" s="4"/>
      <c r="C280" s="4"/>
      <c r="D280" s="4"/>
      <c r="E280" s="4"/>
      <c r="F280" s="4"/>
      <c r="G280" s="4"/>
      <c r="H280" s="4"/>
      <c r="I280" s="4"/>
    </row>
    <row r="281" spans="2:9">
      <c r="B281" s="4"/>
      <c r="C281" s="4"/>
      <c r="D281" s="4"/>
      <c r="E281" s="4"/>
      <c r="F281" s="4"/>
      <c r="G281" s="4"/>
      <c r="H281" s="4"/>
      <c r="I281" s="4"/>
    </row>
    <row r="282" spans="2:9">
      <c r="B282" s="4"/>
      <c r="C282" s="4"/>
      <c r="D282" s="4"/>
      <c r="E282" s="4"/>
      <c r="F282" s="4"/>
      <c r="G282" s="4"/>
      <c r="H282" s="4"/>
      <c r="I282" s="4"/>
    </row>
    <row r="283" spans="2:9">
      <c r="B283" s="4"/>
      <c r="C283" s="4"/>
      <c r="D283" s="4"/>
      <c r="E283" s="4"/>
      <c r="F283" s="4"/>
      <c r="G283" s="4"/>
      <c r="H283" s="4"/>
      <c r="I283" s="4"/>
    </row>
    <row r="284" spans="2:9">
      <c r="B284" s="4"/>
      <c r="C284" s="4"/>
      <c r="D284" s="4"/>
      <c r="E284" s="4"/>
      <c r="F284" s="4"/>
      <c r="G284" s="4"/>
      <c r="H284" s="4"/>
      <c r="I284" s="4"/>
    </row>
    <row r="285" spans="2:9">
      <c r="B285" s="4"/>
      <c r="C285" s="4"/>
      <c r="D285" s="4"/>
      <c r="E285" s="4"/>
      <c r="F285" s="4"/>
      <c r="G285" s="4"/>
      <c r="H285" s="4"/>
      <c r="I285" s="4"/>
    </row>
    <row r="286" spans="2:9">
      <c r="B286" s="4"/>
      <c r="C286" s="4"/>
      <c r="D286" s="4"/>
      <c r="E286" s="4"/>
      <c r="F286" s="4"/>
      <c r="G286" s="4"/>
      <c r="H286" s="4"/>
      <c r="I286" s="4"/>
    </row>
    <row r="287" spans="2:9">
      <c r="B287" s="4"/>
      <c r="C287" s="4"/>
      <c r="D287" s="4"/>
      <c r="E287" s="4"/>
      <c r="F287" s="4"/>
      <c r="G287" s="4"/>
      <c r="H287" s="4"/>
      <c r="I287" s="4"/>
    </row>
    <row r="288" spans="2:9">
      <c r="B288" s="4"/>
      <c r="C288" s="4"/>
      <c r="D288" s="4"/>
      <c r="E288" s="4"/>
      <c r="F288" s="4"/>
      <c r="G288" s="4"/>
      <c r="H288" s="4"/>
      <c r="I288" s="4"/>
    </row>
    <row r="289" spans="2:9">
      <c r="B289" s="4"/>
      <c r="C289" s="4"/>
      <c r="D289" s="4"/>
      <c r="E289" s="4"/>
      <c r="F289" s="4"/>
      <c r="G289" s="4"/>
      <c r="H289" s="4"/>
      <c r="I289" s="4"/>
    </row>
    <row r="290" spans="2:9">
      <c r="B290" s="4"/>
      <c r="C290" s="4"/>
      <c r="D290" s="4"/>
      <c r="E290" s="4"/>
      <c r="F290" s="4"/>
      <c r="G290" s="4"/>
      <c r="H290" s="4"/>
      <c r="I290" s="4"/>
    </row>
    <row r="291" spans="2:9">
      <c r="B291" s="4"/>
      <c r="C291" s="4"/>
      <c r="D291" s="4"/>
      <c r="E291" s="4"/>
      <c r="F291" s="4"/>
      <c r="G291" s="4"/>
      <c r="H291" s="4"/>
      <c r="I291" s="4"/>
    </row>
    <row r="292" spans="2:9">
      <c r="B292" s="4"/>
      <c r="C292" s="4"/>
      <c r="D292" s="4"/>
      <c r="E292" s="4"/>
      <c r="F292" s="4"/>
      <c r="G292" s="4"/>
      <c r="H292" s="4"/>
      <c r="I292" s="4"/>
    </row>
    <row r="293" spans="2:9">
      <c r="B293" s="4"/>
      <c r="C293" s="4"/>
      <c r="D293" s="4"/>
      <c r="E293" s="4"/>
      <c r="F293" s="4"/>
      <c r="G293" s="4"/>
      <c r="H293" s="4"/>
      <c r="I293" s="4"/>
    </row>
    <row r="294" spans="2:9">
      <c r="B294" s="4"/>
      <c r="C294" s="4"/>
      <c r="D294" s="4"/>
      <c r="E294" s="4"/>
      <c r="F294" s="4"/>
      <c r="G294" s="4"/>
      <c r="H294" s="4"/>
      <c r="I294" s="4"/>
    </row>
    <row r="295" spans="2:9">
      <c r="B295" s="4"/>
      <c r="C295" s="4"/>
      <c r="D295" s="4"/>
      <c r="E295" s="4"/>
      <c r="F295" s="4"/>
      <c r="G295" s="4"/>
      <c r="H295" s="4"/>
      <c r="I295" s="4"/>
    </row>
    <row r="296" spans="2:9">
      <c r="B296" s="4"/>
      <c r="C296" s="4"/>
      <c r="D296" s="4"/>
      <c r="E296" s="4"/>
      <c r="F296" s="4"/>
      <c r="G296" s="4"/>
      <c r="H296" s="4"/>
      <c r="I296" s="4"/>
    </row>
    <row r="297" spans="2:9">
      <c r="B297" s="4"/>
      <c r="C297" s="4"/>
      <c r="D297" s="4"/>
      <c r="E297" s="4"/>
      <c r="F297" s="4"/>
      <c r="G297" s="4"/>
      <c r="H297" s="4"/>
      <c r="I297" s="4"/>
    </row>
    <row r="298" spans="2:9">
      <c r="B298" s="4"/>
      <c r="C298" s="4"/>
      <c r="D298" s="4"/>
      <c r="E298" s="4"/>
      <c r="F298" s="4"/>
      <c r="G298" s="4"/>
      <c r="H298" s="4"/>
      <c r="I298" s="4"/>
    </row>
    <row r="299" spans="2:9">
      <c r="B299" s="4"/>
      <c r="C299" s="4"/>
      <c r="D299" s="4"/>
      <c r="E299" s="4"/>
      <c r="F299" s="4"/>
      <c r="G299" s="4"/>
      <c r="H299" s="4"/>
      <c r="I299" s="4"/>
    </row>
    <row r="300" spans="2:9">
      <c r="B300" s="4"/>
      <c r="C300" s="4"/>
      <c r="D300" s="4"/>
      <c r="E300" s="4"/>
      <c r="F300" s="4"/>
      <c r="G300" s="4"/>
      <c r="H300" s="4"/>
      <c r="I300" s="4"/>
    </row>
    <row r="301" spans="2:9">
      <c r="B301" s="4"/>
      <c r="C301" s="4"/>
      <c r="D301" s="4"/>
      <c r="E301" s="4"/>
      <c r="F301" s="4"/>
      <c r="G301" s="4"/>
      <c r="H301" s="4"/>
      <c r="I301" s="4"/>
    </row>
    <row r="302" spans="2:9">
      <c r="B302" s="4"/>
      <c r="C302" s="4"/>
      <c r="D302" s="4"/>
      <c r="E302" s="4"/>
      <c r="F302" s="4"/>
      <c r="G302" s="4"/>
      <c r="H302" s="4"/>
      <c r="I302" s="4"/>
    </row>
    <row r="303" spans="2:9">
      <c r="B303" s="4"/>
      <c r="C303" s="4"/>
      <c r="D303" s="4"/>
      <c r="E303" s="4"/>
      <c r="F303" s="4"/>
      <c r="G303" s="4"/>
      <c r="H303" s="4"/>
      <c r="I303" s="4"/>
    </row>
    <row r="304" spans="2:9">
      <c r="B304" s="4"/>
      <c r="C304" s="4"/>
      <c r="D304" s="4"/>
      <c r="E304" s="4"/>
      <c r="F304" s="4"/>
      <c r="G304" s="4"/>
      <c r="H304" s="4"/>
      <c r="I304" s="4"/>
    </row>
    <row r="305" spans="2:9">
      <c r="B305" s="4"/>
      <c r="C305" s="4"/>
      <c r="D305" s="4"/>
      <c r="E305" s="4"/>
      <c r="F305" s="4"/>
      <c r="G305" s="4"/>
      <c r="H305" s="4"/>
      <c r="I305" s="4"/>
    </row>
    <row r="306" spans="2:9">
      <c r="B306" s="4"/>
      <c r="C306" s="4"/>
      <c r="D306" s="4"/>
      <c r="E306" s="4"/>
      <c r="F306" s="4"/>
      <c r="G306" s="4"/>
      <c r="H306" s="4"/>
      <c r="I306" s="4"/>
    </row>
    <row r="307" spans="2:9">
      <c r="B307" s="4"/>
      <c r="C307" s="4"/>
      <c r="D307" s="4"/>
      <c r="E307" s="4"/>
      <c r="F307" s="4"/>
      <c r="G307" s="4"/>
      <c r="H307" s="4"/>
      <c r="I307" s="4"/>
    </row>
    <row r="308" spans="2:9">
      <c r="B308" s="4"/>
      <c r="C308" s="4"/>
      <c r="D308" s="4"/>
      <c r="E308" s="4"/>
      <c r="F308" s="4"/>
      <c r="G308" s="4"/>
      <c r="H308" s="4"/>
      <c r="I308" s="4"/>
    </row>
    <row r="309" spans="2:9">
      <c r="B309" s="4"/>
      <c r="C309" s="4"/>
      <c r="D309" s="4"/>
      <c r="E309" s="4"/>
      <c r="F309" s="4"/>
      <c r="G309" s="4"/>
      <c r="H309" s="4"/>
      <c r="I309" s="4"/>
    </row>
    <row r="310" spans="2:9">
      <c r="B310" s="4"/>
      <c r="C310" s="4"/>
      <c r="D310" s="4"/>
      <c r="E310" s="4"/>
      <c r="F310" s="4"/>
      <c r="G310" s="4"/>
      <c r="H310" s="4"/>
      <c r="I310" s="4"/>
    </row>
    <row r="311" spans="2:9">
      <c r="B311" s="4"/>
      <c r="C311" s="4"/>
      <c r="D311" s="4"/>
      <c r="E311" s="4"/>
      <c r="F311" s="4"/>
      <c r="G311" s="4"/>
      <c r="H311" s="4"/>
      <c r="I311" s="4"/>
    </row>
    <row r="312" spans="2:9">
      <c r="B312" s="4"/>
      <c r="C312" s="4"/>
      <c r="D312" s="4"/>
      <c r="E312" s="4"/>
      <c r="F312" s="4"/>
      <c r="G312" s="4"/>
      <c r="H312" s="4"/>
      <c r="I312" s="4"/>
    </row>
    <row r="313" spans="2:9">
      <c r="B313" s="4"/>
      <c r="C313" s="4"/>
      <c r="D313" s="4"/>
      <c r="E313" s="4"/>
      <c r="F313" s="4"/>
      <c r="G313" s="4"/>
      <c r="H313" s="4"/>
      <c r="I313" s="4"/>
    </row>
    <row r="314" spans="2:9">
      <c r="B314" s="4"/>
      <c r="C314" s="4"/>
      <c r="D314" s="4"/>
      <c r="E314" s="4"/>
      <c r="F314" s="4"/>
      <c r="G314" s="4"/>
      <c r="H314" s="4"/>
      <c r="I314" s="4"/>
    </row>
    <row r="315" spans="2:9">
      <c r="B315" s="4"/>
      <c r="C315" s="4"/>
      <c r="D315" s="4"/>
      <c r="E315" s="4"/>
      <c r="F315" s="4"/>
      <c r="G315" s="4"/>
      <c r="H315" s="4"/>
      <c r="I315" s="4"/>
    </row>
    <row r="316" spans="2:9">
      <c r="B316" s="4"/>
      <c r="C316" s="4"/>
      <c r="D316" s="4"/>
      <c r="E316" s="4"/>
      <c r="F316" s="4"/>
      <c r="G316" s="4"/>
      <c r="H316" s="4"/>
      <c r="I316" s="4"/>
    </row>
    <row r="317" spans="2:9">
      <c r="B317" s="4"/>
      <c r="C317" s="4"/>
      <c r="D317" s="4"/>
      <c r="E317" s="4"/>
      <c r="F317" s="4"/>
      <c r="G317" s="4"/>
      <c r="H317" s="4"/>
      <c r="I317" s="4"/>
    </row>
    <row r="318" spans="2:9">
      <c r="B318" s="4"/>
      <c r="C318" s="4"/>
      <c r="D318" s="4"/>
      <c r="E318" s="4"/>
      <c r="F318" s="4"/>
      <c r="G318" s="4"/>
      <c r="H318" s="4"/>
      <c r="I318" s="4"/>
    </row>
    <row r="319" spans="2:9">
      <c r="B319" s="4"/>
      <c r="C319" s="4"/>
      <c r="D319" s="4"/>
      <c r="E319" s="4"/>
      <c r="F319" s="4"/>
      <c r="G319" s="4"/>
      <c r="H319" s="4"/>
      <c r="I319" s="4"/>
    </row>
    <row r="320" spans="2:9">
      <c r="B320" s="4"/>
      <c r="C320" s="4"/>
      <c r="D320" s="4"/>
      <c r="E320" s="4"/>
      <c r="F320" s="4"/>
      <c r="G320" s="4"/>
      <c r="H320" s="4"/>
      <c r="I320" s="4"/>
    </row>
    <row r="321" spans="2:9">
      <c r="B321" s="4"/>
      <c r="C321" s="4"/>
      <c r="D321" s="4"/>
      <c r="E321" s="4"/>
      <c r="F321" s="4"/>
      <c r="G321" s="4"/>
      <c r="H321" s="4"/>
      <c r="I321" s="4"/>
    </row>
    <row r="322" spans="2:9">
      <c r="B322" s="4"/>
      <c r="C322" s="4"/>
      <c r="D322" s="4"/>
      <c r="E322" s="4"/>
      <c r="F322" s="4"/>
      <c r="G322" s="4"/>
      <c r="H322" s="4"/>
      <c r="I322" s="4"/>
    </row>
    <row r="323" spans="2:9">
      <c r="B323" s="4"/>
      <c r="C323" s="4"/>
      <c r="D323" s="4"/>
      <c r="E323" s="4"/>
      <c r="F323" s="4"/>
      <c r="G323" s="4"/>
      <c r="H323" s="4"/>
      <c r="I323" s="4"/>
    </row>
    <row r="324" spans="2:9">
      <c r="B324" s="4"/>
      <c r="C324" s="4"/>
      <c r="D324" s="4"/>
      <c r="E324" s="4"/>
      <c r="F324" s="4"/>
      <c r="G324" s="4"/>
      <c r="H324" s="4"/>
      <c r="I324" s="4"/>
    </row>
    <row r="325" spans="2:9">
      <c r="B325" s="4"/>
      <c r="C325" s="4"/>
      <c r="D325" s="4"/>
      <c r="E325" s="4"/>
      <c r="F325" s="4"/>
      <c r="G325" s="4"/>
      <c r="H325" s="4"/>
      <c r="I325" s="4"/>
    </row>
    <row r="326" spans="2:9">
      <c r="B326" s="4"/>
      <c r="C326" s="4"/>
      <c r="D326" s="4"/>
      <c r="E326" s="4"/>
      <c r="F326" s="4"/>
      <c r="G326" s="4"/>
      <c r="H326" s="4"/>
      <c r="I326" s="4"/>
    </row>
    <row r="327" spans="2:9">
      <c r="B327" s="4"/>
      <c r="C327" s="4"/>
      <c r="D327" s="4"/>
      <c r="E327" s="4"/>
      <c r="F327" s="4"/>
      <c r="G327" s="4"/>
      <c r="H327" s="4"/>
      <c r="I327" s="4"/>
    </row>
    <row r="328" spans="2:9">
      <c r="B328" s="4"/>
      <c r="C328" s="4"/>
      <c r="D328" s="4"/>
      <c r="E328" s="4"/>
      <c r="F328" s="4"/>
      <c r="G328" s="4"/>
      <c r="H328" s="4"/>
      <c r="I328" s="4"/>
    </row>
    <row r="329" spans="2:9">
      <c r="B329" s="4"/>
      <c r="C329" s="4"/>
      <c r="D329" s="4"/>
      <c r="E329" s="4"/>
      <c r="F329" s="4"/>
      <c r="G329" s="4"/>
      <c r="H329" s="4"/>
      <c r="I329" s="4"/>
    </row>
    <row r="330" spans="2:9">
      <c r="B330" s="4"/>
      <c r="C330" s="4"/>
      <c r="D330" s="4"/>
      <c r="E330" s="4"/>
      <c r="F330" s="4"/>
      <c r="G330" s="4"/>
      <c r="H330" s="4"/>
      <c r="I330" s="4"/>
    </row>
    <row r="331" spans="2:9">
      <c r="B331" s="4"/>
      <c r="C331" s="4"/>
      <c r="D331" s="4"/>
      <c r="E331" s="4"/>
      <c r="F331" s="4"/>
      <c r="G331" s="4"/>
      <c r="H331" s="4"/>
      <c r="I331" s="4"/>
    </row>
    <row r="332" spans="2:9">
      <c r="B332" s="4"/>
      <c r="C332" s="4"/>
      <c r="D332" s="4"/>
      <c r="E332" s="4"/>
      <c r="F332" s="4"/>
      <c r="G332" s="4"/>
      <c r="H332" s="4"/>
      <c r="I332" s="4"/>
    </row>
    <row r="333" spans="2:9">
      <c r="B333" s="4"/>
      <c r="C333" s="4"/>
      <c r="D333" s="4"/>
      <c r="E333" s="4"/>
      <c r="F333" s="4"/>
      <c r="G333" s="4"/>
      <c r="H333" s="4"/>
      <c r="I333" s="4"/>
    </row>
    <row r="334" spans="2:9">
      <c r="B334" s="4"/>
      <c r="C334" s="4"/>
      <c r="D334" s="4"/>
      <c r="E334" s="4"/>
      <c r="F334" s="4"/>
      <c r="G334" s="4"/>
      <c r="H334" s="4"/>
      <c r="I334" s="4"/>
    </row>
    <row r="335" spans="2:9">
      <c r="B335" s="4"/>
      <c r="C335" s="4"/>
      <c r="D335" s="4"/>
      <c r="E335" s="4"/>
      <c r="F335" s="4"/>
      <c r="G335" s="4"/>
      <c r="H335" s="4"/>
      <c r="I335" s="4"/>
    </row>
    <row r="336" spans="2:9">
      <c r="B336" s="4"/>
      <c r="C336" s="4"/>
      <c r="D336" s="4"/>
      <c r="E336" s="4"/>
      <c r="F336" s="4"/>
      <c r="G336" s="4"/>
      <c r="H336" s="4"/>
      <c r="I336" s="4"/>
    </row>
    <row r="337" spans="2:9">
      <c r="B337" s="4"/>
      <c r="C337" s="4"/>
      <c r="D337" s="4"/>
      <c r="E337" s="4"/>
      <c r="F337" s="4"/>
      <c r="G337" s="4"/>
      <c r="H337" s="4"/>
      <c r="I337" s="4"/>
    </row>
    <row r="338" spans="2:9">
      <c r="B338" s="4"/>
      <c r="C338" s="4"/>
      <c r="D338" s="4"/>
      <c r="E338" s="4"/>
      <c r="F338" s="4"/>
      <c r="G338" s="4"/>
      <c r="H338" s="4"/>
      <c r="I338" s="4"/>
    </row>
    <row r="339" spans="2:9">
      <c r="B339" s="4"/>
      <c r="C339" s="4"/>
      <c r="D339" s="4"/>
      <c r="E339" s="4"/>
      <c r="F339" s="4"/>
      <c r="G339" s="4"/>
      <c r="H339" s="4"/>
      <c r="I339" s="4"/>
    </row>
    <row r="340" spans="2:9">
      <c r="B340" s="4"/>
      <c r="C340" s="4"/>
      <c r="D340" s="4"/>
      <c r="E340" s="4"/>
      <c r="F340" s="4"/>
      <c r="G340" s="4"/>
      <c r="H340" s="4"/>
      <c r="I340" s="4"/>
    </row>
    <row r="341" spans="2:9">
      <c r="B341" s="4"/>
      <c r="C341" s="4"/>
      <c r="D341" s="4"/>
      <c r="E341" s="4"/>
      <c r="F341" s="4"/>
      <c r="G341" s="4"/>
      <c r="H341" s="4"/>
      <c r="I341" s="4"/>
    </row>
    <row r="342" spans="2:9">
      <c r="B342" s="4"/>
      <c r="C342" s="4"/>
      <c r="D342" s="4"/>
      <c r="E342" s="4"/>
      <c r="F342" s="4"/>
      <c r="G342" s="4"/>
      <c r="H342" s="4"/>
      <c r="I342" s="4"/>
    </row>
    <row r="343" spans="2:9">
      <c r="B343" s="4"/>
      <c r="C343" s="4"/>
      <c r="D343" s="4"/>
      <c r="E343" s="4"/>
      <c r="F343" s="4"/>
      <c r="G343" s="4"/>
      <c r="H343" s="4"/>
      <c r="I343" s="4"/>
    </row>
    <row r="344" spans="2:9">
      <c r="B344" s="4"/>
      <c r="C344" s="4"/>
      <c r="D344" s="4"/>
      <c r="E344" s="4"/>
      <c r="F344" s="4"/>
      <c r="G344" s="4"/>
      <c r="H344" s="4"/>
      <c r="I344" s="4"/>
    </row>
    <row r="345" spans="2:9">
      <c r="B345" s="4"/>
      <c r="C345" s="4"/>
      <c r="D345" s="4"/>
      <c r="E345" s="4"/>
      <c r="F345" s="4"/>
      <c r="G345" s="4"/>
      <c r="H345" s="4"/>
      <c r="I345" s="4"/>
    </row>
    <row r="346" spans="2:9">
      <c r="B346" s="4"/>
      <c r="C346" s="4"/>
      <c r="D346" s="4"/>
      <c r="E346" s="4"/>
      <c r="F346" s="4"/>
      <c r="G346" s="4"/>
      <c r="H346" s="4"/>
      <c r="I346" s="4"/>
    </row>
    <row r="347" spans="2:9">
      <c r="B347" s="4"/>
      <c r="C347" s="4"/>
      <c r="D347" s="4"/>
      <c r="E347" s="4"/>
      <c r="F347" s="4"/>
      <c r="G347" s="4"/>
      <c r="H347" s="4"/>
      <c r="I347" s="4"/>
    </row>
    <row r="348" spans="2:9">
      <c r="B348" s="4"/>
      <c r="C348" s="4"/>
      <c r="D348" s="4"/>
      <c r="E348" s="4"/>
      <c r="F348" s="4"/>
      <c r="G348" s="4"/>
      <c r="H348" s="4"/>
      <c r="I348" s="4"/>
    </row>
    <row r="349" spans="2:9">
      <c r="B349" s="4"/>
      <c r="C349" s="4"/>
      <c r="D349" s="4"/>
      <c r="E349" s="4"/>
      <c r="F349" s="4"/>
      <c r="G349" s="4"/>
      <c r="H349" s="4"/>
      <c r="I349" s="4"/>
    </row>
    <row r="350" spans="2:9">
      <c r="B350" s="4"/>
      <c r="C350" s="4"/>
      <c r="D350" s="4"/>
      <c r="E350" s="4"/>
      <c r="F350" s="4"/>
      <c r="G350" s="4"/>
      <c r="H350" s="4"/>
      <c r="I350" s="4"/>
    </row>
    <row r="351" spans="2:9">
      <c r="B351" s="4"/>
      <c r="C351" s="4"/>
      <c r="D351" s="4"/>
      <c r="E351" s="4"/>
      <c r="F351" s="4"/>
      <c r="G351" s="4"/>
      <c r="H351" s="4"/>
      <c r="I351" s="4"/>
    </row>
    <row r="352" spans="2:9">
      <c r="B352" s="4"/>
      <c r="C352" s="4"/>
      <c r="D352" s="4"/>
      <c r="E352" s="4"/>
      <c r="F352" s="4"/>
      <c r="G352" s="4"/>
      <c r="H352" s="4"/>
      <c r="I352" s="4"/>
    </row>
    <row r="353" spans="2:9">
      <c r="B353" s="4"/>
      <c r="C353" s="4"/>
      <c r="D353" s="4"/>
      <c r="E353" s="4"/>
      <c r="F353" s="4"/>
      <c r="G353" s="4"/>
      <c r="H353" s="4"/>
      <c r="I353" s="4"/>
    </row>
    <row r="354" spans="2:9">
      <c r="B354" s="4"/>
      <c r="C354" s="4"/>
      <c r="D354" s="4"/>
      <c r="E354" s="4"/>
      <c r="F354" s="4"/>
      <c r="G354" s="4"/>
      <c r="H354" s="4"/>
      <c r="I354" s="4"/>
    </row>
    <row r="355" spans="2:9">
      <c r="B355" s="4"/>
      <c r="C355" s="4"/>
      <c r="D355" s="4"/>
      <c r="E355" s="4"/>
      <c r="F355" s="4"/>
      <c r="G355" s="4"/>
      <c r="H355" s="4"/>
      <c r="I355" s="4"/>
    </row>
    <row r="356" spans="2:9">
      <c r="B356" s="4"/>
      <c r="C356" s="4"/>
      <c r="D356" s="4"/>
      <c r="E356" s="4"/>
      <c r="F356" s="4"/>
      <c r="G356" s="4"/>
      <c r="H356" s="4"/>
      <c r="I356" s="4"/>
    </row>
    <row r="357" spans="2:9">
      <c r="B357" s="4"/>
      <c r="C357" s="4"/>
      <c r="D357" s="4"/>
      <c r="E357" s="4"/>
      <c r="F357" s="4"/>
      <c r="G357" s="4"/>
      <c r="H357" s="4"/>
      <c r="I357" s="4"/>
    </row>
    <row r="358" spans="2:9">
      <c r="B358" s="4"/>
      <c r="C358" s="4"/>
      <c r="D358" s="4"/>
      <c r="E358" s="4"/>
      <c r="F358" s="4"/>
      <c r="G358" s="4"/>
      <c r="H358" s="4"/>
      <c r="I358" s="4"/>
    </row>
    <row r="359" spans="2:9">
      <c r="B359" s="4"/>
      <c r="C359" s="4"/>
      <c r="D359" s="4"/>
      <c r="E359" s="4"/>
      <c r="F359" s="4"/>
      <c r="G359" s="4"/>
      <c r="H359" s="4"/>
      <c r="I359" s="4"/>
    </row>
    <row r="360" spans="2:9">
      <c r="B360" s="4"/>
      <c r="C360" s="4"/>
      <c r="D360" s="4"/>
      <c r="E360" s="4"/>
      <c r="F360" s="4"/>
      <c r="G360" s="4"/>
      <c r="H360" s="4"/>
      <c r="I360" s="4"/>
    </row>
    <row r="361" spans="2:9">
      <c r="B361" s="4"/>
      <c r="C361" s="4"/>
      <c r="D361" s="4"/>
      <c r="E361" s="4"/>
      <c r="F361" s="4"/>
      <c r="G361" s="4"/>
      <c r="H361" s="4"/>
      <c r="I361" s="4"/>
    </row>
    <row r="362" spans="2:9">
      <c r="B362" s="4"/>
      <c r="C362" s="4"/>
      <c r="D362" s="4"/>
      <c r="E362" s="4"/>
      <c r="F362" s="4"/>
      <c r="G362" s="4"/>
      <c r="H362" s="4"/>
      <c r="I362" s="4"/>
    </row>
    <row r="363" spans="2:9">
      <c r="B363" s="4"/>
      <c r="C363" s="4"/>
      <c r="D363" s="4"/>
      <c r="E363" s="4"/>
      <c r="F363" s="4"/>
      <c r="G363" s="4"/>
      <c r="H363" s="4"/>
      <c r="I363" s="4"/>
    </row>
    <row r="364" spans="2:9">
      <c r="B364" s="4"/>
      <c r="C364" s="4"/>
      <c r="D364" s="4"/>
      <c r="E364" s="4"/>
      <c r="F364" s="4"/>
      <c r="G364" s="4"/>
      <c r="H364" s="4"/>
      <c r="I364" s="4"/>
    </row>
    <row r="365" spans="2:9">
      <c r="B365" s="4"/>
      <c r="C365" s="4"/>
      <c r="D365" s="4"/>
      <c r="E365" s="4"/>
      <c r="F365" s="4"/>
      <c r="G365" s="4"/>
      <c r="H365" s="4"/>
      <c r="I365" s="4"/>
    </row>
    <row r="366" spans="2:9">
      <c r="B366" s="4"/>
      <c r="C366" s="4"/>
      <c r="D366" s="4"/>
      <c r="E366" s="4"/>
      <c r="F366" s="4"/>
      <c r="G366" s="4"/>
      <c r="H366" s="4"/>
      <c r="I366" s="4"/>
    </row>
    <row r="367" spans="2:9">
      <c r="B367" s="4"/>
      <c r="C367" s="4"/>
      <c r="D367" s="4"/>
      <c r="E367" s="4"/>
      <c r="F367" s="4"/>
      <c r="G367" s="4"/>
      <c r="H367" s="4"/>
      <c r="I367" s="4"/>
    </row>
    <row r="368" spans="2:9">
      <c r="B368" s="4"/>
      <c r="C368" s="4"/>
      <c r="D368" s="4"/>
      <c r="E368" s="4"/>
      <c r="F368" s="4"/>
      <c r="G368" s="4"/>
      <c r="H368" s="4"/>
      <c r="I368" s="4"/>
    </row>
    <row r="369" spans="2:9">
      <c r="B369" s="4"/>
      <c r="C369" s="4"/>
      <c r="D369" s="4"/>
      <c r="E369" s="4"/>
      <c r="F369" s="4"/>
      <c r="G369" s="4"/>
      <c r="H369" s="4"/>
      <c r="I369" s="4"/>
    </row>
    <row r="370" spans="2:9">
      <c r="B370" s="4"/>
      <c r="C370" s="4"/>
      <c r="D370" s="4"/>
      <c r="E370" s="4"/>
      <c r="F370" s="4"/>
      <c r="G370" s="4"/>
      <c r="H370" s="4"/>
      <c r="I370" s="4"/>
    </row>
    <row r="371" spans="2:9">
      <c r="B371" s="4"/>
      <c r="C371" s="4"/>
      <c r="D371" s="4"/>
      <c r="E371" s="4"/>
      <c r="F371" s="4"/>
      <c r="G371" s="4"/>
      <c r="H371" s="4"/>
      <c r="I371" s="4"/>
    </row>
    <row r="372" spans="2:9">
      <c r="B372" s="4"/>
      <c r="C372" s="4"/>
      <c r="D372" s="4"/>
      <c r="E372" s="4"/>
      <c r="F372" s="4"/>
      <c r="G372" s="4"/>
      <c r="H372" s="4"/>
      <c r="I372" s="4"/>
    </row>
    <row r="373" spans="2:9">
      <c r="B373" s="4"/>
      <c r="C373" s="4"/>
      <c r="D373" s="4"/>
      <c r="E373" s="4"/>
      <c r="F373" s="4"/>
      <c r="G373" s="4"/>
      <c r="H373" s="4"/>
      <c r="I373" s="4"/>
    </row>
    <row r="374" spans="2:9">
      <c r="B374" s="4"/>
      <c r="C374" s="4"/>
      <c r="D374" s="4"/>
      <c r="E374" s="4"/>
      <c r="F374" s="4"/>
      <c r="G374" s="4"/>
      <c r="H374" s="4"/>
      <c r="I374" s="4"/>
    </row>
    <row r="375" spans="2:9">
      <c r="B375" s="4"/>
      <c r="C375" s="4"/>
      <c r="D375" s="4"/>
      <c r="E375" s="4"/>
      <c r="F375" s="4"/>
      <c r="G375" s="4"/>
      <c r="H375" s="4"/>
      <c r="I375" s="4"/>
    </row>
    <row r="376" spans="2:9">
      <c r="B376" s="4"/>
      <c r="C376" s="4"/>
      <c r="D376" s="4"/>
      <c r="E376" s="4"/>
      <c r="F376" s="4"/>
      <c r="G376" s="4"/>
      <c r="H376" s="4"/>
      <c r="I376" s="4"/>
    </row>
    <row r="377" spans="2:9">
      <c r="B377" s="4"/>
      <c r="C377" s="4"/>
      <c r="D377" s="4"/>
      <c r="E377" s="4"/>
      <c r="F377" s="4"/>
      <c r="G377" s="4"/>
      <c r="H377" s="4"/>
      <c r="I377" s="4"/>
    </row>
    <row r="378" spans="2:9">
      <c r="B378" s="4"/>
      <c r="C378" s="4"/>
      <c r="D378" s="4"/>
      <c r="E378" s="4"/>
      <c r="F378" s="4"/>
      <c r="G378" s="4"/>
      <c r="H378" s="4"/>
      <c r="I378" s="4"/>
    </row>
    <row r="379" spans="2:9">
      <c r="B379" s="4"/>
      <c r="C379" s="4"/>
      <c r="D379" s="4"/>
      <c r="E379" s="4"/>
      <c r="F379" s="4"/>
      <c r="G379" s="4"/>
      <c r="H379" s="4"/>
      <c r="I379" s="4"/>
    </row>
    <row r="380" spans="2:9">
      <c r="B380" s="4"/>
      <c r="C380" s="4"/>
      <c r="D380" s="4"/>
      <c r="E380" s="4"/>
      <c r="F380" s="4"/>
      <c r="G380" s="4"/>
      <c r="H380" s="4"/>
      <c r="I380" s="4"/>
    </row>
    <row r="381" spans="2:9">
      <c r="B381" s="4"/>
      <c r="C381" s="4"/>
      <c r="D381" s="4"/>
      <c r="E381" s="4"/>
      <c r="F381" s="4"/>
      <c r="G381" s="4"/>
      <c r="H381" s="4"/>
      <c r="I381" s="4"/>
    </row>
    <row r="382" spans="2:9">
      <c r="B382" s="4"/>
      <c r="C382" s="4"/>
      <c r="D382" s="4"/>
      <c r="E382" s="4"/>
      <c r="F382" s="4"/>
      <c r="G382" s="4"/>
      <c r="H382" s="4"/>
      <c r="I382" s="4"/>
    </row>
    <row r="383" spans="2:9">
      <c r="B383" s="4"/>
      <c r="C383" s="4"/>
      <c r="D383" s="4"/>
      <c r="E383" s="4"/>
      <c r="F383" s="4"/>
      <c r="G383" s="4"/>
      <c r="H383" s="4"/>
      <c r="I383" s="4"/>
    </row>
    <row r="384" spans="2:9">
      <c r="B384" s="4"/>
      <c r="C384" s="4"/>
      <c r="D384" s="4"/>
      <c r="E384" s="4"/>
      <c r="F384" s="4"/>
      <c r="G384" s="4"/>
      <c r="H384" s="4"/>
      <c r="I384" s="4"/>
    </row>
    <row r="385" spans="2:9">
      <c r="B385" s="4"/>
      <c r="C385" s="4"/>
      <c r="D385" s="4"/>
      <c r="E385" s="4"/>
      <c r="F385" s="4"/>
      <c r="G385" s="4"/>
      <c r="H385" s="4"/>
      <c r="I385" s="4"/>
    </row>
    <row r="386" spans="2:9">
      <c r="B386" s="4"/>
      <c r="C386" s="4"/>
      <c r="D386" s="4"/>
      <c r="E386" s="4"/>
      <c r="F386" s="4"/>
      <c r="G386" s="4"/>
      <c r="H386" s="4"/>
      <c r="I386" s="4"/>
    </row>
    <row r="387" spans="2:9">
      <c r="B387" s="4"/>
      <c r="C387" s="4"/>
      <c r="D387" s="4"/>
      <c r="E387" s="4"/>
      <c r="F387" s="4"/>
      <c r="G387" s="4"/>
      <c r="H387" s="4"/>
      <c r="I387" s="4"/>
    </row>
    <row r="388" spans="2:9">
      <c r="B388" s="4"/>
      <c r="C388" s="4"/>
      <c r="D388" s="4"/>
      <c r="E388" s="4"/>
      <c r="F388" s="4"/>
      <c r="G388" s="4"/>
      <c r="H388" s="4"/>
      <c r="I388" s="4"/>
    </row>
    <row r="389" spans="2:9">
      <c r="B389" s="4"/>
      <c r="C389" s="4"/>
      <c r="D389" s="4"/>
      <c r="E389" s="4"/>
      <c r="F389" s="4"/>
      <c r="G389" s="4"/>
      <c r="H389" s="4"/>
      <c r="I389" s="4"/>
    </row>
    <row r="390" spans="2:9">
      <c r="B390" s="4"/>
      <c r="C390" s="4"/>
      <c r="D390" s="4"/>
      <c r="E390" s="4"/>
      <c r="F390" s="4"/>
      <c r="G390" s="4"/>
      <c r="H390" s="4"/>
      <c r="I390" s="4"/>
    </row>
    <row r="391" spans="2:9">
      <c r="B391" s="4"/>
      <c r="C391" s="4"/>
      <c r="D391" s="4"/>
      <c r="E391" s="4"/>
      <c r="F391" s="4"/>
      <c r="G391" s="4"/>
      <c r="H391" s="4"/>
      <c r="I391" s="4"/>
    </row>
    <row r="392" spans="2:9">
      <c r="B392" s="4"/>
      <c r="C392" s="4"/>
      <c r="D392" s="4"/>
      <c r="E392" s="4"/>
      <c r="F392" s="4"/>
      <c r="G392" s="4"/>
      <c r="H392" s="4"/>
      <c r="I392" s="4"/>
    </row>
    <row r="393" spans="2:9">
      <c r="B393" s="4"/>
      <c r="C393" s="4"/>
      <c r="D393" s="4"/>
      <c r="E393" s="4"/>
      <c r="F393" s="4"/>
      <c r="G393" s="4"/>
      <c r="H393" s="4"/>
      <c r="I393" s="4"/>
    </row>
    <row r="394" spans="2:9">
      <c r="B394" s="4"/>
      <c r="C394" s="4"/>
      <c r="D394" s="4"/>
      <c r="E394" s="4"/>
      <c r="F394" s="4"/>
      <c r="G394" s="4"/>
      <c r="H394" s="4"/>
      <c r="I394" s="4"/>
    </row>
    <row r="395" spans="2:9">
      <c r="B395" s="4"/>
      <c r="C395" s="4"/>
      <c r="D395" s="4"/>
      <c r="E395" s="4"/>
      <c r="F395" s="4"/>
      <c r="G395" s="4"/>
      <c r="H395" s="4"/>
      <c r="I395" s="4"/>
    </row>
    <row r="396" spans="2:9">
      <c r="B396" s="4"/>
      <c r="C396" s="4"/>
      <c r="D396" s="4"/>
      <c r="E396" s="4"/>
      <c r="F396" s="4"/>
      <c r="G396" s="4"/>
      <c r="H396" s="4"/>
      <c r="I396" s="4"/>
    </row>
    <row r="397" spans="2:9">
      <c r="B397" s="4"/>
      <c r="C397" s="4"/>
      <c r="D397" s="4"/>
      <c r="E397" s="4"/>
      <c r="F397" s="4"/>
      <c r="G397" s="4"/>
      <c r="H397" s="4"/>
      <c r="I397" s="4"/>
    </row>
    <row r="398" spans="2:9">
      <c r="B398" s="4"/>
      <c r="C398" s="4"/>
      <c r="D398" s="4"/>
      <c r="E398" s="4"/>
      <c r="F398" s="4"/>
      <c r="G398" s="4"/>
      <c r="H398" s="4"/>
      <c r="I398" s="4"/>
    </row>
    <row r="399" spans="2:9">
      <c r="B399" s="4"/>
      <c r="C399" s="4"/>
      <c r="D399" s="4"/>
      <c r="E399" s="4"/>
      <c r="F399" s="4"/>
      <c r="G399" s="4"/>
      <c r="H399" s="4"/>
      <c r="I399" s="4"/>
    </row>
    <row r="400" spans="2:9">
      <c r="B400" s="4"/>
      <c r="C400" s="4"/>
      <c r="D400" s="4"/>
      <c r="E400" s="4"/>
      <c r="F400" s="4"/>
      <c r="G400" s="4"/>
      <c r="H400" s="4"/>
      <c r="I400" s="4"/>
    </row>
    <row r="401" spans="2:9">
      <c r="B401" s="4"/>
      <c r="C401" s="4"/>
      <c r="D401" s="4"/>
      <c r="E401" s="4"/>
      <c r="F401" s="4"/>
      <c r="G401" s="4"/>
      <c r="H401" s="4"/>
      <c r="I401" s="4"/>
    </row>
    <row r="402" spans="2:9">
      <c r="B402" s="4"/>
      <c r="C402" s="4"/>
      <c r="D402" s="4"/>
      <c r="E402" s="4"/>
      <c r="F402" s="4"/>
      <c r="G402" s="4"/>
      <c r="H402" s="4"/>
      <c r="I402" s="4"/>
    </row>
    <row r="403" spans="2:9">
      <c r="B403" s="4"/>
      <c r="C403" s="4"/>
      <c r="D403" s="4"/>
      <c r="E403" s="4"/>
      <c r="F403" s="4"/>
      <c r="G403" s="4"/>
      <c r="H403" s="4"/>
      <c r="I403" s="4"/>
    </row>
    <row r="404" spans="2:9">
      <c r="B404" s="4"/>
      <c r="C404" s="4"/>
      <c r="D404" s="4"/>
      <c r="E404" s="4"/>
      <c r="F404" s="4"/>
      <c r="G404" s="4"/>
      <c r="H404" s="4"/>
      <c r="I404" s="4"/>
    </row>
    <row r="405" spans="2:9">
      <c r="B405" s="4"/>
      <c r="C405" s="4"/>
      <c r="D405" s="4"/>
      <c r="E405" s="4"/>
      <c r="F405" s="4"/>
      <c r="G405" s="4"/>
      <c r="H405" s="4"/>
      <c r="I405" s="4"/>
    </row>
    <row r="406" spans="2:9">
      <c r="B406" s="4"/>
      <c r="C406" s="4"/>
      <c r="D406" s="4"/>
      <c r="E406" s="4"/>
      <c r="F406" s="4"/>
      <c r="G406" s="4"/>
      <c r="H406" s="4"/>
      <c r="I406" s="4"/>
    </row>
    <row r="407" spans="2:9">
      <c r="B407" s="4"/>
      <c r="C407" s="4"/>
      <c r="D407" s="4"/>
      <c r="E407" s="4"/>
      <c r="F407" s="4"/>
      <c r="G407" s="4"/>
      <c r="H407" s="4"/>
      <c r="I407" s="4"/>
    </row>
    <row r="408" spans="2:9">
      <c r="B408" s="4"/>
      <c r="C408" s="4"/>
      <c r="D408" s="4"/>
      <c r="E408" s="4"/>
      <c r="F408" s="4"/>
      <c r="G408" s="4"/>
      <c r="H408" s="4"/>
      <c r="I408" s="4"/>
    </row>
    <row r="409" spans="2:9">
      <c r="B409" s="4"/>
      <c r="C409" s="4"/>
      <c r="D409" s="4"/>
      <c r="E409" s="4"/>
      <c r="F409" s="4"/>
      <c r="G409" s="4"/>
      <c r="H409" s="4"/>
      <c r="I409" s="4"/>
    </row>
    <row r="410" spans="2:9">
      <c r="B410" s="4"/>
      <c r="C410" s="4"/>
      <c r="D410" s="4"/>
      <c r="E410" s="4"/>
      <c r="F410" s="4"/>
      <c r="G410" s="4"/>
      <c r="H410" s="4"/>
      <c r="I410" s="4"/>
    </row>
    <row r="411" spans="2:9">
      <c r="B411" s="4"/>
      <c r="C411" s="4"/>
      <c r="D411" s="4"/>
      <c r="E411" s="4"/>
      <c r="F411" s="4"/>
      <c r="G411" s="4"/>
      <c r="H411" s="4"/>
      <c r="I411" s="4"/>
    </row>
    <row r="412" spans="2:9">
      <c r="B412" s="4"/>
      <c r="C412" s="4"/>
      <c r="D412" s="4"/>
      <c r="E412" s="4"/>
      <c r="F412" s="4"/>
      <c r="G412" s="4"/>
      <c r="H412" s="4"/>
      <c r="I412" s="4"/>
    </row>
    <row r="413" spans="2:9">
      <c r="B413" s="4"/>
      <c r="C413" s="4"/>
      <c r="D413" s="4"/>
      <c r="E413" s="4"/>
      <c r="F413" s="4"/>
      <c r="G413" s="4"/>
      <c r="H413" s="4"/>
      <c r="I413" s="4"/>
    </row>
    <row r="414" spans="2:9">
      <c r="B414" s="4"/>
      <c r="C414" s="4"/>
      <c r="D414" s="4"/>
      <c r="E414" s="4"/>
      <c r="F414" s="4"/>
      <c r="G414" s="4"/>
      <c r="H414" s="4"/>
      <c r="I414" s="4"/>
    </row>
    <row r="415" spans="2:9">
      <c r="B415" s="4"/>
      <c r="C415" s="4"/>
      <c r="D415" s="4"/>
      <c r="E415" s="4"/>
      <c r="F415" s="4"/>
      <c r="G415" s="4"/>
      <c r="H415" s="4"/>
      <c r="I415" s="4"/>
    </row>
    <row r="416" spans="2:9">
      <c r="B416" s="4"/>
      <c r="C416" s="4"/>
      <c r="D416" s="4"/>
      <c r="E416" s="4"/>
      <c r="F416" s="4"/>
      <c r="G416" s="4"/>
      <c r="H416" s="4"/>
      <c r="I416" s="4"/>
    </row>
    <row r="417" spans="2:9">
      <c r="B417" s="4"/>
      <c r="C417" s="4"/>
      <c r="D417" s="4"/>
      <c r="E417" s="4"/>
      <c r="F417" s="4"/>
      <c r="G417" s="4"/>
      <c r="H417" s="4"/>
      <c r="I417" s="4"/>
    </row>
    <row r="418" spans="2:9">
      <c r="B418" s="4"/>
      <c r="C418" s="4"/>
      <c r="D418" s="4"/>
      <c r="E418" s="4"/>
      <c r="F418" s="4"/>
      <c r="G418" s="4"/>
      <c r="H418" s="4"/>
      <c r="I418" s="4"/>
    </row>
    <row r="419" spans="2:9">
      <c r="B419" s="4"/>
      <c r="C419" s="4"/>
      <c r="D419" s="4"/>
      <c r="E419" s="4"/>
      <c r="F419" s="4"/>
      <c r="G419" s="4"/>
      <c r="H419" s="4"/>
      <c r="I419" s="4"/>
    </row>
    <row r="420" spans="2:9">
      <c r="B420" s="4"/>
      <c r="C420" s="4"/>
      <c r="D420" s="4"/>
      <c r="E420" s="4"/>
      <c r="F420" s="4"/>
      <c r="G420" s="4"/>
      <c r="H420" s="4"/>
      <c r="I420" s="4"/>
    </row>
    <row r="421" spans="2:9">
      <c r="B421" s="4"/>
      <c r="C421" s="4"/>
      <c r="D421" s="4"/>
      <c r="E421" s="4"/>
      <c r="F421" s="4"/>
      <c r="G421" s="4"/>
      <c r="H421" s="4"/>
      <c r="I421" s="4"/>
    </row>
    <row r="422" spans="2:9">
      <c r="B422" s="4"/>
      <c r="C422" s="4"/>
      <c r="D422" s="4"/>
      <c r="E422" s="4"/>
      <c r="F422" s="4"/>
      <c r="G422" s="4"/>
      <c r="H422" s="4"/>
      <c r="I422" s="4"/>
    </row>
    <row r="423" spans="2:9">
      <c r="B423" s="4"/>
      <c r="C423" s="4"/>
      <c r="D423" s="4"/>
      <c r="E423" s="4"/>
      <c r="F423" s="4"/>
      <c r="G423" s="4"/>
      <c r="H423" s="4"/>
      <c r="I423" s="4"/>
    </row>
    <row r="424" spans="2:9">
      <c r="B424" s="4"/>
      <c r="C424" s="4"/>
      <c r="D424" s="4"/>
      <c r="E424" s="4"/>
      <c r="F424" s="4"/>
      <c r="G424" s="4"/>
      <c r="H424" s="4"/>
      <c r="I424" s="4"/>
    </row>
    <row r="425" spans="2:9">
      <c r="B425" s="4"/>
      <c r="C425" s="4"/>
      <c r="D425" s="4"/>
      <c r="E425" s="4"/>
      <c r="F425" s="4"/>
      <c r="G425" s="4"/>
      <c r="H425" s="4"/>
      <c r="I425" s="4"/>
    </row>
    <row r="426" spans="2:9">
      <c r="B426" s="4"/>
      <c r="C426" s="4"/>
      <c r="D426" s="4"/>
      <c r="E426" s="4"/>
      <c r="F426" s="4"/>
      <c r="G426" s="4"/>
      <c r="H426" s="4"/>
      <c r="I426" s="4"/>
    </row>
    <row r="427" spans="2:9">
      <c r="B427" s="4"/>
      <c r="C427" s="4"/>
      <c r="D427" s="4"/>
      <c r="E427" s="4"/>
      <c r="F427" s="4"/>
      <c r="G427" s="4"/>
      <c r="H427" s="4"/>
      <c r="I427" s="4"/>
    </row>
    <row r="428" spans="2:9">
      <c r="B428" s="4"/>
      <c r="C428" s="4"/>
      <c r="D428" s="4"/>
      <c r="E428" s="4"/>
      <c r="F428" s="4"/>
      <c r="G428" s="4"/>
      <c r="H428" s="4"/>
      <c r="I428" s="4"/>
    </row>
    <row r="429" spans="2:9">
      <c r="B429" s="4"/>
      <c r="C429" s="4"/>
      <c r="D429" s="4"/>
      <c r="E429" s="4"/>
      <c r="F429" s="4"/>
      <c r="G429" s="4"/>
      <c r="H429" s="4"/>
      <c r="I429" s="4"/>
    </row>
    <row r="430" spans="2:9">
      <c r="B430" s="4"/>
      <c r="C430" s="4"/>
      <c r="D430" s="4"/>
      <c r="E430" s="4"/>
      <c r="F430" s="4"/>
      <c r="G430" s="4"/>
      <c r="H430" s="4"/>
      <c r="I430" s="4"/>
    </row>
    <row r="431" spans="2:9">
      <c r="B431" s="4"/>
      <c r="C431" s="4"/>
      <c r="D431" s="4"/>
      <c r="E431" s="4"/>
      <c r="F431" s="4"/>
      <c r="G431" s="4"/>
      <c r="H431" s="4"/>
      <c r="I431" s="4"/>
    </row>
    <row r="432" spans="2:9">
      <c r="B432" s="4"/>
      <c r="C432" s="4"/>
      <c r="D432" s="4"/>
      <c r="E432" s="4"/>
      <c r="F432" s="4"/>
      <c r="G432" s="4"/>
      <c r="H432" s="4"/>
      <c r="I432" s="4"/>
    </row>
    <row r="433" spans="2:9">
      <c r="B433" s="4"/>
      <c r="C433" s="4"/>
      <c r="D433" s="4"/>
      <c r="E433" s="4"/>
      <c r="F433" s="4"/>
      <c r="G433" s="4"/>
      <c r="H433" s="4"/>
      <c r="I433" s="4"/>
    </row>
    <row r="434" spans="2:9">
      <c r="B434" s="4"/>
      <c r="C434" s="4"/>
      <c r="D434" s="4"/>
      <c r="E434" s="4"/>
      <c r="F434" s="4"/>
      <c r="G434" s="4"/>
      <c r="H434" s="4"/>
      <c r="I434" s="4"/>
    </row>
    <row r="435" spans="2:9">
      <c r="B435" s="4"/>
      <c r="C435" s="4"/>
      <c r="D435" s="4"/>
      <c r="E435" s="4"/>
      <c r="F435" s="4"/>
      <c r="G435" s="4"/>
      <c r="H435" s="4"/>
      <c r="I435" s="4"/>
    </row>
    <row r="436" spans="2:9">
      <c r="B436" s="4"/>
      <c r="C436" s="4"/>
      <c r="D436" s="4"/>
      <c r="E436" s="4"/>
      <c r="F436" s="4"/>
      <c r="G436" s="4"/>
      <c r="H436" s="4"/>
      <c r="I436" s="4"/>
    </row>
    <row r="437" spans="2:9">
      <c r="B437" s="4"/>
      <c r="C437" s="4"/>
      <c r="D437" s="4"/>
      <c r="E437" s="4"/>
      <c r="F437" s="4"/>
      <c r="G437" s="4"/>
      <c r="H437" s="4"/>
      <c r="I437" s="4"/>
    </row>
    <row r="438" spans="2:9">
      <c r="B438" s="4"/>
      <c r="C438" s="4"/>
      <c r="D438" s="4"/>
      <c r="E438" s="4"/>
      <c r="F438" s="4"/>
      <c r="G438" s="4"/>
      <c r="H438" s="4"/>
      <c r="I438" s="4"/>
    </row>
    <row r="439" spans="2:9">
      <c r="B439" s="4"/>
      <c r="C439" s="4"/>
      <c r="D439" s="4"/>
      <c r="E439" s="4"/>
      <c r="F439" s="4"/>
      <c r="G439" s="4"/>
      <c r="H439" s="4"/>
      <c r="I439" s="4"/>
    </row>
    <row r="440" spans="2:9">
      <c r="B440" s="4"/>
      <c r="C440" s="4"/>
      <c r="D440" s="4"/>
      <c r="E440" s="4"/>
      <c r="F440" s="4"/>
      <c r="G440" s="4"/>
      <c r="H440" s="4"/>
      <c r="I440" s="4"/>
    </row>
    <row r="441" spans="2:9">
      <c r="B441" s="4"/>
      <c r="C441" s="4"/>
      <c r="D441" s="4"/>
      <c r="E441" s="4"/>
      <c r="F441" s="4"/>
      <c r="G441" s="4"/>
      <c r="H441" s="4"/>
      <c r="I441" s="4"/>
    </row>
    <row r="442" spans="2:9">
      <c r="B442" s="4"/>
      <c r="C442" s="4"/>
      <c r="D442" s="4"/>
      <c r="E442" s="4"/>
      <c r="F442" s="4"/>
      <c r="G442" s="4"/>
      <c r="H442" s="4"/>
      <c r="I442" s="4"/>
    </row>
    <row r="443" spans="2:9">
      <c r="B443" s="4"/>
      <c r="C443" s="4"/>
      <c r="D443" s="4"/>
      <c r="E443" s="4"/>
      <c r="F443" s="4"/>
      <c r="G443" s="4"/>
      <c r="H443" s="4"/>
      <c r="I443" s="4"/>
    </row>
    <row r="444" spans="2:9">
      <c r="B444" s="4"/>
      <c r="C444" s="4"/>
      <c r="D444" s="4"/>
      <c r="E444" s="4"/>
      <c r="F444" s="4"/>
      <c r="G444" s="4"/>
      <c r="H444" s="4"/>
      <c r="I444" s="4"/>
    </row>
    <row r="445" spans="2:9">
      <c r="B445" s="4"/>
      <c r="C445" s="4"/>
      <c r="D445" s="4"/>
      <c r="E445" s="4"/>
      <c r="F445" s="4"/>
      <c r="G445" s="4"/>
      <c r="H445" s="4"/>
      <c r="I445" s="4"/>
    </row>
    <row r="446" spans="2:9">
      <c r="B446" s="4"/>
      <c r="C446" s="4"/>
      <c r="D446" s="4"/>
      <c r="E446" s="4"/>
      <c r="F446" s="4"/>
      <c r="G446" s="4"/>
      <c r="H446" s="4"/>
      <c r="I446" s="4"/>
    </row>
    <row r="447" spans="2:9">
      <c r="B447" s="4"/>
      <c r="C447" s="4"/>
      <c r="D447" s="4"/>
      <c r="E447" s="4"/>
      <c r="F447" s="4"/>
      <c r="G447" s="4"/>
      <c r="H447" s="4"/>
      <c r="I447" s="4"/>
    </row>
    <row r="448" spans="2:9">
      <c r="B448" s="4"/>
      <c r="C448" s="4"/>
      <c r="D448" s="4"/>
      <c r="E448" s="4"/>
      <c r="F448" s="4"/>
      <c r="G448" s="4"/>
      <c r="H448" s="4"/>
      <c r="I448" s="4"/>
    </row>
    <row r="449" spans="2:9">
      <c r="B449" s="4"/>
      <c r="C449" s="4"/>
      <c r="D449" s="4"/>
      <c r="E449" s="4"/>
      <c r="F449" s="4"/>
      <c r="G449" s="4"/>
      <c r="H449" s="4"/>
      <c r="I449" s="4"/>
    </row>
    <row r="450" spans="2:9">
      <c r="B450" s="4"/>
      <c r="C450" s="4"/>
      <c r="D450" s="4"/>
      <c r="E450" s="4"/>
      <c r="F450" s="4"/>
      <c r="G450" s="4"/>
      <c r="H450" s="4"/>
      <c r="I450" s="4"/>
    </row>
    <row r="451" spans="2:9">
      <c r="B451" s="4"/>
      <c r="C451" s="4"/>
      <c r="D451" s="4"/>
      <c r="E451" s="4"/>
      <c r="F451" s="4"/>
      <c r="G451" s="4"/>
      <c r="H451" s="4"/>
      <c r="I451" s="4"/>
    </row>
    <row r="452" spans="2:9">
      <c r="B452" s="4"/>
      <c r="C452" s="4"/>
      <c r="D452" s="4"/>
      <c r="E452" s="4"/>
      <c r="F452" s="4"/>
      <c r="G452" s="4"/>
      <c r="H452" s="4"/>
      <c r="I452" s="4"/>
    </row>
    <row r="453" spans="2:9">
      <c r="B453" s="4"/>
      <c r="C453" s="4"/>
      <c r="D453" s="4"/>
      <c r="E453" s="4"/>
      <c r="F453" s="4"/>
      <c r="G453" s="4"/>
      <c r="H453" s="4"/>
      <c r="I453" s="4"/>
    </row>
    <row r="454" spans="2:9">
      <c r="B454" s="4"/>
      <c r="C454" s="4"/>
      <c r="D454" s="4"/>
      <c r="E454" s="4"/>
      <c r="F454" s="4"/>
      <c r="G454" s="4"/>
      <c r="H454" s="4"/>
      <c r="I454" s="4"/>
    </row>
    <row r="455" spans="2:9">
      <c r="B455" s="4"/>
      <c r="C455" s="4"/>
      <c r="D455" s="4"/>
      <c r="E455" s="4"/>
      <c r="F455" s="4"/>
      <c r="G455" s="4"/>
      <c r="H455" s="4"/>
      <c r="I455" s="4"/>
    </row>
    <row r="456" spans="2:9">
      <c r="B456" s="4"/>
      <c r="C456" s="4"/>
      <c r="D456" s="4"/>
      <c r="E456" s="4"/>
      <c r="F456" s="4"/>
      <c r="G456" s="4"/>
      <c r="H456" s="4"/>
      <c r="I456" s="4"/>
    </row>
    <row r="457" spans="2:9">
      <c r="B457" s="4"/>
      <c r="C457" s="4"/>
      <c r="D457" s="4"/>
      <c r="E457" s="4"/>
      <c r="F457" s="4"/>
      <c r="G457" s="4"/>
      <c r="H457" s="4"/>
      <c r="I457" s="4"/>
    </row>
    <row r="458" spans="2:9">
      <c r="B458" s="4"/>
      <c r="C458" s="4"/>
      <c r="D458" s="4"/>
      <c r="E458" s="4"/>
      <c r="F458" s="4"/>
      <c r="G458" s="4"/>
      <c r="H458" s="4"/>
      <c r="I458" s="4"/>
    </row>
    <row r="459" spans="2:9">
      <c r="B459" s="4"/>
      <c r="C459" s="4"/>
      <c r="D459" s="4"/>
      <c r="E459" s="4"/>
      <c r="F459" s="4"/>
      <c r="G459" s="4"/>
      <c r="H459" s="4"/>
      <c r="I459" s="4"/>
    </row>
    <row r="460" spans="2:9">
      <c r="B460" s="4"/>
      <c r="C460" s="4"/>
      <c r="D460" s="4"/>
      <c r="E460" s="4"/>
      <c r="F460" s="4"/>
      <c r="G460" s="4"/>
      <c r="H460" s="4"/>
      <c r="I460" s="4"/>
    </row>
    <row r="461" spans="2:9">
      <c r="B461" s="4"/>
      <c r="C461" s="4"/>
      <c r="D461" s="4"/>
      <c r="E461" s="4"/>
      <c r="F461" s="4"/>
      <c r="G461" s="4"/>
      <c r="H461" s="4"/>
      <c r="I461" s="4"/>
    </row>
    <row r="462" spans="2:9">
      <c r="B462" s="4"/>
      <c r="C462" s="4"/>
      <c r="D462" s="4"/>
      <c r="E462" s="4"/>
      <c r="F462" s="4"/>
      <c r="G462" s="4"/>
      <c r="H462" s="4"/>
      <c r="I462" s="4"/>
    </row>
    <row r="463" spans="2:9">
      <c r="B463" s="4"/>
      <c r="C463" s="4"/>
      <c r="D463" s="4"/>
      <c r="E463" s="4"/>
      <c r="F463" s="4"/>
      <c r="G463" s="4"/>
      <c r="H463" s="4"/>
      <c r="I463" s="4"/>
    </row>
    <row r="464" spans="2:9">
      <c r="B464" s="4"/>
      <c r="C464" s="4"/>
      <c r="D464" s="4"/>
      <c r="E464" s="4"/>
      <c r="F464" s="4"/>
      <c r="G464" s="4"/>
      <c r="H464" s="4"/>
      <c r="I464" s="4"/>
    </row>
    <row r="465" spans="2:9">
      <c r="B465" s="4"/>
      <c r="C465" s="4"/>
      <c r="D465" s="4"/>
      <c r="E465" s="4"/>
      <c r="F465" s="4"/>
      <c r="G465" s="4"/>
      <c r="H465" s="4"/>
      <c r="I465" s="4"/>
    </row>
    <row r="466" spans="2:9">
      <c r="B466" s="4"/>
      <c r="C466" s="4"/>
      <c r="D466" s="4"/>
      <c r="E466" s="4"/>
      <c r="F466" s="4"/>
      <c r="G466" s="4"/>
      <c r="H466" s="4"/>
      <c r="I466" s="4"/>
    </row>
    <row r="467" spans="2:9">
      <c r="B467" s="4"/>
      <c r="C467" s="4"/>
      <c r="D467" s="4"/>
      <c r="E467" s="4"/>
      <c r="F467" s="4"/>
      <c r="G467" s="4"/>
      <c r="H467" s="4"/>
      <c r="I467" s="4"/>
    </row>
    <row r="468" spans="2:9">
      <c r="B468" s="4"/>
      <c r="C468" s="4"/>
      <c r="D468" s="4"/>
      <c r="E468" s="4"/>
      <c r="F468" s="4"/>
      <c r="G468" s="4"/>
      <c r="H468" s="4"/>
      <c r="I468" s="4"/>
    </row>
    <row r="469" spans="2:9">
      <c r="B469" s="4"/>
      <c r="C469" s="4"/>
      <c r="D469" s="4"/>
      <c r="E469" s="4"/>
      <c r="F469" s="4"/>
      <c r="G469" s="4"/>
      <c r="H469" s="4"/>
      <c r="I469" s="4"/>
    </row>
    <row r="470" spans="2:9">
      <c r="B470" s="4"/>
      <c r="C470" s="4"/>
      <c r="D470" s="4"/>
      <c r="E470" s="4"/>
      <c r="F470" s="4"/>
      <c r="G470" s="4"/>
      <c r="H470" s="4"/>
      <c r="I470" s="4"/>
    </row>
    <row r="471" spans="2:9">
      <c r="B471" s="4"/>
      <c r="C471" s="4"/>
      <c r="D471" s="4"/>
      <c r="E471" s="4"/>
      <c r="F471" s="4"/>
      <c r="G471" s="4"/>
      <c r="H471" s="4"/>
      <c r="I471" s="4"/>
    </row>
    <row r="472" spans="2:9">
      <c r="B472" s="4"/>
      <c r="C472" s="4"/>
      <c r="D472" s="4"/>
      <c r="E472" s="4"/>
      <c r="F472" s="4"/>
      <c r="G472" s="4"/>
      <c r="H472" s="4"/>
      <c r="I472" s="4"/>
    </row>
    <row r="473" spans="2:9">
      <c r="B473" s="4"/>
      <c r="C473" s="4"/>
      <c r="D473" s="4"/>
      <c r="E473" s="4"/>
      <c r="F473" s="4"/>
      <c r="G473" s="4"/>
      <c r="H473" s="4"/>
      <c r="I473" s="4"/>
    </row>
    <row r="474" spans="2:9">
      <c r="B474" s="4"/>
      <c r="C474" s="4"/>
      <c r="D474" s="4"/>
      <c r="E474" s="4"/>
      <c r="F474" s="4"/>
      <c r="G474" s="4"/>
      <c r="H474" s="4"/>
      <c r="I474" s="4"/>
    </row>
    <row r="475" spans="2:9">
      <c r="B475" s="4"/>
      <c r="C475" s="4"/>
      <c r="D475" s="4"/>
      <c r="E475" s="4"/>
      <c r="F475" s="4"/>
      <c r="G475" s="4"/>
      <c r="H475" s="4"/>
      <c r="I475" s="4"/>
    </row>
    <row r="476" spans="2:9">
      <c r="B476" s="4"/>
      <c r="C476" s="4"/>
      <c r="D476" s="4"/>
      <c r="E476" s="4"/>
      <c r="F476" s="4"/>
      <c r="G476" s="4"/>
      <c r="H476" s="4"/>
      <c r="I476" s="4"/>
    </row>
    <row r="477" spans="2:9">
      <c r="B477" s="4"/>
      <c r="C477" s="4"/>
      <c r="D477" s="4"/>
      <c r="E477" s="4"/>
      <c r="F477" s="4"/>
      <c r="G477" s="4"/>
      <c r="H477" s="4"/>
      <c r="I477" s="4"/>
    </row>
    <row r="478" spans="2:9">
      <c r="B478" s="4"/>
      <c r="C478" s="4"/>
      <c r="D478" s="4"/>
      <c r="E478" s="4"/>
      <c r="F478" s="4"/>
      <c r="G478" s="4"/>
      <c r="H478" s="4"/>
      <c r="I478" s="4"/>
    </row>
    <row r="479" spans="2:9">
      <c r="B479" s="4"/>
      <c r="C479" s="4"/>
      <c r="D479" s="4"/>
      <c r="E479" s="4"/>
      <c r="F479" s="4"/>
      <c r="G479" s="4"/>
      <c r="H479" s="4"/>
      <c r="I479" s="4"/>
    </row>
    <row r="480" spans="2:9">
      <c r="B480" s="4"/>
      <c r="C480" s="4"/>
      <c r="D480" s="4"/>
      <c r="E480" s="4"/>
      <c r="F480" s="4"/>
      <c r="G480" s="4"/>
      <c r="H480" s="4"/>
      <c r="I480" s="4"/>
    </row>
    <row r="481" spans="2:9">
      <c r="B481" s="4"/>
      <c r="C481" s="4"/>
      <c r="D481" s="4"/>
      <c r="E481" s="4"/>
      <c r="F481" s="4"/>
      <c r="G481" s="4"/>
      <c r="H481" s="4"/>
      <c r="I481" s="4"/>
    </row>
    <row r="482" spans="2:9">
      <c r="B482" s="4"/>
      <c r="C482" s="4"/>
      <c r="D482" s="4"/>
      <c r="E482" s="4"/>
      <c r="F482" s="4"/>
      <c r="G482" s="4"/>
      <c r="H482" s="4"/>
      <c r="I482" s="4"/>
    </row>
    <row r="483" spans="2:9">
      <c r="B483" s="4"/>
      <c r="C483" s="4"/>
      <c r="D483" s="4"/>
      <c r="E483" s="4"/>
      <c r="F483" s="4"/>
      <c r="G483" s="4"/>
      <c r="H483" s="4"/>
      <c r="I483" s="4"/>
    </row>
    <row r="484" spans="2:9">
      <c r="B484" s="4"/>
      <c r="C484" s="4"/>
      <c r="D484" s="4"/>
      <c r="E484" s="4"/>
      <c r="F484" s="4"/>
      <c r="G484" s="4"/>
      <c r="H484" s="4"/>
      <c r="I484" s="4"/>
    </row>
    <row r="485" spans="2:9">
      <c r="B485" s="4"/>
      <c r="C485" s="4"/>
      <c r="D485" s="4"/>
      <c r="E485" s="4"/>
      <c r="F485" s="4"/>
      <c r="G485" s="4"/>
      <c r="H485" s="4"/>
      <c r="I485" s="4"/>
    </row>
    <row r="486" spans="2:9">
      <c r="B486" s="4"/>
      <c r="C486" s="4"/>
      <c r="D486" s="4"/>
      <c r="E486" s="4"/>
      <c r="F486" s="4"/>
      <c r="G486" s="4"/>
      <c r="H486" s="4"/>
      <c r="I486" s="4"/>
    </row>
    <row r="487" spans="2:9">
      <c r="B487" s="4"/>
      <c r="C487" s="4"/>
      <c r="D487" s="4"/>
      <c r="E487" s="4"/>
      <c r="F487" s="4"/>
      <c r="G487" s="4"/>
      <c r="H487" s="4"/>
      <c r="I487" s="4"/>
    </row>
    <row r="488" spans="2:9">
      <c r="B488" s="4"/>
      <c r="C488" s="4"/>
      <c r="D488" s="4"/>
      <c r="E488" s="4"/>
      <c r="F488" s="4"/>
      <c r="G488" s="4"/>
      <c r="H488" s="4"/>
      <c r="I488" s="4"/>
    </row>
    <row r="489" spans="2:9">
      <c r="B489" s="4"/>
      <c r="C489" s="4"/>
      <c r="D489" s="4"/>
      <c r="E489" s="4"/>
      <c r="F489" s="4"/>
      <c r="G489" s="4"/>
      <c r="H489" s="4"/>
      <c r="I489" s="4"/>
    </row>
    <row r="490" spans="2:9">
      <c r="B490" s="4"/>
      <c r="C490" s="4"/>
      <c r="D490" s="4"/>
      <c r="E490" s="4"/>
      <c r="F490" s="4"/>
      <c r="G490" s="4"/>
      <c r="H490" s="4"/>
      <c r="I490" s="4"/>
    </row>
    <row r="491" spans="2:9">
      <c r="B491" s="4"/>
      <c r="C491" s="4"/>
      <c r="D491" s="4"/>
      <c r="E491" s="4"/>
      <c r="F491" s="4"/>
      <c r="G491" s="4"/>
      <c r="H491" s="4"/>
      <c r="I491" s="4"/>
    </row>
    <row r="492" spans="2:9">
      <c r="B492" s="4"/>
      <c r="C492" s="4"/>
      <c r="D492" s="4"/>
      <c r="E492" s="4"/>
      <c r="F492" s="4"/>
      <c r="G492" s="4"/>
      <c r="H492" s="4"/>
      <c r="I492" s="4"/>
    </row>
    <row r="493" spans="2:9">
      <c r="B493" s="4"/>
      <c r="C493" s="4"/>
      <c r="D493" s="4"/>
      <c r="E493" s="4"/>
      <c r="F493" s="4"/>
      <c r="G493" s="4"/>
      <c r="H493" s="4"/>
      <c r="I493" s="4"/>
    </row>
    <row r="494" spans="2:9">
      <c r="B494" s="4"/>
      <c r="C494" s="4"/>
      <c r="D494" s="4"/>
      <c r="E494" s="4"/>
      <c r="F494" s="4"/>
      <c r="G494" s="4"/>
      <c r="H494" s="4"/>
      <c r="I494" s="4"/>
    </row>
    <row r="495" spans="2:9">
      <c r="B495" s="4"/>
      <c r="C495" s="4"/>
      <c r="D495" s="4"/>
      <c r="E495" s="4"/>
      <c r="F495" s="4"/>
      <c r="G495" s="4"/>
      <c r="H495" s="4"/>
      <c r="I495" s="4"/>
    </row>
    <row r="496" spans="2:9">
      <c r="B496" s="4"/>
      <c r="C496" s="4"/>
      <c r="D496" s="4"/>
      <c r="E496" s="4"/>
      <c r="F496" s="4"/>
      <c r="G496" s="4"/>
      <c r="H496" s="4"/>
      <c r="I496" s="4"/>
    </row>
    <row r="497" spans="2:9">
      <c r="B497" s="4"/>
      <c r="C497" s="4"/>
      <c r="D497" s="4"/>
      <c r="E497" s="4"/>
      <c r="F497" s="4"/>
      <c r="G497" s="4"/>
      <c r="H497" s="4"/>
      <c r="I497" s="4"/>
    </row>
    <row r="498" spans="2:9">
      <c r="B498" s="4"/>
      <c r="C498" s="4"/>
      <c r="D498" s="4"/>
      <c r="E498" s="4"/>
      <c r="F498" s="4"/>
      <c r="G498" s="4"/>
      <c r="H498" s="4"/>
      <c r="I498" s="4"/>
    </row>
    <row r="499" spans="2:9">
      <c r="B499" s="4"/>
      <c r="C499" s="4"/>
      <c r="D499" s="4"/>
      <c r="E499" s="4"/>
      <c r="F499" s="4"/>
      <c r="G499" s="4"/>
      <c r="H499" s="4"/>
      <c r="I499" s="4"/>
    </row>
    <row r="500" spans="2:9">
      <c r="B500" s="4"/>
      <c r="C500" s="4"/>
      <c r="D500" s="4"/>
      <c r="E500" s="4"/>
      <c r="F500" s="4"/>
      <c r="G500" s="4"/>
      <c r="H500" s="4"/>
      <c r="I500" s="4"/>
    </row>
    <row r="501" spans="2:9">
      <c r="B501" s="4"/>
      <c r="C501" s="4"/>
      <c r="D501" s="4"/>
      <c r="E501" s="4"/>
      <c r="F501" s="4"/>
      <c r="G501" s="4"/>
      <c r="H501" s="4"/>
      <c r="I501" s="4"/>
    </row>
    <row r="502" spans="2:9">
      <c r="B502" s="4"/>
      <c r="C502" s="4"/>
      <c r="D502" s="4"/>
      <c r="E502" s="4"/>
      <c r="F502" s="4"/>
      <c r="G502" s="4"/>
      <c r="H502" s="4"/>
      <c r="I502" s="4"/>
    </row>
    <row r="503" spans="2:9">
      <c r="B503" s="4"/>
      <c r="C503" s="4"/>
      <c r="D503" s="4"/>
      <c r="E503" s="4"/>
      <c r="F503" s="4"/>
      <c r="G503" s="4"/>
      <c r="H503" s="4"/>
      <c r="I503" s="4"/>
    </row>
    <row r="504" spans="2:9">
      <c r="B504" s="4"/>
      <c r="C504" s="4"/>
      <c r="D504" s="4"/>
      <c r="E504" s="4"/>
      <c r="F504" s="4"/>
      <c r="G504" s="4"/>
      <c r="H504" s="4"/>
      <c r="I504" s="4"/>
    </row>
    <row r="505" spans="2:9">
      <c r="B505" s="4"/>
      <c r="C505" s="4"/>
      <c r="D505" s="4"/>
      <c r="E505" s="4"/>
      <c r="F505" s="4"/>
      <c r="G505" s="4"/>
      <c r="H505" s="4"/>
      <c r="I505" s="4"/>
    </row>
    <row r="506" spans="2:9">
      <c r="B506" s="4"/>
      <c r="C506" s="4"/>
      <c r="D506" s="4"/>
      <c r="E506" s="4"/>
      <c r="F506" s="4"/>
      <c r="G506" s="4"/>
      <c r="H506" s="4"/>
      <c r="I506" s="4"/>
    </row>
    <row r="507" spans="2:9">
      <c r="B507" s="4"/>
      <c r="C507" s="4"/>
      <c r="D507" s="4"/>
      <c r="E507" s="4"/>
      <c r="F507" s="4"/>
      <c r="G507" s="4"/>
      <c r="H507" s="4"/>
      <c r="I507" s="4"/>
    </row>
    <row r="508" spans="2:9">
      <c r="B508" s="4"/>
      <c r="C508" s="4"/>
      <c r="D508" s="4"/>
      <c r="E508" s="4"/>
      <c r="F508" s="4"/>
      <c r="G508" s="4"/>
      <c r="H508" s="4"/>
      <c r="I508" s="4"/>
    </row>
    <row r="509" spans="2:9">
      <c r="B509" s="4"/>
      <c r="C509" s="4"/>
      <c r="D509" s="4"/>
      <c r="E509" s="4"/>
      <c r="F509" s="4"/>
      <c r="G509" s="4"/>
      <c r="H509" s="4"/>
      <c r="I509" s="4"/>
    </row>
    <row r="510" spans="2:9">
      <c r="B510" s="4"/>
      <c r="C510" s="4"/>
      <c r="D510" s="4"/>
      <c r="E510" s="4"/>
      <c r="F510" s="4"/>
      <c r="G510" s="4"/>
      <c r="H510" s="4"/>
      <c r="I510" s="4"/>
    </row>
    <row r="511" spans="2:9">
      <c r="B511" s="4"/>
      <c r="C511" s="4"/>
      <c r="D511" s="4"/>
      <c r="E511" s="4"/>
      <c r="F511" s="4"/>
      <c r="G511" s="4"/>
      <c r="H511" s="4"/>
      <c r="I511" s="4"/>
    </row>
    <row r="512" spans="2:9">
      <c r="B512" s="4"/>
      <c r="C512" s="4"/>
      <c r="D512" s="4"/>
      <c r="E512" s="4"/>
      <c r="F512" s="4"/>
      <c r="G512" s="4"/>
      <c r="H512" s="4"/>
      <c r="I512" s="4"/>
    </row>
    <row r="513" spans="2:9">
      <c r="B513" s="4"/>
      <c r="C513" s="4"/>
      <c r="D513" s="4"/>
      <c r="E513" s="4"/>
      <c r="F513" s="4"/>
      <c r="G513" s="4"/>
      <c r="H513" s="4"/>
      <c r="I513" s="4"/>
    </row>
    <row r="514" spans="2:9">
      <c r="B514" s="4"/>
      <c r="C514" s="4"/>
      <c r="D514" s="4"/>
      <c r="E514" s="4"/>
      <c r="F514" s="4"/>
      <c r="G514" s="4"/>
      <c r="H514" s="4"/>
      <c r="I514" s="4"/>
    </row>
    <row r="515" spans="2:9">
      <c r="B515" s="4"/>
      <c r="C515" s="4"/>
      <c r="D515" s="4"/>
      <c r="E515" s="4"/>
      <c r="F515" s="4"/>
      <c r="G515" s="4"/>
      <c r="H515" s="4"/>
      <c r="I515" s="4"/>
    </row>
    <row r="516" spans="2:9">
      <c r="B516" s="4"/>
      <c r="C516" s="4"/>
      <c r="D516" s="4"/>
      <c r="E516" s="4"/>
      <c r="F516" s="4"/>
      <c r="G516" s="4"/>
      <c r="H516" s="4"/>
      <c r="I516" s="4"/>
    </row>
    <row r="517" spans="2:9">
      <c r="B517" s="4"/>
      <c r="C517" s="4"/>
      <c r="D517" s="4"/>
      <c r="E517" s="4"/>
      <c r="F517" s="4"/>
      <c r="G517" s="4"/>
      <c r="H517" s="4"/>
      <c r="I517" s="4"/>
    </row>
    <row r="518" spans="2:9">
      <c r="B518" s="4"/>
      <c r="C518" s="4"/>
      <c r="D518" s="4"/>
      <c r="E518" s="4"/>
      <c r="F518" s="4"/>
      <c r="G518" s="4"/>
      <c r="H518" s="4"/>
      <c r="I518" s="4"/>
    </row>
    <row r="519" spans="2:9">
      <c r="B519" s="4"/>
      <c r="C519" s="4"/>
      <c r="D519" s="4"/>
      <c r="E519" s="4"/>
      <c r="F519" s="4"/>
      <c r="G519" s="4"/>
      <c r="H519" s="4"/>
      <c r="I519" s="4"/>
    </row>
    <row r="520" spans="2:9">
      <c r="B520" s="4"/>
      <c r="C520" s="4"/>
      <c r="D520" s="4"/>
      <c r="E520" s="4"/>
      <c r="F520" s="4"/>
      <c r="G520" s="4"/>
      <c r="H520" s="4"/>
      <c r="I520" s="4"/>
    </row>
    <row r="521" spans="2:9">
      <c r="B521" s="4"/>
      <c r="C521" s="4"/>
      <c r="D521" s="4"/>
      <c r="E521" s="4"/>
      <c r="F521" s="4"/>
      <c r="G521" s="4"/>
      <c r="H521" s="4"/>
      <c r="I521" s="4"/>
    </row>
    <row r="522" spans="2:9">
      <c r="B522" s="4"/>
      <c r="C522" s="4"/>
      <c r="D522" s="4"/>
      <c r="E522" s="4"/>
      <c r="F522" s="4"/>
      <c r="G522" s="4"/>
      <c r="H522" s="4"/>
      <c r="I522" s="4"/>
    </row>
    <row r="523" spans="2:9">
      <c r="B523" s="4"/>
      <c r="C523" s="4"/>
      <c r="D523" s="4"/>
      <c r="E523" s="4"/>
      <c r="F523" s="4"/>
      <c r="G523" s="4"/>
      <c r="H523" s="4"/>
      <c r="I523" s="4"/>
    </row>
    <row r="524" spans="2:9">
      <c r="B524" s="4"/>
      <c r="C524" s="4"/>
      <c r="D524" s="4"/>
      <c r="E524" s="4"/>
      <c r="F524" s="4"/>
      <c r="G524" s="4"/>
      <c r="H524" s="4"/>
      <c r="I524" s="4"/>
    </row>
    <row r="525" spans="2:9">
      <c r="B525" s="4"/>
      <c r="C525" s="4"/>
      <c r="D525" s="4"/>
      <c r="E525" s="4"/>
      <c r="F525" s="4"/>
      <c r="G525" s="4"/>
      <c r="H525" s="4"/>
      <c r="I525" s="4"/>
    </row>
    <row r="526" spans="2:9">
      <c r="B526" s="4"/>
      <c r="C526" s="4"/>
      <c r="D526" s="4"/>
      <c r="E526" s="4"/>
      <c r="F526" s="4"/>
      <c r="G526" s="4"/>
      <c r="H526" s="4"/>
      <c r="I526" s="4"/>
    </row>
    <row r="527" spans="2:9">
      <c r="B527" s="4"/>
      <c r="C527" s="4"/>
      <c r="D527" s="4"/>
      <c r="E527" s="4"/>
      <c r="F527" s="4"/>
      <c r="G527" s="4"/>
      <c r="H527" s="4"/>
      <c r="I527" s="4"/>
    </row>
    <row r="528" spans="2:9">
      <c r="B528" s="4"/>
      <c r="C528" s="4"/>
      <c r="D528" s="4"/>
      <c r="E528" s="4"/>
      <c r="F528" s="4"/>
      <c r="G528" s="4"/>
      <c r="H528" s="4"/>
      <c r="I528" s="4"/>
    </row>
    <row r="529" spans="2:9">
      <c r="B529" s="4"/>
      <c r="C529" s="4"/>
      <c r="D529" s="4"/>
      <c r="E529" s="4"/>
      <c r="F529" s="4"/>
      <c r="G529" s="4"/>
      <c r="H529" s="4"/>
      <c r="I529" s="4"/>
    </row>
    <row r="530" spans="2:9">
      <c r="B530" s="4"/>
      <c r="C530" s="4"/>
      <c r="D530" s="4"/>
      <c r="E530" s="4"/>
      <c r="F530" s="4"/>
      <c r="G530" s="4"/>
      <c r="H530" s="4"/>
      <c r="I530" s="4"/>
    </row>
    <row r="531" spans="2:9">
      <c r="B531" s="4"/>
      <c r="C531" s="4"/>
      <c r="D531" s="4"/>
      <c r="E531" s="4"/>
      <c r="F531" s="4"/>
      <c r="G531" s="4"/>
      <c r="H531" s="4"/>
      <c r="I531" s="4"/>
    </row>
    <row r="532" spans="2:9">
      <c r="B532" s="4"/>
      <c r="C532" s="4"/>
      <c r="D532" s="4"/>
      <c r="E532" s="4"/>
      <c r="F532" s="4"/>
      <c r="G532" s="4"/>
      <c r="H532" s="4"/>
      <c r="I532" s="4"/>
    </row>
    <row r="533" spans="2:9">
      <c r="B533" s="4"/>
      <c r="C533" s="4"/>
      <c r="D533" s="4"/>
      <c r="E533" s="4"/>
      <c r="F533" s="4"/>
      <c r="G533" s="4"/>
      <c r="H533" s="4"/>
      <c r="I533" s="4"/>
    </row>
    <row r="534" spans="2:9">
      <c r="B534" s="4"/>
      <c r="C534" s="4"/>
      <c r="D534" s="4"/>
      <c r="E534" s="4"/>
      <c r="F534" s="4"/>
      <c r="G534" s="4"/>
      <c r="H534" s="4"/>
      <c r="I534" s="4"/>
    </row>
    <row r="535" spans="2:9">
      <c r="B535" s="4"/>
      <c r="C535" s="4"/>
      <c r="D535" s="4"/>
      <c r="E535" s="4"/>
      <c r="F535" s="4"/>
      <c r="G535" s="4"/>
      <c r="H535" s="4"/>
      <c r="I535" s="4"/>
    </row>
    <row r="536" spans="2:9">
      <c r="B536" s="4"/>
      <c r="C536" s="4"/>
      <c r="D536" s="4"/>
      <c r="E536" s="4"/>
      <c r="F536" s="4"/>
      <c r="G536" s="4"/>
      <c r="H536" s="4"/>
      <c r="I536" s="4"/>
    </row>
    <row r="537" spans="2:9">
      <c r="B537" s="4"/>
      <c r="C537" s="4"/>
      <c r="D537" s="4"/>
      <c r="E537" s="4"/>
      <c r="F537" s="4"/>
      <c r="G537" s="4"/>
      <c r="H537" s="4"/>
      <c r="I537" s="4"/>
    </row>
    <row r="538" spans="2:9">
      <c r="B538" s="4"/>
      <c r="C538" s="4"/>
      <c r="D538" s="4"/>
      <c r="E538" s="4"/>
      <c r="F538" s="4"/>
      <c r="G538" s="4"/>
      <c r="H538" s="4"/>
      <c r="I538" s="4"/>
    </row>
    <row r="539" spans="2:9">
      <c r="B539" s="4"/>
      <c r="C539" s="4"/>
      <c r="D539" s="4"/>
      <c r="E539" s="4"/>
      <c r="F539" s="4"/>
      <c r="G539" s="4"/>
      <c r="H539" s="4"/>
      <c r="I539" s="4"/>
    </row>
    <row r="540" spans="2:9">
      <c r="B540" s="4"/>
      <c r="C540" s="4"/>
      <c r="D540" s="4"/>
      <c r="E540" s="4"/>
      <c r="F540" s="4"/>
      <c r="G540" s="4"/>
      <c r="H540" s="4"/>
      <c r="I540" s="4"/>
    </row>
    <row r="541" spans="2:9">
      <c r="B541" s="4"/>
      <c r="C541" s="4"/>
      <c r="D541" s="4"/>
      <c r="E541" s="4"/>
      <c r="F541" s="4"/>
      <c r="G541" s="4"/>
      <c r="H541" s="4"/>
      <c r="I541" s="4"/>
    </row>
    <row r="542" spans="2:9">
      <c r="B542" s="4"/>
      <c r="C542" s="4"/>
      <c r="D542" s="4"/>
      <c r="E542" s="4"/>
      <c r="F542" s="4"/>
      <c r="G542" s="4"/>
      <c r="H542" s="4"/>
      <c r="I542" s="4"/>
    </row>
    <row r="543" spans="2:9">
      <c r="B543" s="4"/>
      <c r="C543" s="4"/>
      <c r="D543" s="4"/>
      <c r="E543" s="4"/>
      <c r="F543" s="4"/>
      <c r="G543" s="4"/>
      <c r="H543" s="4"/>
      <c r="I543" s="4"/>
    </row>
    <row r="544" spans="2:9">
      <c r="B544" s="4"/>
      <c r="C544" s="4"/>
      <c r="D544" s="4"/>
      <c r="E544" s="4"/>
      <c r="F544" s="4"/>
      <c r="G544" s="4"/>
      <c r="H544" s="4"/>
      <c r="I544" s="4"/>
    </row>
    <row r="545" spans="2:9">
      <c r="B545" s="4"/>
      <c r="C545" s="4"/>
      <c r="D545" s="4"/>
      <c r="E545" s="4"/>
      <c r="F545" s="4"/>
      <c r="G545" s="4"/>
      <c r="H545" s="4"/>
      <c r="I545" s="4"/>
    </row>
    <row r="546" spans="2:9">
      <c r="B546" s="4"/>
      <c r="C546" s="4"/>
      <c r="D546" s="4"/>
      <c r="E546" s="4"/>
      <c r="F546" s="4"/>
      <c r="G546" s="4"/>
      <c r="H546" s="4"/>
      <c r="I546" s="4"/>
    </row>
    <row r="547" spans="2:9">
      <c r="B547" s="4"/>
      <c r="C547" s="4"/>
      <c r="D547" s="4"/>
      <c r="E547" s="4"/>
      <c r="F547" s="4"/>
      <c r="G547" s="4"/>
      <c r="H547" s="4"/>
      <c r="I547" s="4"/>
    </row>
    <row r="548" spans="2:9">
      <c r="B548" s="4"/>
      <c r="C548" s="4"/>
      <c r="D548" s="4"/>
      <c r="E548" s="4"/>
      <c r="F548" s="4"/>
      <c r="G548" s="4"/>
      <c r="H548" s="4"/>
      <c r="I548" s="4"/>
    </row>
    <row r="549" spans="2:9">
      <c r="B549" s="4"/>
      <c r="C549" s="4"/>
      <c r="D549" s="4"/>
      <c r="E549" s="4"/>
      <c r="F549" s="4"/>
      <c r="G549" s="4"/>
      <c r="H549" s="4"/>
      <c r="I549" s="4"/>
    </row>
    <row r="550" spans="2:9">
      <c r="B550" s="4"/>
      <c r="C550" s="4"/>
      <c r="D550" s="4"/>
      <c r="E550" s="4"/>
      <c r="F550" s="4"/>
      <c r="G550" s="4"/>
      <c r="H550" s="4"/>
      <c r="I550" s="4"/>
    </row>
    <row r="551" spans="2:9">
      <c r="B551" s="4"/>
      <c r="C551" s="4"/>
      <c r="D551" s="4"/>
      <c r="E551" s="4"/>
      <c r="F551" s="4"/>
      <c r="G551" s="4"/>
      <c r="H551" s="4"/>
      <c r="I551" s="4"/>
    </row>
    <row r="552" spans="2:9">
      <c r="B552" s="4"/>
      <c r="C552" s="4"/>
      <c r="D552" s="4"/>
      <c r="E552" s="4"/>
      <c r="F552" s="4"/>
      <c r="G552" s="4"/>
      <c r="H552" s="4"/>
      <c r="I552" s="4"/>
    </row>
    <row r="553" spans="2:9">
      <c r="B553" s="4"/>
      <c r="C553" s="4"/>
      <c r="D553" s="4"/>
      <c r="E553" s="4"/>
      <c r="F553" s="4"/>
      <c r="G553" s="4"/>
      <c r="H553" s="4"/>
      <c r="I553" s="4"/>
    </row>
    <row r="554" spans="2:9">
      <c r="B554" s="4"/>
      <c r="C554" s="4"/>
      <c r="D554" s="4"/>
      <c r="E554" s="4"/>
      <c r="F554" s="4"/>
      <c r="G554" s="4"/>
      <c r="H554" s="4"/>
      <c r="I554" s="4"/>
    </row>
    <row r="555" spans="2:9">
      <c r="B555" s="4"/>
      <c r="C555" s="4"/>
      <c r="D555" s="4"/>
      <c r="E555" s="4"/>
      <c r="F555" s="4"/>
      <c r="G555" s="4"/>
      <c r="H555" s="4"/>
      <c r="I555" s="4"/>
    </row>
    <row r="556" spans="2:9">
      <c r="B556" s="4"/>
      <c r="C556" s="4"/>
      <c r="D556" s="4"/>
      <c r="E556" s="4"/>
      <c r="F556" s="4"/>
      <c r="G556" s="4"/>
      <c r="H556" s="4"/>
      <c r="I556" s="4"/>
    </row>
    <row r="557" spans="2:9">
      <c r="B557" s="4"/>
      <c r="C557" s="4"/>
      <c r="D557" s="4"/>
      <c r="E557" s="4"/>
      <c r="F557" s="4"/>
      <c r="G557" s="4"/>
      <c r="H557" s="4"/>
      <c r="I557" s="4"/>
    </row>
    <row r="558" spans="2:9">
      <c r="B558" s="4"/>
      <c r="C558" s="4"/>
      <c r="D558" s="4"/>
      <c r="E558" s="4"/>
      <c r="F558" s="4"/>
      <c r="G558" s="4"/>
      <c r="H558" s="4"/>
      <c r="I558" s="4"/>
    </row>
    <row r="559" spans="2:9">
      <c r="B559" s="4"/>
      <c r="C559" s="4"/>
      <c r="D559" s="4"/>
      <c r="E559" s="4"/>
      <c r="F559" s="4"/>
      <c r="G559" s="4"/>
      <c r="H559" s="4"/>
      <c r="I559" s="4"/>
    </row>
    <row r="560" spans="2:9">
      <c r="B560" s="4"/>
      <c r="C560" s="4"/>
      <c r="D560" s="4"/>
      <c r="E560" s="4"/>
      <c r="F560" s="4"/>
      <c r="G560" s="4"/>
      <c r="H560" s="4"/>
      <c r="I560" s="4"/>
    </row>
    <row r="561" spans="2:9">
      <c r="B561" s="4"/>
      <c r="C561" s="4"/>
      <c r="D561" s="4"/>
      <c r="E561" s="4"/>
      <c r="F561" s="4"/>
      <c r="G561" s="4"/>
      <c r="H561" s="4"/>
      <c r="I561" s="4"/>
    </row>
    <row r="562" spans="2:9">
      <c r="B562" s="4"/>
      <c r="C562" s="4"/>
      <c r="D562" s="4"/>
      <c r="E562" s="4"/>
      <c r="F562" s="4"/>
      <c r="G562" s="4"/>
      <c r="H562" s="4"/>
      <c r="I562" s="4"/>
    </row>
    <row r="563" spans="2:9">
      <c r="B563" s="4"/>
      <c r="C563" s="4"/>
      <c r="D563" s="4"/>
      <c r="E563" s="4"/>
      <c r="F563" s="4"/>
      <c r="G563" s="4"/>
      <c r="H563" s="4"/>
      <c r="I563" s="4"/>
    </row>
    <row r="564" spans="2:9">
      <c r="B564" s="4"/>
      <c r="C564" s="4"/>
      <c r="D564" s="4"/>
      <c r="E564" s="4"/>
      <c r="F564" s="4"/>
      <c r="G564" s="4"/>
      <c r="H564" s="4"/>
      <c r="I564" s="4"/>
    </row>
    <row r="565" spans="2:9">
      <c r="B565" s="4"/>
      <c r="C565" s="4"/>
      <c r="D565" s="4"/>
      <c r="E565" s="4"/>
      <c r="F565" s="4"/>
      <c r="G565" s="4"/>
      <c r="H565" s="4"/>
      <c r="I565" s="4"/>
    </row>
    <row r="566" spans="2:9">
      <c r="B566" s="4"/>
      <c r="C566" s="4"/>
      <c r="D566" s="4"/>
      <c r="E566" s="4"/>
      <c r="F566" s="4"/>
      <c r="G566" s="4"/>
      <c r="H566" s="4"/>
      <c r="I566" s="4"/>
    </row>
    <row r="567" spans="2:9">
      <c r="B567" s="4"/>
      <c r="C567" s="4"/>
      <c r="D567" s="4"/>
      <c r="E567" s="4"/>
      <c r="F567" s="4"/>
      <c r="G567" s="4"/>
      <c r="H567" s="4"/>
      <c r="I567" s="4"/>
    </row>
    <row r="568" spans="2:9">
      <c r="B568" s="4"/>
      <c r="C568" s="4"/>
      <c r="D568" s="4"/>
      <c r="E568" s="4"/>
      <c r="F568" s="4"/>
      <c r="G568" s="4"/>
      <c r="H568" s="4"/>
      <c r="I568" s="4"/>
    </row>
    <row r="569" spans="2:9">
      <c r="B569" s="4"/>
      <c r="C569" s="4"/>
      <c r="D569" s="4"/>
      <c r="E569" s="4"/>
      <c r="F569" s="4"/>
      <c r="G569" s="4"/>
      <c r="H569" s="4"/>
      <c r="I569" s="4"/>
    </row>
    <row r="570" spans="2:9">
      <c r="B570" s="4"/>
      <c r="C570" s="4"/>
      <c r="D570" s="4"/>
      <c r="E570" s="4"/>
      <c r="F570" s="4"/>
      <c r="G570" s="4"/>
      <c r="H570" s="4"/>
      <c r="I570" s="4"/>
    </row>
    <row r="571" spans="2:9">
      <c r="B571" s="4"/>
      <c r="C571" s="4"/>
      <c r="D571" s="4"/>
      <c r="E571" s="4"/>
      <c r="F571" s="4"/>
      <c r="G571" s="4"/>
      <c r="H571" s="4"/>
      <c r="I571" s="4"/>
    </row>
    <row r="572" spans="2:9">
      <c r="B572" s="4"/>
      <c r="C572" s="4"/>
      <c r="D572" s="4"/>
      <c r="E572" s="4"/>
      <c r="F572" s="4"/>
      <c r="G572" s="4"/>
      <c r="H572" s="4"/>
      <c r="I572" s="4"/>
    </row>
    <row r="573" spans="2:9">
      <c r="B573" s="4"/>
      <c r="C573" s="4"/>
      <c r="D573" s="4"/>
      <c r="E573" s="4"/>
      <c r="F573" s="4"/>
      <c r="G573" s="4"/>
      <c r="H573" s="4"/>
      <c r="I573" s="4"/>
    </row>
    <row r="574" spans="2:9">
      <c r="B574" s="4"/>
      <c r="C574" s="4"/>
      <c r="D574" s="4"/>
      <c r="E574" s="4"/>
      <c r="F574" s="4"/>
      <c r="G574" s="4"/>
      <c r="H574" s="4"/>
      <c r="I574" s="4"/>
    </row>
    <row r="575" spans="2:9">
      <c r="B575" s="4"/>
      <c r="C575" s="4"/>
      <c r="D575" s="4"/>
      <c r="E575" s="4"/>
      <c r="F575" s="4"/>
      <c r="G575" s="4"/>
      <c r="H575" s="4"/>
      <c r="I575" s="4"/>
    </row>
    <row r="576" spans="2:9">
      <c r="B576" s="4"/>
      <c r="C576" s="4"/>
      <c r="D576" s="4"/>
      <c r="E576" s="4"/>
      <c r="F576" s="4"/>
      <c r="G576" s="4"/>
      <c r="H576" s="4"/>
      <c r="I576" s="4"/>
    </row>
    <row r="577" spans="2:9">
      <c r="B577" s="4"/>
      <c r="C577" s="4"/>
      <c r="D577" s="4"/>
      <c r="E577" s="4"/>
      <c r="F577" s="4"/>
      <c r="G577" s="4"/>
      <c r="H577" s="4"/>
      <c r="I577" s="4"/>
    </row>
    <row r="578" spans="2:9">
      <c r="B578" s="4"/>
      <c r="C578" s="4"/>
      <c r="D578" s="4"/>
      <c r="E578" s="4"/>
      <c r="F578" s="4"/>
      <c r="G578" s="4"/>
      <c r="H578" s="4"/>
      <c r="I578" s="4"/>
    </row>
    <row r="579" spans="2:9">
      <c r="B579" s="4"/>
      <c r="C579" s="4"/>
      <c r="D579" s="4"/>
      <c r="E579" s="4"/>
      <c r="F579" s="4"/>
      <c r="G579" s="4"/>
      <c r="H579" s="4"/>
      <c r="I579" s="4"/>
    </row>
    <row r="580" spans="2:9">
      <c r="B580" s="4"/>
      <c r="C580" s="4"/>
      <c r="D580" s="4"/>
      <c r="E580" s="4"/>
      <c r="F580" s="4"/>
      <c r="G580" s="4"/>
      <c r="H580" s="4"/>
      <c r="I580" s="4"/>
    </row>
    <row r="581" spans="2:9">
      <c r="B581" s="4"/>
      <c r="C581" s="4"/>
      <c r="D581" s="4"/>
      <c r="E581" s="4"/>
      <c r="F581" s="4"/>
      <c r="G581" s="4"/>
      <c r="H581" s="4"/>
      <c r="I581" s="4"/>
    </row>
    <row r="582" spans="2:9">
      <c r="B582" s="4"/>
      <c r="C582" s="4"/>
      <c r="D582" s="4"/>
      <c r="E582" s="4"/>
      <c r="F582" s="4"/>
      <c r="G582" s="4"/>
      <c r="H582" s="4"/>
      <c r="I582" s="4"/>
    </row>
    <row r="583" spans="2:9">
      <c r="B583" s="4"/>
      <c r="C583" s="4"/>
      <c r="D583" s="4"/>
      <c r="E583" s="4"/>
      <c r="F583" s="4"/>
      <c r="G583" s="4"/>
      <c r="H583" s="4"/>
      <c r="I583" s="4"/>
    </row>
    <row r="584" spans="2:9">
      <c r="B584" s="4"/>
      <c r="C584" s="4"/>
      <c r="D584" s="4"/>
      <c r="E584" s="4"/>
      <c r="F584" s="4"/>
      <c r="G584" s="4"/>
      <c r="H584" s="4"/>
      <c r="I584" s="4"/>
    </row>
    <row r="585" spans="2:9">
      <c r="B585" s="4"/>
      <c r="C585" s="4"/>
      <c r="D585" s="4"/>
      <c r="E585" s="4"/>
      <c r="F585" s="4"/>
      <c r="G585" s="4"/>
      <c r="H585" s="4"/>
      <c r="I585" s="4"/>
    </row>
    <row r="586" spans="2:9">
      <c r="B586" s="4"/>
      <c r="C586" s="4"/>
      <c r="D586" s="4"/>
      <c r="E586" s="4"/>
      <c r="F586" s="4"/>
      <c r="G586" s="4"/>
      <c r="H586" s="4"/>
      <c r="I586" s="4"/>
    </row>
    <row r="587" spans="2:9">
      <c r="B587" s="4"/>
      <c r="C587" s="4"/>
      <c r="D587" s="4"/>
      <c r="E587" s="4"/>
      <c r="F587" s="4"/>
      <c r="G587" s="4"/>
      <c r="H587" s="4"/>
      <c r="I587" s="4"/>
    </row>
    <row r="588" spans="2:9">
      <c r="B588" s="4"/>
      <c r="C588" s="4"/>
      <c r="D588" s="4"/>
      <c r="E588" s="4"/>
      <c r="F588" s="4"/>
      <c r="G588" s="4"/>
      <c r="H588" s="4"/>
      <c r="I588" s="4"/>
    </row>
    <row r="589" spans="2:9">
      <c r="B589" s="4"/>
      <c r="C589" s="4"/>
      <c r="D589" s="4"/>
      <c r="E589" s="4"/>
      <c r="F589" s="4"/>
      <c r="G589" s="4"/>
      <c r="H589" s="4"/>
      <c r="I589" s="4"/>
    </row>
    <row r="590" spans="2:9">
      <c r="B590" s="4"/>
      <c r="C590" s="4"/>
      <c r="D590" s="4"/>
      <c r="E590" s="4"/>
      <c r="F590" s="4"/>
      <c r="G590" s="4"/>
      <c r="H590" s="4"/>
      <c r="I590" s="4"/>
    </row>
    <row r="591" spans="2:9">
      <c r="B591" s="4"/>
      <c r="C591" s="4"/>
      <c r="D591" s="4"/>
      <c r="E591" s="4"/>
      <c r="F591" s="4"/>
      <c r="G591" s="4"/>
      <c r="H591" s="4"/>
      <c r="I591" s="4"/>
    </row>
    <row r="592" spans="2:9">
      <c r="B592" s="4"/>
      <c r="C592" s="4"/>
      <c r="D592" s="4"/>
      <c r="E592" s="4"/>
      <c r="F592" s="4"/>
      <c r="G592" s="4"/>
      <c r="H592" s="4"/>
      <c r="I592" s="4"/>
    </row>
    <row r="593" spans="2:9">
      <c r="B593" s="4"/>
      <c r="C593" s="4"/>
      <c r="D593" s="4"/>
      <c r="E593" s="4"/>
      <c r="F593" s="4"/>
      <c r="G593" s="4"/>
      <c r="H593" s="4"/>
      <c r="I593" s="4"/>
    </row>
    <row r="594" spans="2:9">
      <c r="B594" s="4"/>
      <c r="C594" s="4"/>
      <c r="D594" s="4"/>
      <c r="E594" s="4"/>
      <c r="F594" s="4"/>
      <c r="G594" s="4"/>
      <c r="H594" s="4"/>
      <c r="I594" s="4"/>
    </row>
    <row r="595" spans="2:9">
      <c r="B595" s="4"/>
      <c r="C595" s="4"/>
      <c r="D595" s="4"/>
      <c r="E595" s="4"/>
      <c r="F595" s="4"/>
      <c r="G595" s="4"/>
      <c r="H595" s="4"/>
      <c r="I595" s="4"/>
    </row>
    <row r="596" spans="2:9">
      <c r="B596" s="4"/>
      <c r="C596" s="4"/>
      <c r="D596" s="4"/>
      <c r="E596" s="4"/>
      <c r="F596" s="4"/>
      <c r="G596" s="4"/>
      <c r="H596" s="4"/>
      <c r="I596" s="4"/>
    </row>
    <row r="597" spans="2:9">
      <c r="B597" s="4"/>
      <c r="C597" s="4"/>
      <c r="D597" s="4"/>
      <c r="E597" s="4"/>
      <c r="F597" s="4"/>
      <c r="G597" s="4"/>
      <c r="H597" s="4"/>
      <c r="I597" s="4"/>
    </row>
    <row r="598" spans="2:9">
      <c r="B598" s="4"/>
      <c r="C598" s="4"/>
      <c r="D598" s="4"/>
      <c r="E598" s="4"/>
      <c r="F598" s="4"/>
      <c r="G598" s="4"/>
      <c r="H598" s="4"/>
      <c r="I598" s="4"/>
    </row>
    <row r="599" spans="2:9">
      <c r="B599" s="4"/>
      <c r="C599" s="4"/>
      <c r="D599" s="4"/>
      <c r="E599" s="4"/>
      <c r="F599" s="4"/>
      <c r="G599" s="4"/>
      <c r="H599" s="4"/>
      <c r="I599" s="4"/>
    </row>
    <row r="600" spans="2:9">
      <c r="B600" s="4"/>
      <c r="C600" s="4"/>
      <c r="D600" s="4"/>
      <c r="E600" s="4"/>
      <c r="F600" s="4"/>
      <c r="G600" s="4"/>
      <c r="H600" s="4"/>
      <c r="I600" s="4"/>
    </row>
    <row r="601" spans="2:9">
      <c r="B601" s="4"/>
      <c r="C601" s="4"/>
      <c r="D601" s="4"/>
      <c r="E601" s="4"/>
      <c r="F601" s="4"/>
      <c r="G601" s="4"/>
      <c r="H601" s="4"/>
      <c r="I601" s="4"/>
    </row>
    <row r="602" spans="2:9">
      <c r="B602" s="4"/>
      <c r="C602" s="4"/>
      <c r="D602" s="4"/>
      <c r="E602" s="4"/>
      <c r="F602" s="4"/>
      <c r="G602" s="4"/>
      <c r="H602" s="4"/>
      <c r="I602" s="4"/>
    </row>
    <row r="603" spans="2:9">
      <c r="B603" s="4"/>
      <c r="C603" s="4"/>
      <c r="D603" s="4"/>
      <c r="E603" s="4"/>
      <c r="F603" s="4"/>
      <c r="G603" s="4"/>
      <c r="H603" s="4"/>
      <c r="I603" s="4"/>
    </row>
    <row r="604" spans="2:9">
      <c r="B604" s="4"/>
      <c r="C604" s="4"/>
      <c r="D604" s="4"/>
      <c r="E604" s="4"/>
      <c r="F604" s="4"/>
      <c r="G604" s="4"/>
      <c r="H604" s="4"/>
      <c r="I604" s="4"/>
    </row>
    <row r="605" spans="2:9">
      <c r="B605" s="4"/>
      <c r="C605" s="4"/>
      <c r="D605" s="4"/>
      <c r="E605" s="4"/>
      <c r="F605" s="4"/>
      <c r="G605" s="4"/>
      <c r="H605" s="4"/>
      <c r="I605" s="4"/>
    </row>
    <row r="606" spans="2:9">
      <c r="B606" s="4"/>
      <c r="C606" s="4"/>
      <c r="D606" s="4"/>
      <c r="E606" s="4"/>
      <c r="F606" s="4"/>
      <c r="G606" s="4"/>
      <c r="H606" s="4"/>
      <c r="I606" s="4"/>
    </row>
    <row r="607" spans="2:9">
      <c r="B607" s="4"/>
      <c r="C607" s="4"/>
      <c r="D607" s="4"/>
      <c r="E607" s="4"/>
      <c r="F607" s="4"/>
      <c r="G607" s="4"/>
      <c r="H607" s="4"/>
      <c r="I607" s="4"/>
    </row>
    <row r="608" spans="2:9">
      <c r="B608" s="4"/>
      <c r="C608" s="4"/>
      <c r="D608" s="4"/>
      <c r="E608" s="4"/>
      <c r="F608" s="4"/>
      <c r="G608" s="4"/>
      <c r="H608" s="4"/>
      <c r="I608" s="4"/>
    </row>
    <row r="609" spans="2:9">
      <c r="B609" s="4"/>
      <c r="C609" s="4"/>
      <c r="D609" s="4"/>
      <c r="E609" s="4"/>
      <c r="F609" s="4"/>
      <c r="G609" s="4"/>
      <c r="H609" s="4"/>
      <c r="I609" s="4"/>
    </row>
    <row r="610" spans="2:9">
      <c r="B610" s="4"/>
      <c r="C610" s="4"/>
      <c r="D610" s="4"/>
      <c r="E610" s="4"/>
      <c r="F610" s="4"/>
      <c r="G610" s="4"/>
      <c r="H610" s="4"/>
      <c r="I610" s="4"/>
    </row>
    <row r="611" spans="2:9">
      <c r="B611" s="4"/>
      <c r="C611" s="4"/>
      <c r="D611" s="4"/>
      <c r="E611" s="4"/>
      <c r="F611" s="4"/>
      <c r="G611" s="4"/>
      <c r="H611" s="4"/>
      <c r="I611" s="4"/>
    </row>
    <row r="612" spans="2:9">
      <c r="B612" s="4"/>
      <c r="C612" s="4"/>
      <c r="D612" s="4"/>
      <c r="E612" s="4"/>
      <c r="F612" s="4"/>
      <c r="G612" s="4"/>
      <c r="H612" s="4"/>
      <c r="I612" s="4"/>
    </row>
    <row r="613" spans="2:9">
      <c r="B613" s="4"/>
      <c r="C613" s="4"/>
      <c r="D613" s="4"/>
      <c r="E613" s="4"/>
      <c r="F613" s="4"/>
      <c r="G613" s="4"/>
      <c r="H613" s="4"/>
      <c r="I613" s="4"/>
    </row>
    <row r="614" spans="2:9">
      <c r="B614" s="4"/>
      <c r="C614" s="4"/>
      <c r="D614" s="4"/>
      <c r="E614" s="4"/>
      <c r="F614" s="4"/>
      <c r="G614" s="4"/>
      <c r="H614" s="4"/>
      <c r="I614" s="4"/>
    </row>
    <row r="615" spans="2:9">
      <c r="B615" s="4"/>
      <c r="C615" s="4"/>
      <c r="D615" s="4"/>
      <c r="E615" s="4"/>
      <c r="F615" s="4"/>
      <c r="G615" s="4"/>
      <c r="H615" s="4"/>
      <c r="I615" s="4"/>
    </row>
    <row r="616" spans="2:9">
      <c r="B616" s="4"/>
      <c r="C616" s="4"/>
      <c r="D616" s="4"/>
      <c r="E616" s="4"/>
      <c r="F616" s="4"/>
      <c r="G616" s="4"/>
      <c r="H616" s="4"/>
      <c r="I616" s="4"/>
    </row>
    <row r="617" spans="2:9">
      <c r="B617" s="4"/>
      <c r="C617" s="4"/>
      <c r="D617" s="4"/>
      <c r="E617" s="4"/>
      <c r="F617" s="4"/>
      <c r="G617" s="4"/>
      <c r="H617" s="4"/>
      <c r="I617" s="4"/>
    </row>
    <row r="618" spans="2:9">
      <c r="B618" s="4"/>
      <c r="C618" s="4"/>
      <c r="D618" s="4"/>
      <c r="E618" s="4"/>
      <c r="F618" s="4"/>
      <c r="G618" s="4"/>
      <c r="H618" s="4"/>
      <c r="I618" s="4"/>
    </row>
    <row r="619" spans="2:9">
      <c r="B619" s="4"/>
      <c r="C619" s="4"/>
      <c r="D619" s="4"/>
      <c r="E619" s="4"/>
      <c r="F619" s="4"/>
      <c r="G619" s="4"/>
      <c r="H619" s="4"/>
      <c r="I619" s="4"/>
    </row>
    <row r="620" spans="2:9">
      <c r="B620" s="4"/>
      <c r="C620" s="4"/>
      <c r="D620" s="4"/>
      <c r="E620" s="4"/>
      <c r="F620" s="4"/>
      <c r="G620" s="4"/>
      <c r="H620" s="4"/>
      <c r="I620" s="4"/>
    </row>
    <row r="621" spans="2:9">
      <c r="B621" s="4"/>
      <c r="C621" s="4"/>
      <c r="D621" s="4"/>
      <c r="E621" s="4"/>
      <c r="F621" s="4"/>
      <c r="G621" s="4"/>
      <c r="H621" s="4"/>
      <c r="I621" s="4"/>
    </row>
    <row r="622" spans="2:9">
      <c r="B622" s="4"/>
      <c r="C622" s="4"/>
      <c r="D622" s="4"/>
      <c r="E622" s="4"/>
      <c r="F622" s="4"/>
      <c r="G622" s="4"/>
      <c r="H622" s="4"/>
      <c r="I622" s="4"/>
    </row>
    <row r="623" spans="2:9">
      <c r="B623" s="4"/>
      <c r="C623" s="4"/>
      <c r="D623" s="4"/>
      <c r="E623" s="4"/>
      <c r="F623" s="4"/>
      <c r="G623" s="4"/>
      <c r="H623" s="4"/>
      <c r="I623" s="4"/>
    </row>
    <row r="624" spans="2:9">
      <c r="B624" s="4"/>
      <c r="C624" s="4"/>
      <c r="D624" s="4"/>
      <c r="E624" s="4"/>
      <c r="F624" s="4"/>
      <c r="G624" s="4"/>
      <c r="H624" s="4"/>
      <c r="I624" s="4"/>
    </row>
    <row r="625" spans="2:9">
      <c r="B625" s="4"/>
      <c r="C625" s="4"/>
      <c r="D625" s="4"/>
      <c r="E625" s="4"/>
      <c r="F625" s="4"/>
      <c r="G625" s="4"/>
      <c r="H625" s="4"/>
      <c r="I625" s="4"/>
    </row>
    <row r="626" spans="2:9">
      <c r="B626" s="4"/>
      <c r="C626" s="4"/>
      <c r="D626" s="4"/>
      <c r="E626" s="4"/>
      <c r="F626" s="4"/>
      <c r="G626" s="4"/>
      <c r="H626" s="4"/>
      <c r="I626" s="4"/>
    </row>
    <row r="627" spans="2:9">
      <c r="B627" s="4"/>
      <c r="C627" s="4"/>
      <c r="D627" s="4"/>
      <c r="E627" s="4"/>
      <c r="F627" s="4"/>
      <c r="G627" s="4"/>
      <c r="H627" s="4"/>
      <c r="I627" s="4"/>
    </row>
    <row r="628" spans="2:9">
      <c r="B628" s="4"/>
      <c r="C628" s="4"/>
      <c r="D628" s="4"/>
      <c r="E628" s="4"/>
      <c r="F628" s="4"/>
      <c r="G628" s="4"/>
      <c r="H628" s="4"/>
      <c r="I628" s="4"/>
    </row>
    <row r="629" spans="2:9">
      <c r="B629" s="4"/>
      <c r="C629" s="4"/>
      <c r="D629" s="4"/>
      <c r="E629" s="4"/>
      <c r="F629" s="4"/>
      <c r="G629" s="4"/>
      <c r="H629" s="4"/>
      <c r="I629" s="4"/>
    </row>
    <row r="630" spans="2:9">
      <c r="B630" s="4"/>
      <c r="C630" s="4"/>
      <c r="D630" s="4"/>
      <c r="E630" s="4"/>
      <c r="F630" s="4"/>
      <c r="G630" s="4"/>
      <c r="H630" s="4"/>
      <c r="I630" s="4"/>
    </row>
    <row r="631" spans="2:9">
      <c r="B631" s="4"/>
      <c r="C631" s="4"/>
      <c r="D631" s="4"/>
      <c r="E631" s="4"/>
      <c r="F631" s="4"/>
      <c r="G631" s="4"/>
      <c r="H631" s="4"/>
      <c r="I631" s="4"/>
    </row>
    <row r="632" spans="2:9">
      <c r="B632" s="4"/>
      <c r="C632" s="4"/>
      <c r="D632" s="4"/>
      <c r="E632" s="4"/>
      <c r="F632" s="4"/>
      <c r="G632" s="4"/>
      <c r="H632" s="4"/>
      <c r="I632" s="4"/>
    </row>
    <row r="633" spans="2:9">
      <c r="B633" s="4"/>
      <c r="C633" s="4"/>
      <c r="D633" s="4"/>
      <c r="E633" s="4"/>
      <c r="F633" s="4"/>
      <c r="G633" s="4"/>
      <c r="H633" s="4"/>
      <c r="I633" s="4"/>
    </row>
    <row r="634" spans="2:9">
      <c r="B634" s="4"/>
      <c r="C634" s="4"/>
      <c r="D634" s="4"/>
      <c r="E634" s="4"/>
      <c r="F634" s="4"/>
      <c r="G634" s="4"/>
      <c r="H634" s="4"/>
      <c r="I634" s="4"/>
    </row>
    <row r="635" spans="2:9">
      <c r="B635" s="4"/>
      <c r="C635" s="4"/>
      <c r="D635" s="4"/>
      <c r="E635" s="4"/>
      <c r="F635" s="4"/>
      <c r="G635" s="4"/>
      <c r="H635" s="4"/>
      <c r="I635" s="4"/>
    </row>
    <row r="636" spans="2:9">
      <c r="B636" s="4"/>
      <c r="C636" s="4"/>
      <c r="D636" s="4"/>
      <c r="E636" s="4"/>
      <c r="F636" s="4"/>
      <c r="G636" s="4"/>
      <c r="H636" s="4"/>
      <c r="I636" s="4"/>
    </row>
    <row r="637" spans="2:9">
      <c r="B637" s="4"/>
      <c r="C637" s="4"/>
      <c r="D637" s="4"/>
      <c r="E637" s="4"/>
      <c r="F637" s="4"/>
      <c r="G637" s="4"/>
      <c r="H637" s="4"/>
      <c r="I637" s="4"/>
    </row>
    <row r="638" spans="2:9">
      <c r="B638" s="4"/>
      <c r="C638" s="4"/>
      <c r="D638" s="4"/>
      <c r="E638" s="4"/>
      <c r="F638" s="4"/>
      <c r="G638" s="4"/>
      <c r="H638" s="4"/>
      <c r="I638" s="4"/>
    </row>
    <row r="639" spans="2:9">
      <c r="B639" s="4"/>
      <c r="C639" s="4"/>
      <c r="D639" s="4"/>
      <c r="E639" s="4"/>
      <c r="F639" s="4"/>
      <c r="G639" s="4"/>
      <c r="H639" s="4"/>
      <c r="I639" s="4"/>
    </row>
    <row r="640" spans="2:9">
      <c r="B640" s="4"/>
      <c r="C640" s="4"/>
      <c r="D640" s="4"/>
      <c r="E640" s="4"/>
      <c r="F640" s="4"/>
      <c r="G640" s="4"/>
      <c r="H640" s="4"/>
      <c r="I640" s="4"/>
    </row>
    <row r="641" spans="2:9">
      <c r="B641" s="4"/>
      <c r="C641" s="4"/>
      <c r="D641" s="4"/>
      <c r="E641" s="4"/>
      <c r="F641" s="4"/>
      <c r="G641" s="4"/>
      <c r="H641" s="4"/>
      <c r="I641" s="4"/>
    </row>
    <row r="642" spans="2:9">
      <c r="B642" s="4"/>
      <c r="C642" s="4"/>
      <c r="D642" s="4"/>
      <c r="E642" s="4"/>
      <c r="F642" s="4"/>
      <c r="G642" s="4"/>
      <c r="H642" s="4"/>
      <c r="I642" s="4"/>
    </row>
    <row r="643" spans="2:9">
      <c r="B643" s="4"/>
      <c r="C643" s="4"/>
      <c r="D643" s="4"/>
      <c r="E643" s="4"/>
      <c r="F643" s="4"/>
      <c r="G643" s="4"/>
      <c r="H643" s="4"/>
      <c r="I643" s="4"/>
    </row>
    <row r="644" spans="2:9">
      <c r="B644" s="4"/>
      <c r="C644" s="4"/>
      <c r="D644" s="4"/>
      <c r="E644" s="4"/>
      <c r="F644" s="4"/>
      <c r="G644" s="4"/>
      <c r="H644" s="4"/>
      <c r="I644" s="4"/>
    </row>
    <row r="645" spans="2:9">
      <c r="B645" s="4"/>
      <c r="C645" s="4"/>
      <c r="D645" s="4"/>
      <c r="E645" s="4"/>
      <c r="F645" s="4"/>
      <c r="G645" s="4"/>
      <c r="H645" s="4"/>
      <c r="I645" s="4"/>
    </row>
    <row r="646" spans="2:9">
      <c r="B646" s="4"/>
      <c r="C646" s="4"/>
      <c r="D646" s="4"/>
      <c r="E646" s="4"/>
      <c r="F646" s="4"/>
      <c r="G646" s="4"/>
      <c r="H646" s="4"/>
      <c r="I646" s="4"/>
    </row>
    <row r="647" spans="2:9">
      <c r="B647" s="4"/>
      <c r="C647" s="4"/>
      <c r="D647" s="4"/>
      <c r="E647" s="4"/>
      <c r="F647" s="4"/>
      <c r="G647" s="4"/>
      <c r="H647" s="4"/>
      <c r="I647" s="4"/>
    </row>
    <row r="648" spans="2:9">
      <c r="B648" s="4"/>
      <c r="C648" s="4"/>
      <c r="D648" s="4"/>
      <c r="E648" s="4"/>
      <c r="F648" s="4"/>
      <c r="G648" s="4"/>
      <c r="H648" s="4"/>
      <c r="I648" s="4"/>
    </row>
    <row r="649" spans="2:9">
      <c r="B649" s="4"/>
      <c r="C649" s="4"/>
      <c r="D649" s="4"/>
      <c r="E649" s="4"/>
      <c r="F649" s="4"/>
      <c r="G649" s="4"/>
      <c r="H649" s="4"/>
      <c r="I649" s="4"/>
    </row>
    <row r="650" spans="2:9">
      <c r="B650" s="4"/>
      <c r="C650" s="4"/>
      <c r="D650" s="4"/>
      <c r="E650" s="4"/>
      <c r="F650" s="4"/>
      <c r="G650" s="4"/>
      <c r="H650" s="4"/>
      <c r="I650" s="4"/>
    </row>
    <row r="651" spans="2:9">
      <c r="B651" s="4"/>
      <c r="C651" s="4"/>
      <c r="D651" s="4"/>
      <c r="E651" s="4"/>
      <c r="F651" s="4"/>
      <c r="G651" s="4"/>
      <c r="H651" s="4"/>
      <c r="I651" s="4"/>
    </row>
    <row r="652" spans="2:9">
      <c r="B652" s="4"/>
      <c r="C652" s="4"/>
      <c r="D652" s="4"/>
      <c r="E652" s="4"/>
      <c r="F652" s="4"/>
      <c r="G652" s="4"/>
      <c r="H652" s="4"/>
      <c r="I652" s="4"/>
    </row>
    <row r="653" spans="2:9">
      <c r="B653" s="4"/>
      <c r="C653" s="4"/>
      <c r="D653" s="4"/>
      <c r="E653" s="4"/>
      <c r="F653" s="4"/>
      <c r="G653" s="4"/>
      <c r="H653" s="4"/>
      <c r="I653" s="4"/>
    </row>
    <row r="654" spans="2:9">
      <c r="B654" s="4"/>
      <c r="C654" s="4"/>
      <c r="D654" s="4"/>
      <c r="E654" s="4"/>
      <c r="F654" s="4"/>
      <c r="G654" s="4"/>
      <c r="H654" s="4"/>
      <c r="I654" s="4"/>
    </row>
    <row r="655" spans="2:9">
      <c r="B655" s="4"/>
      <c r="C655" s="4"/>
      <c r="D655" s="4"/>
      <c r="E655" s="4"/>
      <c r="F655" s="4"/>
      <c r="G655" s="4"/>
      <c r="H655" s="4"/>
      <c r="I655" s="4"/>
    </row>
    <row r="656" spans="2:9">
      <c r="B656" s="4"/>
      <c r="C656" s="4"/>
      <c r="D656" s="4"/>
      <c r="E656" s="4"/>
      <c r="F656" s="4"/>
      <c r="G656" s="4"/>
      <c r="H656" s="4"/>
      <c r="I656" s="4"/>
    </row>
    <row r="657" spans="2:9">
      <c r="B657" s="4"/>
      <c r="C657" s="4"/>
      <c r="D657" s="4"/>
      <c r="E657" s="4"/>
      <c r="F657" s="4"/>
      <c r="G657" s="4"/>
      <c r="H657" s="4"/>
      <c r="I657" s="4"/>
    </row>
    <row r="658" spans="2:9">
      <c r="B658" s="4"/>
      <c r="C658" s="4"/>
      <c r="D658" s="4"/>
      <c r="E658" s="4"/>
      <c r="F658" s="4"/>
      <c r="G658" s="4"/>
      <c r="H658" s="4"/>
      <c r="I658" s="4"/>
    </row>
    <row r="659" spans="2:9">
      <c r="B659" s="4"/>
      <c r="C659" s="4"/>
      <c r="D659" s="4"/>
      <c r="E659" s="4"/>
      <c r="F659" s="4"/>
      <c r="G659" s="4"/>
      <c r="H659" s="4"/>
      <c r="I659" s="4"/>
    </row>
    <row r="660" spans="2:9">
      <c r="B660" s="4"/>
      <c r="C660" s="4"/>
      <c r="D660" s="4"/>
      <c r="E660" s="4"/>
      <c r="F660" s="4"/>
      <c r="G660" s="4"/>
      <c r="H660" s="4"/>
      <c r="I660" s="4"/>
    </row>
    <row r="661" spans="2:9">
      <c r="B661" s="4"/>
      <c r="C661" s="4"/>
      <c r="D661" s="4"/>
      <c r="E661" s="4"/>
      <c r="F661" s="4"/>
      <c r="G661" s="4"/>
      <c r="H661" s="4"/>
      <c r="I661" s="4"/>
    </row>
    <row r="662" spans="2:9">
      <c r="B662" s="4"/>
      <c r="C662" s="4"/>
      <c r="D662" s="4"/>
      <c r="E662" s="4"/>
      <c r="F662" s="4"/>
      <c r="G662" s="4"/>
      <c r="H662" s="4"/>
      <c r="I662" s="4"/>
    </row>
    <row r="663" spans="2:9">
      <c r="B663" s="4"/>
      <c r="C663" s="4"/>
      <c r="D663" s="4"/>
      <c r="E663" s="4"/>
      <c r="F663" s="4"/>
      <c r="G663" s="4"/>
      <c r="H663" s="4"/>
      <c r="I663" s="4"/>
    </row>
    <row r="664" spans="2:9">
      <c r="B664" s="4"/>
      <c r="C664" s="4"/>
      <c r="D664" s="4"/>
      <c r="E664" s="4"/>
      <c r="F664" s="4"/>
      <c r="G664" s="4"/>
      <c r="H664" s="4"/>
      <c r="I664" s="4"/>
    </row>
    <row r="665" spans="2:9">
      <c r="B665" s="4"/>
      <c r="C665" s="4"/>
      <c r="D665" s="4"/>
      <c r="E665" s="4"/>
      <c r="F665" s="4"/>
      <c r="G665" s="4"/>
      <c r="H665" s="4"/>
      <c r="I665" s="4"/>
    </row>
    <row r="666" spans="2:9">
      <c r="B666" s="4"/>
      <c r="C666" s="4"/>
      <c r="D666" s="4"/>
      <c r="E666" s="4"/>
      <c r="F666" s="4"/>
      <c r="G666" s="4"/>
      <c r="H666" s="4"/>
      <c r="I666" s="4"/>
    </row>
    <row r="667" spans="2:9">
      <c r="B667" s="4"/>
      <c r="C667" s="4"/>
      <c r="D667" s="4"/>
      <c r="E667" s="4"/>
      <c r="F667" s="4"/>
      <c r="G667" s="4"/>
      <c r="H667" s="4"/>
      <c r="I667" s="4"/>
    </row>
    <row r="668" spans="2:9">
      <c r="B668" s="4"/>
      <c r="C668" s="4"/>
      <c r="D668" s="4"/>
      <c r="E668" s="4"/>
      <c r="F668" s="4"/>
      <c r="G668" s="4"/>
      <c r="H668" s="4"/>
      <c r="I668" s="4"/>
    </row>
    <row r="669" spans="2:9">
      <c r="B669" s="4"/>
      <c r="C669" s="4"/>
      <c r="D669" s="4"/>
      <c r="E669" s="4"/>
      <c r="F669" s="4"/>
      <c r="G669" s="4"/>
      <c r="H669" s="4"/>
      <c r="I669" s="4"/>
    </row>
    <row r="670" spans="2:9">
      <c r="B670" s="4"/>
      <c r="C670" s="4"/>
      <c r="D670" s="4"/>
      <c r="E670" s="4"/>
      <c r="F670" s="4"/>
      <c r="G670" s="4"/>
      <c r="H670" s="4"/>
      <c r="I670" s="4"/>
    </row>
    <row r="671" spans="2:9">
      <c r="B671" s="4"/>
      <c r="C671" s="4"/>
      <c r="D671" s="4"/>
      <c r="E671" s="4"/>
      <c r="F671" s="4"/>
      <c r="G671" s="4"/>
      <c r="H671" s="4"/>
      <c r="I671" s="4"/>
    </row>
    <row r="672" spans="2:9">
      <c r="B672" s="4"/>
      <c r="C672" s="4"/>
      <c r="D672" s="4"/>
      <c r="E672" s="4"/>
      <c r="F672" s="4"/>
      <c r="G672" s="4"/>
      <c r="H672" s="4"/>
      <c r="I672" s="4"/>
    </row>
    <row r="673" spans="2:9">
      <c r="B673" s="4"/>
      <c r="C673" s="4"/>
      <c r="D673" s="4"/>
      <c r="E673" s="4"/>
      <c r="F673" s="4"/>
      <c r="G673" s="4"/>
      <c r="H673" s="4"/>
      <c r="I673" s="4"/>
    </row>
    <row r="674" spans="2:9">
      <c r="B674" s="4"/>
      <c r="C674" s="4"/>
      <c r="D674" s="4"/>
      <c r="E674" s="4"/>
      <c r="F674" s="4"/>
      <c r="G674" s="4"/>
      <c r="H674" s="4"/>
      <c r="I674" s="4"/>
    </row>
    <row r="675" spans="2:9">
      <c r="B675" s="4"/>
      <c r="C675" s="4"/>
      <c r="D675" s="4"/>
      <c r="E675" s="4"/>
      <c r="F675" s="4"/>
      <c r="G675" s="4"/>
      <c r="H675" s="4"/>
      <c r="I675" s="4"/>
    </row>
    <row r="676" spans="2:9">
      <c r="B676" s="4"/>
      <c r="C676" s="4"/>
      <c r="D676" s="4"/>
      <c r="E676" s="4"/>
      <c r="F676" s="4"/>
      <c r="G676" s="4"/>
      <c r="H676" s="4"/>
      <c r="I676" s="4"/>
    </row>
    <row r="677" spans="2:9">
      <c r="B677" s="4"/>
      <c r="C677" s="4"/>
      <c r="D677" s="4"/>
      <c r="E677" s="4"/>
      <c r="F677" s="4"/>
      <c r="G677" s="4"/>
      <c r="H677" s="4"/>
      <c r="I677" s="4"/>
    </row>
    <row r="678" spans="2:9">
      <c r="B678" s="4"/>
      <c r="C678" s="4"/>
      <c r="D678" s="4"/>
      <c r="E678" s="4"/>
      <c r="F678" s="4"/>
      <c r="G678" s="4"/>
      <c r="H678" s="4"/>
      <c r="I678" s="4"/>
    </row>
    <row r="679" spans="2:9">
      <c r="B679" s="4"/>
      <c r="C679" s="4"/>
      <c r="D679" s="4"/>
      <c r="E679" s="4"/>
      <c r="F679" s="4"/>
      <c r="G679" s="4"/>
      <c r="H679" s="4"/>
      <c r="I679" s="4"/>
    </row>
    <row r="680" spans="2:9">
      <c r="B680" s="4"/>
      <c r="C680" s="4"/>
      <c r="D680" s="4"/>
      <c r="E680" s="4"/>
      <c r="F680" s="4"/>
      <c r="G680" s="4"/>
      <c r="H680" s="4"/>
      <c r="I680" s="4"/>
    </row>
    <row r="681" spans="2:9">
      <c r="B681" s="4"/>
      <c r="C681" s="4"/>
      <c r="D681" s="4"/>
      <c r="E681" s="4"/>
      <c r="F681" s="4"/>
      <c r="G681" s="4"/>
      <c r="H681" s="4"/>
      <c r="I681" s="4"/>
    </row>
    <row r="682" spans="2:9">
      <c r="B682" s="4"/>
      <c r="C682" s="4"/>
      <c r="D682" s="4"/>
      <c r="E682" s="4"/>
      <c r="F682" s="4"/>
      <c r="G682" s="4"/>
      <c r="H682" s="4"/>
      <c r="I682" s="4"/>
    </row>
    <row r="683" spans="2:9">
      <c r="B683" s="4"/>
      <c r="C683" s="4"/>
      <c r="D683" s="4"/>
      <c r="E683" s="4"/>
      <c r="F683" s="4"/>
      <c r="G683" s="4"/>
      <c r="H683" s="4"/>
      <c r="I683" s="4"/>
    </row>
    <row r="684" spans="2:9">
      <c r="B684" s="4"/>
      <c r="C684" s="4"/>
      <c r="D684" s="4"/>
      <c r="E684" s="4"/>
      <c r="F684" s="4"/>
      <c r="G684" s="4"/>
      <c r="H684" s="4"/>
      <c r="I684" s="4"/>
    </row>
    <row r="685" spans="2:9">
      <c r="B685" s="4"/>
      <c r="C685" s="4"/>
      <c r="D685" s="4"/>
      <c r="E685" s="4"/>
      <c r="F685" s="4"/>
      <c r="G685" s="4"/>
      <c r="H685" s="4"/>
      <c r="I685" s="4"/>
    </row>
    <row r="686" spans="2:9">
      <c r="B686" s="4"/>
      <c r="C686" s="4"/>
      <c r="D686" s="4"/>
      <c r="E686" s="4"/>
      <c r="F686" s="4"/>
      <c r="G686" s="4"/>
      <c r="H686" s="4"/>
      <c r="I686" s="4"/>
    </row>
    <row r="687" spans="2:9">
      <c r="B687" s="4"/>
      <c r="C687" s="4"/>
      <c r="D687" s="4"/>
      <c r="E687" s="4"/>
      <c r="F687" s="4"/>
      <c r="G687" s="4"/>
      <c r="H687" s="4"/>
      <c r="I687" s="4"/>
    </row>
    <row r="688" spans="2:9">
      <c r="B688" s="4"/>
      <c r="C688" s="4"/>
      <c r="D688" s="4"/>
      <c r="E688" s="4"/>
      <c r="F688" s="4"/>
      <c r="G688" s="4"/>
      <c r="H688" s="4"/>
      <c r="I688" s="4"/>
    </row>
    <row r="689" spans="2:9">
      <c r="B689" s="4"/>
      <c r="C689" s="4"/>
      <c r="D689" s="4"/>
      <c r="E689" s="4"/>
      <c r="F689" s="4"/>
      <c r="G689" s="4"/>
      <c r="H689" s="4"/>
      <c r="I689" s="4"/>
    </row>
    <row r="690" spans="2:9">
      <c r="B690" s="4"/>
      <c r="C690" s="4"/>
      <c r="D690" s="4"/>
      <c r="E690" s="4"/>
      <c r="F690" s="4"/>
      <c r="G690" s="4"/>
      <c r="H690" s="4"/>
      <c r="I690" s="4"/>
    </row>
    <row r="691" spans="2:9">
      <c r="B691" s="4"/>
      <c r="C691" s="4"/>
      <c r="D691" s="4"/>
      <c r="E691" s="4"/>
      <c r="F691" s="4"/>
      <c r="G691" s="4"/>
      <c r="H691" s="4"/>
      <c r="I691" s="4"/>
    </row>
    <row r="692" spans="2:9">
      <c r="B692" s="4"/>
      <c r="C692" s="4"/>
      <c r="D692" s="4"/>
      <c r="E692" s="4"/>
      <c r="F692" s="4"/>
      <c r="G692" s="4"/>
      <c r="H692" s="4"/>
      <c r="I692" s="4"/>
    </row>
    <row r="693" spans="2:9">
      <c r="B693" s="4"/>
      <c r="C693" s="4"/>
      <c r="D693" s="4"/>
      <c r="E693" s="4"/>
      <c r="F693" s="4"/>
      <c r="G693" s="4"/>
      <c r="H693" s="4"/>
      <c r="I693" s="4"/>
    </row>
    <row r="694" spans="2:9">
      <c r="B694" s="4"/>
      <c r="C694" s="4"/>
      <c r="D694" s="4"/>
      <c r="E694" s="4"/>
      <c r="F694" s="4"/>
      <c r="G694" s="4"/>
      <c r="H694" s="4"/>
      <c r="I694" s="4"/>
    </row>
    <row r="695" spans="2:9">
      <c r="B695" s="4"/>
      <c r="C695" s="4"/>
      <c r="D695" s="4"/>
      <c r="E695" s="4"/>
      <c r="F695" s="4"/>
      <c r="G695" s="4"/>
      <c r="H695" s="4"/>
      <c r="I695" s="4"/>
    </row>
    <row r="696" spans="2:9">
      <c r="B696" s="4"/>
      <c r="C696" s="4"/>
      <c r="D696" s="4"/>
      <c r="E696" s="4"/>
      <c r="F696" s="4"/>
      <c r="G696" s="4"/>
      <c r="H696" s="4"/>
      <c r="I696" s="4"/>
    </row>
    <row r="697" spans="2:9">
      <c r="B697" s="4"/>
      <c r="C697" s="4"/>
      <c r="D697" s="4"/>
      <c r="E697" s="4"/>
      <c r="F697" s="4"/>
      <c r="G697" s="4"/>
      <c r="H697" s="4"/>
      <c r="I697" s="4"/>
    </row>
    <row r="698" spans="2:9">
      <c r="B698" s="4"/>
      <c r="C698" s="4"/>
      <c r="D698" s="4"/>
      <c r="E698" s="4"/>
      <c r="F698" s="4"/>
      <c r="G698" s="4"/>
      <c r="H698" s="4"/>
      <c r="I698" s="4"/>
    </row>
    <row r="699" spans="2:9">
      <c r="B699" s="4"/>
      <c r="C699" s="4"/>
      <c r="D699" s="4"/>
      <c r="E699" s="4"/>
      <c r="F699" s="4"/>
      <c r="G699" s="4"/>
      <c r="H699" s="4"/>
      <c r="I699" s="4"/>
    </row>
    <row r="700" spans="2:9">
      <c r="B700" s="4"/>
      <c r="C700" s="4"/>
      <c r="D700" s="4"/>
      <c r="E700" s="4"/>
      <c r="F700" s="4"/>
      <c r="G700" s="4"/>
      <c r="H700" s="4"/>
      <c r="I700" s="4"/>
    </row>
    <row r="701" spans="2:9">
      <c r="B701" s="4"/>
      <c r="C701" s="4"/>
      <c r="D701" s="4"/>
      <c r="E701" s="4"/>
      <c r="F701" s="4"/>
      <c r="G701" s="4"/>
      <c r="H701" s="4"/>
      <c r="I701" s="4"/>
    </row>
    <row r="702" spans="2:9">
      <c r="B702" s="4"/>
      <c r="C702" s="4"/>
      <c r="D702" s="4"/>
      <c r="E702" s="4"/>
      <c r="F702" s="4"/>
      <c r="G702" s="4"/>
      <c r="H702" s="4"/>
      <c r="I702" s="4"/>
    </row>
    <row r="703" spans="2:9">
      <c r="B703" s="4"/>
      <c r="C703" s="4"/>
      <c r="D703" s="4"/>
      <c r="E703" s="4"/>
      <c r="F703" s="4"/>
      <c r="G703" s="4"/>
      <c r="H703" s="4"/>
      <c r="I703" s="4"/>
    </row>
    <row r="704" spans="2:9">
      <c r="B704" s="4"/>
      <c r="C704" s="4"/>
      <c r="D704" s="4"/>
      <c r="E704" s="4"/>
      <c r="F704" s="4"/>
      <c r="G704" s="4"/>
      <c r="H704" s="4"/>
      <c r="I704" s="4"/>
    </row>
    <row r="705" spans="2:9">
      <c r="B705" s="4"/>
      <c r="C705" s="4"/>
      <c r="D705" s="4"/>
      <c r="E705" s="4"/>
      <c r="F705" s="4"/>
      <c r="G705" s="4"/>
      <c r="H705" s="4"/>
      <c r="I705" s="4"/>
    </row>
    <row r="706" spans="2:9">
      <c r="B706" s="4"/>
      <c r="C706" s="4"/>
      <c r="D706" s="4"/>
      <c r="E706" s="4"/>
      <c r="F706" s="4"/>
      <c r="G706" s="4"/>
      <c r="H706" s="4"/>
      <c r="I706" s="4"/>
    </row>
    <row r="707" spans="2:9">
      <c r="B707" s="4"/>
      <c r="C707" s="4"/>
      <c r="D707" s="4"/>
      <c r="E707" s="4"/>
      <c r="F707" s="4"/>
      <c r="G707" s="4"/>
      <c r="H707" s="4"/>
      <c r="I707" s="4"/>
    </row>
    <row r="708" spans="2:9">
      <c r="B708" s="4"/>
      <c r="C708" s="4"/>
      <c r="D708" s="4"/>
      <c r="E708" s="4"/>
      <c r="F708" s="4"/>
      <c r="G708" s="4"/>
      <c r="H708" s="4"/>
      <c r="I708" s="4"/>
    </row>
    <row r="709" spans="2:9">
      <c r="B709" s="4"/>
      <c r="C709" s="4"/>
      <c r="D709" s="4"/>
      <c r="E709" s="4"/>
      <c r="F709" s="4"/>
      <c r="G709" s="4"/>
      <c r="H709" s="4"/>
      <c r="I709" s="4"/>
    </row>
    <row r="710" spans="2:9">
      <c r="B710" s="4"/>
      <c r="C710" s="4"/>
      <c r="D710" s="4"/>
      <c r="E710" s="4"/>
      <c r="F710" s="4"/>
      <c r="G710" s="4"/>
      <c r="H710" s="4"/>
      <c r="I710" s="4"/>
    </row>
    <row r="711" spans="2:9">
      <c r="B711" s="4"/>
      <c r="C711" s="4"/>
      <c r="D711" s="4"/>
      <c r="E711" s="4"/>
      <c r="F711" s="4"/>
      <c r="G711" s="4"/>
      <c r="H711" s="4"/>
      <c r="I711" s="4"/>
    </row>
    <row r="712" spans="2:9">
      <c r="B712" s="4"/>
      <c r="C712" s="4"/>
      <c r="D712" s="4"/>
      <c r="E712" s="4"/>
      <c r="F712" s="4"/>
      <c r="G712" s="4"/>
      <c r="H712" s="4"/>
      <c r="I712" s="4"/>
    </row>
    <row r="713" spans="2:9">
      <c r="B713" s="4"/>
      <c r="C713" s="4"/>
      <c r="D713" s="4"/>
      <c r="E713" s="4"/>
      <c r="F713" s="4"/>
      <c r="G713" s="4"/>
      <c r="H713" s="4"/>
      <c r="I713" s="4"/>
    </row>
    <row r="714" spans="2:9">
      <c r="B714" s="4"/>
      <c r="C714" s="4"/>
      <c r="D714" s="4"/>
      <c r="E714" s="4"/>
      <c r="F714" s="4"/>
      <c r="G714" s="4"/>
      <c r="H714" s="4"/>
      <c r="I714" s="4"/>
    </row>
    <row r="715" spans="2:9">
      <c r="B715" s="4"/>
      <c r="C715" s="4"/>
      <c r="D715" s="4"/>
      <c r="E715" s="4"/>
      <c r="F715" s="4"/>
      <c r="G715" s="4"/>
      <c r="H715" s="4"/>
      <c r="I715" s="4"/>
    </row>
    <row r="716" spans="2:9">
      <c r="B716" s="4"/>
      <c r="C716" s="4"/>
      <c r="D716" s="4"/>
      <c r="E716" s="4"/>
      <c r="F716" s="4"/>
      <c r="G716" s="4"/>
      <c r="H716" s="4"/>
      <c r="I716" s="4"/>
    </row>
    <row r="717" spans="2:9">
      <c r="B717" s="4"/>
      <c r="C717" s="4"/>
      <c r="D717" s="4"/>
      <c r="E717" s="4"/>
      <c r="F717" s="4"/>
      <c r="G717" s="4"/>
      <c r="H717" s="4"/>
      <c r="I717" s="4"/>
    </row>
    <row r="718" spans="2:9">
      <c r="B718" s="4"/>
      <c r="C718" s="4"/>
      <c r="D718" s="4"/>
      <c r="E718" s="4"/>
      <c r="F718" s="4"/>
      <c r="G718" s="4"/>
      <c r="H718" s="4"/>
      <c r="I718" s="4"/>
    </row>
    <row r="719" spans="2:9">
      <c r="B719" s="4"/>
      <c r="C719" s="4"/>
      <c r="D719" s="4"/>
      <c r="E719" s="4"/>
      <c r="F719" s="4"/>
      <c r="G719" s="4"/>
      <c r="H719" s="4"/>
      <c r="I719" s="4"/>
    </row>
    <row r="720" spans="2:9">
      <c r="B720" s="4"/>
      <c r="C720" s="4"/>
      <c r="D720" s="4"/>
      <c r="E720" s="4"/>
      <c r="F720" s="4"/>
      <c r="G720" s="4"/>
      <c r="H720" s="4"/>
      <c r="I720" s="4"/>
    </row>
    <row r="721" spans="2:9">
      <c r="B721" s="4"/>
      <c r="C721" s="4"/>
      <c r="D721" s="4"/>
      <c r="E721" s="4"/>
      <c r="F721" s="4"/>
      <c r="G721" s="4"/>
      <c r="H721" s="4"/>
      <c r="I721" s="4"/>
    </row>
    <row r="722" spans="2:9">
      <c r="B722" s="4"/>
      <c r="C722" s="4"/>
      <c r="D722" s="4"/>
      <c r="E722" s="4"/>
      <c r="F722" s="4"/>
      <c r="G722" s="4"/>
      <c r="H722" s="4"/>
      <c r="I722" s="4"/>
    </row>
    <row r="723" spans="2:9">
      <c r="B723" s="4"/>
      <c r="C723" s="4"/>
      <c r="D723" s="4"/>
      <c r="E723" s="4"/>
      <c r="F723" s="4"/>
      <c r="G723" s="4"/>
      <c r="H723" s="4"/>
      <c r="I723" s="4"/>
    </row>
    <row r="724" spans="2:9">
      <c r="B724" s="4"/>
      <c r="C724" s="4"/>
      <c r="D724" s="4"/>
      <c r="E724" s="4"/>
      <c r="F724" s="4"/>
      <c r="G724" s="4"/>
      <c r="H724" s="4"/>
      <c r="I724" s="4"/>
    </row>
    <row r="725" spans="2:9">
      <c r="B725" s="4"/>
      <c r="C725" s="4"/>
      <c r="D725" s="4"/>
      <c r="E725" s="4"/>
      <c r="F725" s="4"/>
      <c r="G725" s="4"/>
      <c r="H725" s="4"/>
      <c r="I725" s="4"/>
    </row>
    <row r="726" spans="2:9">
      <c r="B726" s="4"/>
      <c r="C726" s="4"/>
      <c r="D726" s="4"/>
      <c r="E726" s="4"/>
      <c r="F726" s="4"/>
      <c r="G726" s="4"/>
      <c r="H726" s="4"/>
      <c r="I726" s="4"/>
    </row>
    <row r="727" spans="2:9">
      <c r="B727" s="4"/>
      <c r="C727" s="4"/>
      <c r="D727" s="4"/>
      <c r="E727" s="4"/>
      <c r="F727" s="4"/>
      <c r="G727" s="4"/>
      <c r="H727" s="4"/>
      <c r="I727" s="4"/>
    </row>
    <row r="728" spans="2:9">
      <c r="B728" s="4"/>
      <c r="C728" s="4"/>
      <c r="D728" s="4"/>
      <c r="E728" s="4"/>
      <c r="F728" s="4"/>
      <c r="G728" s="4"/>
      <c r="H728" s="4"/>
      <c r="I728" s="4"/>
    </row>
    <row r="729" spans="2:9">
      <c r="B729" s="4"/>
      <c r="C729" s="4"/>
      <c r="D729" s="4"/>
      <c r="E729" s="4"/>
      <c r="F729" s="4"/>
      <c r="G729" s="4"/>
      <c r="H729" s="4"/>
      <c r="I729" s="4"/>
    </row>
    <row r="730" spans="2:9">
      <c r="B730" s="4"/>
      <c r="C730" s="4"/>
      <c r="D730" s="4"/>
      <c r="E730" s="4"/>
      <c r="F730" s="4"/>
      <c r="G730" s="4"/>
      <c r="H730" s="4"/>
      <c r="I730" s="4"/>
    </row>
    <row r="731" spans="2:9">
      <c r="B731" s="4"/>
      <c r="C731" s="4"/>
      <c r="D731" s="4"/>
      <c r="E731" s="4"/>
      <c r="F731" s="4"/>
      <c r="G731" s="4"/>
      <c r="H731" s="4"/>
      <c r="I731" s="4"/>
    </row>
    <row r="732" spans="2:9">
      <c r="B732" s="4"/>
      <c r="C732" s="4"/>
      <c r="D732" s="4"/>
      <c r="E732" s="4"/>
      <c r="F732" s="4"/>
      <c r="G732" s="4"/>
      <c r="H732" s="4"/>
      <c r="I732" s="4"/>
    </row>
    <row r="733" spans="2:9">
      <c r="B733" s="4"/>
      <c r="C733" s="4"/>
      <c r="D733" s="4"/>
      <c r="E733" s="4"/>
      <c r="F733" s="4"/>
      <c r="G733" s="4"/>
      <c r="H733" s="4"/>
      <c r="I733" s="4"/>
    </row>
    <row r="734" spans="2:9">
      <c r="B734" s="4"/>
      <c r="C734" s="4"/>
      <c r="D734" s="4"/>
      <c r="E734" s="4"/>
      <c r="F734" s="4"/>
      <c r="G734" s="4"/>
      <c r="H734" s="4"/>
      <c r="I734" s="4"/>
    </row>
    <row r="735" spans="2:9">
      <c r="B735" s="4"/>
      <c r="C735" s="4"/>
      <c r="D735" s="4"/>
      <c r="E735" s="4"/>
      <c r="F735" s="4"/>
      <c r="G735" s="4"/>
      <c r="H735" s="4"/>
      <c r="I735" s="4"/>
    </row>
    <row r="736" spans="2:9">
      <c r="B736" s="4"/>
      <c r="C736" s="4"/>
      <c r="D736" s="4"/>
      <c r="E736" s="4"/>
      <c r="F736" s="4"/>
      <c r="G736" s="4"/>
      <c r="H736" s="4"/>
      <c r="I736" s="4"/>
    </row>
    <row r="737" spans="2:9">
      <c r="B737" s="4"/>
      <c r="C737" s="4"/>
      <c r="D737" s="4"/>
      <c r="E737" s="4"/>
      <c r="F737" s="4"/>
      <c r="G737" s="4"/>
      <c r="H737" s="4"/>
      <c r="I737" s="4"/>
    </row>
    <row r="738" spans="2:9">
      <c r="B738" s="4"/>
      <c r="C738" s="4"/>
      <c r="D738" s="4"/>
      <c r="E738" s="4"/>
      <c r="F738" s="4"/>
      <c r="G738" s="4"/>
      <c r="H738" s="4"/>
      <c r="I738" s="4"/>
    </row>
    <row r="739" spans="2:9">
      <c r="B739" s="4"/>
      <c r="C739" s="4"/>
      <c r="D739" s="4"/>
      <c r="E739" s="4"/>
      <c r="F739" s="4"/>
      <c r="G739" s="4"/>
      <c r="H739" s="4"/>
      <c r="I739" s="4"/>
    </row>
    <row r="740" spans="2:9">
      <c r="B740" s="4"/>
      <c r="C740" s="4"/>
      <c r="D740" s="4"/>
      <c r="E740" s="4"/>
      <c r="F740" s="4"/>
      <c r="G740" s="4"/>
      <c r="H740" s="4"/>
      <c r="I740" s="4"/>
    </row>
    <row r="741" spans="2:9">
      <c r="B741" s="4"/>
      <c r="C741" s="4"/>
      <c r="D741" s="4"/>
      <c r="E741" s="4"/>
      <c r="F741" s="4"/>
      <c r="G741" s="4"/>
      <c r="H741" s="4"/>
      <c r="I741" s="4"/>
    </row>
    <row r="742" spans="2:9">
      <c r="B742" s="4"/>
      <c r="C742" s="4"/>
      <c r="D742" s="4"/>
      <c r="E742" s="4"/>
      <c r="F742" s="4"/>
      <c r="G742" s="4"/>
      <c r="H742" s="4"/>
      <c r="I742" s="4"/>
    </row>
    <row r="743" spans="2:9">
      <c r="B743" s="4"/>
      <c r="C743" s="4"/>
      <c r="D743" s="4"/>
      <c r="E743" s="4"/>
      <c r="F743" s="4"/>
      <c r="G743" s="4"/>
      <c r="H743" s="4"/>
      <c r="I743" s="4"/>
    </row>
    <row r="744" spans="2:9">
      <c r="B744" s="4"/>
      <c r="C744" s="4"/>
      <c r="D744" s="4"/>
      <c r="E744" s="4"/>
      <c r="F744" s="4"/>
      <c r="G744" s="4"/>
      <c r="H744" s="4"/>
      <c r="I744" s="4"/>
    </row>
    <row r="745" spans="2:9">
      <c r="B745" s="4"/>
      <c r="C745" s="4"/>
      <c r="D745" s="4"/>
      <c r="E745" s="4"/>
      <c r="F745" s="4"/>
      <c r="G745" s="4"/>
      <c r="H745" s="4"/>
      <c r="I745" s="4"/>
    </row>
    <row r="746" spans="2:9">
      <c r="B746" s="4"/>
      <c r="C746" s="4"/>
      <c r="D746" s="4"/>
      <c r="E746" s="4"/>
      <c r="F746" s="4"/>
      <c r="G746" s="4"/>
      <c r="H746" s="4"/>
      <c r="I746" s="4"/>
    </row>
    <row r="747" spans="2:9">
      <c r="B747" s="4"/>
      <c r="C747" s="4"/>
      <c r="D747" s="4"/>
      <c r="E747" s="4"/>
      <c r="F747" s="4"/>
      <c r="G747" s="4"/>
      <c r="H747" s="4"/>
      <c r="I747" s="4"/>
    </row>
    <row r="748" spans="2:9">
      <c r="B748" s="4"/>
      <c r="C748" s="4"/>
      <c r="D748" s="4"/>
      <c r="E748" s="4"/>
      <c r="F748" s="4"/>
      <c r="G748" s="4"/>
      <c r="H748" s="4"/>
      <c r="I748" s="4"/>
    </row>
    <row r="749" spans="2:9">
      <c r="B749" s="4"/>
      <c r="C749" s="4"/>
      <c r="D749" s="4"/>
      <c r="E749" s="4"/>
      <c r="F749" s="4"/>
      <c r="G749" s="4"/>
      <c r="H749" s="4"/>
      <c r="I749" s="4"/>
    </row>
    <row r="750" spans="2:9">
      <c r="B750" s="4"/>
      <c r="C750" s="4"/>
      <c r="D750" s="4"/>
      <c r="E750" s="4"/>
      <c r="F750" s="4"/>
      <c r="G750" s="4"/>
      <c r="H750" s="4"/>
      <c r="I750" s="4"/>
    </row>
    <row r="751" spans="2:9">
      <c r="B751" s="4"/>
      <c r="C751" s="4"/>
      <c r="D751" s="4"/>
      <c r="E751" s="4"/>
      <c r="F751" s="4"/>
      <c r="G751" s="4"/>
      <c r="H751" s="4"/>
      <c r="I751" s="4"/>
    </row>
    <row r="752" spans="2:9">
      <c r="B752" s="4"/>
      <c r="C752" s="4"/>
      <c r="D752" s="4"/>
      <c r="E752" s="4"/>
      <c r="F752" s="4"/>
      <c r="G752" s="4"/>
      <c r="H752" s="4"/>
      <c r="I752" s="4"/>
    </row>
    <row r="753" spans="2:9">
      <c r="B753" s="4"/>
      <c r="C753" s="4"/>
      <c r="D753" s="4"/>
      <c r="E753" s="4"/>
      <c r="F753" s="4"/>
      <c r="G753" s="4"/>
      <c r="H753" s="4"/>
      <c r="I753" s="4"/>
    </row>
    <row r="754" spans="2:9">
      <c r="B754" s="4"/>
      <c r="C754" s="4"/>
      <c r="D754" s="4"/>
      <c r="E754" s="4"/>
      <c r="F754" s="4"/>
      <c r="G754" s="4"/>
      <c r="H754" s="4"/>
      <c r="I754" s="4"/>
    </row>
    <row r="755" spans="2:9">
      <c r="B755" s="4"/>
      <c r="C755" s="4"/>
      <c r="D755" s="4"/>
      <c r="E755" s="4"/>
      <c r="F755" s="4"/>
      <c r="G755" s="4"/>
      <c r="H755" s="4"/>
      <c r="I755" s="4"/>
    </row>
    <row r="756" spans="2:9">
      <c r="B756" s="4"/>
      <c r="C756" s="4"/>
      <c r="D756" s="4"/>
      <c r="E756" s="4"/>
      <c r="F756" s="4"/>
      <c r="G756" s="4"/>
      <c r="H756" s="4"/>
      <c r="I756" s="4"/>
    </row>
    <row r="757" spans="2:9">
      <c r="B757" s="4"/>
      <c r="C757" s="4"/>
      <c r="D757" s="4"/>
      <c r="E757" s="4"/>
      <c r="F757" s="4"/>
      <c r="G757" s="4"/>
      <c r="H757" s="4"/>
      <c r="I757" s="4"/>
    </row>
    <row r="758" spans="2:9">
      <c r="B758" s="4"/>
      <c r="C758" s="4"/>
      <c r="D758" s="4"/>
      <c r="E758" s="4"/>
      <c r="F758" s="4"/>
      <c r="G758" s="4"/>
      <c r="H758" s="4"/>
      <c r="I758" s="4"/>
    </row>
    <row r="759" spans="2:9">
      <c r="B759" s="4"/>
      <c r="C759" s="4"/>
      <c r="D759" s="4"/>
      <c r="E759" s="4"/>
      <c r="F759" s="4"/>
      <c r="G759" s="4"/>
      <c r="H759" s="4"/>
      <c r="I759" s="4"/>
    </row>
    <row r="760" spans="2:9">
      <c r="B760" s="4"/>
      <c r="C760" s="4"/>
      <c r="D760" s="4"/>
      <c r="E760" s="4"/>
      <c r="F760" s="4"/>
      <c r="G760" s="4"/>
      <c r="H760" s="4"/>
      <c r="I760" s="4"/>
    </row>
    <row r="761" spans="2:9">
      <c r="B761" s="4"/>
      <c r="C761" s="4"/>
      <c r="D761" s="4"/>
      <c r="E761" s="4"/>
      <c r="F761" s="4"/>
      <c r="G761" s="4"/>
      <c r="H761" s="4"/>
      <c r="I761" s="4"/>
    </row>
    <row r="762" spans="2:9">
      <c r="B762" s="4"/>
      <c r="C762" s="4"/>
      <c r="D762" s="4"/>
      <c r="E762" s="4"/>
      <c r="F762" s="4"/>
      <c r="G762" s="4"/>
      <c r="H762" s="4"/>
      <c r="I762" s="4"/>
    </row>
    <row r="763" spans="2:9">
      <c r="B763" s="4"/>
      <c r="C763" s="4"/>
      <c r="D763" s="4"/>
      <c r="E763" s="4"/>
      <c r="F763" s="4"/>
      <c r="G763" s="4"/>
      <c r="H763" s="4"/>
      <c r="I763" s="4"/>
    </row>
    <row r="764" spans="2:9">
      <c r="B764" s="4"/>
      <c r="C764" s="4"/>
      <c r="D764" s="4"/>
      <c r="E764" s="4"/>
      <c r="F764" s="4"/>
      <c r="G764" s="4"/>
      <c r="H764" s="4"/>
      <c r="I764" s="4"/>
    </row>
    <row r="765" spans="2:9">
      <c r="B765" s="4"/>
      <c r="C765" s="4"/>
      <c r="D765" s="4"/>
      <c r="E765" s="4"/>
      <c r="F765" s="4"/>
      <c r="G765" s="4"/>
      <c r="H765" s="4"/>
      <c r="I765" s="4"/>
    </row>
    <row r="766" spans="2:9">
      <c r="B766" s="4"/>
      <c r="C766" s="4"/>
      <c r="D766" s="4"/>
      <c r="E766" s="4"/>
      <c r="F766" s="4"/>
      <c r="G766" s="4"/>
      <c r="H766" s="4"/>
      <c r="I766" s="4"/>
    </row>
    <row r="767" spans="2:9">
      <c r="B767" s="4"/>
      <c r="C767" s="4"/>
      <c r="D767" s="4"/>
      <c r="E767" s="4"/>
      <c r="F767" s="4"/>
      <c r="G767" s="4"/>
      <c r="H767" s="4"/>
      <c r="I767" s="4"/>
    </row>
    <row r="768" spans="2:9">
      <c r="B768" s="4"/>
      <c r="C768" s="4"/>
      <c r="D768" s="4"/>
      <c r="E768" s="4"/>
      <c r="F768" s="4"/>
      <c r="G768" s="4"/>
      <c r="H768" s="4"/>
      <c r="I768" s="4"/>
    </row>
    <row r="769" spans="2:9">
      <c r="B769" s="4"/>
      <c r="C769" s="4"/>
      <c r="D769" s="4"/>
      <c r="E769" s="4"/>
      <c r="F769" s="4"/>
      <c r="G769" s="4"/>
      <c r="H769" s="4"/>
      <c r="I769" s="4"/>
    </row>
    <row r="770" spans="2:9">
      <c r="B770" s="4"/>
      <c r="C770" s="4"/>
      <c r="D770" s="4"/>
      <c r="E770" s="4"/>
      <c r="F770" s="4"/>
      <c r="G770" s="4"/>
      <c r="H770" s="4"/>
      <c r="I770" s="4"/>
    </row>
    <row r="771" spans="2:9">
      <c r="B771" s="4"/>
      <c r="C771" s="4"/>
      <c r="D771" s="4"/>
      <c r="E771" s="4"/>
      <c r="F771" s="4"/>
      <c r="G771" s="4"/>
      <c r="H771" s="4"/>
      <c r="I771" s="4"/>
    </row>
    <row r="772" spans="2:9">
      <c r="B772" s="4"/>
      <c r="C772" s="4"/>
      <c r="D772" s="4"/>
      <c r="E772" s="4"/>
      <c r="F772" s="4"/>
      <c r="G772" s="4"/>
      <c r="H772" s="4"/>
      <c r="I772" s="4"/>
    </row>
    <row r="773" spans="2:9">
      <c r="B773" s="4"/>
      <c r="C773" s="4"/>
      <c r="D773" s="4"/>
      <c r="E773" s="4"/>
      <c r="F773" s="4"/>
      <c r="G773" s="4"/>
      <c r="H773" s="4"/>
      <c r="I773" s="4"/>
    </row>
    <row r="774" spans="2:9">
      <c r="B774" s="4"/>
      <c r="C774" s="4"/>
      <c r="D774" s="4"/>
      <c r="E774" s="4"/>
      <c r="F774" s="4"/>
      <c r="G774" s="4"/>
      <c r="H774" s="4"/>
      <c r="I774" s="4"/>
    </row>
    <row r="775" spans="2:9">
      <c r="B775" s="4"/>
      <c r="C775" s="4"/>
      <c r="D775" s="4"/>
      <c r="E775" s="4"/>
      <c r="F775" s="4"/>
      <c r="G775" s="4"/>
      <c r="H775" s="4"/>
      <c r="I775" s="4"/>
    </row>
    <row r="776" spans="2:9">
      <c r="B776" s="4"/>
      <c r="C776" s="4"/>
      <c r="D776" s="4"/>
      <c r="E776" s="4"/>
      <c r="F776" s="4"/>
      <c r="G776" s="4"/>
      <c r="H776" s="4"/>
      <c r="I776" s="4"/>
    </row>
    <row r="777" spans="2:9">
      <c r="B777" s="4"/>
      <c r="C777" s="4"/>
      <c r="D777" s="4"/>
      <c r="E777" s="4"/>
      <c r="F777" s="4"/>
      <c r="G777" s="4"/>
      <c r="H777" s="4"/>
      <c r="I777" s="4"/>
    </row>
    <row r="778" spans="2:9">
      <c r="B778" s="4"/>
      <c r="C778" s="4"/>
      <c r="D778" s="4"/>
      <c r="E778" s="4"/>
      <c r="F778" s="4"/>
      <c r="G778" s="4"/>
      <c r="H778" s="4"/>
      <c r="I778" s="4"/>
    </row>
    <row r="779" spans="2:9">
      <c r="B779" s="4"/>
      <c r="C779" s="4"/>
      <c r="D779" s="4"/>
      <c r="E779" s="4"/>
      <c r="F779" s="4"/>
      <c r="G779" s="4"/>
      <c r="H779" s="4"/>
      <c r="I779" s="4"/>
    </row>
    <row r="780" spans="2:9">
      <c r="B780" s="4"/>
      <c r="C780" s="4"/>
      <c r="D780" s="4"/>
      <c r="E780" s="4"/>
      <c r="F780" s="4"/>
      <c r="G780" s="4"/>
      <c r="H780" s="4"/>
      <c r="I780" s="4"/>
    </row>
    <row r="781" spans="2:9">
      <c r="B781" s="4"/>
      <c r="C781" s="4"/>
      <c r="D781" s="4"/>
      <c r="E781" s="4"/>
      <c r="F781" s="4"/>
      <c r="G781" s="4"/>
      <c r="H781" s="4"/>
      <c r="I781" s="4"/>
    </row>
    <row r="782" spans="2:9">
      <c r="B782" s="4"/>
      <c r="C782" s="4"/>
      <c r="D782" s="4"/>
      <c r="E782" s="4"/>
      <c r="F782" s="4"/>
      <c r="G782" s="4"/>
      <c r="H782" s="4"/>
      <c r="I782" s="4"/>
    </row>
    <row r="783" spans="2:9">
      <c r="B783" s="4"/>
      <c r="C783" s="4"/>
      <c r="D783" s="4"/>
      <c r="E783" s="4"/>
      <c r="F783" s="4"/>
      <c r="G783" s="4"/>
      <c r="H783" s="4"/>
      <c r="I783" s="4"/>
    </row>
    <row r="784" spans="2:9">
      <c r="B784" s="4"/>
      <c r="C784" s="4"/>
      <c r="D784" s="4"/>
      <c r="E784" s="4"/>
      <c r="F784" s="4"/>
      <c r="G784" s="4"/>
      <c r="H784" s="4"/>
      <c r="I784" s="4"/>
    </row>
    <row r="785" spans="2:9">
      <c r="B785" s="4"/>
      <c r="C785" s="4"/>
      <c r="D785" s="4"/>
      <c r="E785" s="4"/>
      <c r="F785" s="4"/>
      <c r="G785" s="4"/>
      <c r="H785" s="4"/>
      <c r="I785" s="4"/>
    </row>
    <row r="786" spans="2:9">
      <c r="B786" s="4"/>
      <c r="C786" s="4"/>
      <c r="D786" s="4"/>
      <c r="E786" s="4"/>
      <c r="F786" s="4"/>
      <c r="G786" s="4"/>
      <c r="H786" s="4"/>
      <c r="I786" s="4"/>
    </row>
    <row r="787" spans="2:9">
      <c r="B787" s="4"/>
      <c r="C787" s="4"/>
      <c r="D787" s="4"/>
      <c r="E787" s="4"/>
      <c r="F787" s="4"/>
      <c r="G787" s="4"/>
      <c r="H787" s="4"/>
      <c r="I787" s="4"/>
    </row>
    <row r="788" spans="2:9">
      <c r="B788" s="4"/>
      <c r="C788" s="4"/>
      <c r="D788" s="4"/>
      <c r="E788" s="4"/>
      <c r="F788" s="4"/>
      <c r="G788" s="4"/>
      <c r="H788" s="4"/>
      <c r="I788" s="4"/>
    </row>
    <row r="789" spans="2:9">
      <c r="B789" s="4"/>
      <c r="C789" s="4"/>
      <c r="D789" s="4"/>
      <c r="E789" s="4"/>
      <c r="F789" s="4"/>
      <c r="G789" s="4"/>
      <c r="H789" s="4"/>
      <c r="I789" s="4"/>
    </row>
    <row r="790" spans="2:9">
      <c r="B790" s="4"/>
      <c r="C790" s="4"/>
      <c r="D790" s="4"/>
      <c r="E790" s="4"/>
      <c r="F790" s="4"/>
      <c r="G790" s="4"/>
      <c r="H790" s="4"/>
      <c r="I790" s="4"/>
    </row>
    <row r="791" spans="2:9">
      <c r="B791" s="4"/>
      <c r="C791" s="4"/>
      <c r="D791" s="4"/>
      <c r="E791" s="4"/>
      <c r="F791" s="4"/>
      <c r="G791" s="4"/>
      <c r="H791" s="4"/>
      <c r="I791" s="4"/>
    </row>
    <row r="792" spans="2:9">
      <c r="B792" s="4"/>
      <c r="C792" s="4"/>
      <c r="D792" s="4"/>
      <c r="E792" s="4"/>
      <c r="F792" s="4"/>
      <c r="G792" s="4"/>
      <c r="H792" s="4"/>
      <c r="I792" s="4"/>
    </row>
    <row r="793" spans="2:9">
      <c r="B793" s="4"/>
      <c r="C793" s="4"/>
      <c r="D793" s="4"/>
      <c r="E793" s="4"/>
      <c r="F793" s="4"/>
      <c r="G793" s="4"/>
      <c r="H793" s="4"/>
      <c r="I793" s="4"/>
    </row>
    <row r="794" spans="2:9">
      <c r="B794" s="4"/>
      <c r="C794" s="4"/>
      <c r="D794" s="4"/>
      <c r="E794" s="4"/>
      <c r="F794" s="4"/>
      <c r="G794" s="4"/>
      <c r="H794" s="4"/>
      <c r="I794" s="4"/>
    </row>
    <row r="795" spans="2:9">
      <c r="B795" s="4"/>
      <c r="C795" s="4"/>
      <c r="D795" s="4"/>
      <c r="E795" s="4"/>
      <c r="F795" s="4"/>
      <c r="G795" s="4"/>
      <c r="H795" s="4"/>
      <c r="I795" s="4"/>
    </row>
    <row r="796" spans="2:9">
      <c r="B796" s="4"/>
      <c r="C796" s="4"/>
      <c r="D796" s="4"/>
      <c r="E796" s="4"/>
      <c r="F796" s="4"/>
      <c r="G796" s="4"/>
      <c r="H796" s="4"/>
      <c r="I796" s="4"/>
    </row>
    <row r="797" spans="2:9">
      <c r="B797" s="4"/>
      <c r="C797" s="4"/>
      <c r="D797" s="4"/>
      <c r="E797" s="4"/>
      <c r="F797" s="4"/>
      <c r="G797" s="4"/>
      <c r="H797" s="4"/>
      <c r="I797" s="4"/>
    </row>
    <row r="798" spans="2:9">
      <c r="B798" s="4"/>
      <c r="C798" s="4"/>
      <c r="D798" s="4"/>
      <c r="E798" s="4"/>
      <c r="F798" s="4"/>
      <c r="G798" s="4"/>
      <c r="H798" s="4"/>
      <c r="I798" s="4"/>
    </row>
    <row r="799" spans="2:9">
      <c r="B799" s="4"/>
      <c r="C799" s="4"/>
      <c r="D799" s="4"/>
      <c r="E799" s="4"/>
      <c r="F799" s="4"/>
      <c r="G799" s="4"/>
      <c r="H799" s="4"/>
      <c r="I799" s="4"/>
    </row>
    <row r="800" spans="2:9">
      <c r="B800" s="4"/>
      <c r="C800" s="4"/>
      <c r="D800" s="4"/>
      <c r="E800" s="4"/>
      <c r="F800" s="4"/>
      <c r="G800" s="4"/>
      <c r="H800" s="4"/>
      <c r="I800" s="4"/>
    </row>
    <row r="801" spans="2:9">
      <c r="B801" s="4"/>
      <c r="C801" s="4"/>
      <c r="D801" s="4"/>
      <c r="E801" s="4"/>
      <c r="F801" s="4"/>
      <c r="G801" s="4"/>
      <c r="H801" s="4"/>
      <c r="I801" s="4"/>
    </row>
    <row r="802" spans="2:9">
      <c r="B802" s="4"/>
      <c r="C802" s="4"/>
      <c r="D802" s="4"/>
      <c r="E802" s="4"/>
      <c r="F802" s="4"/>
      <c r="G802" s="4"/>
      <c r="H802" s="4"/>
      <c r="I802" s="4"/>
    </row>
    <row r="803" spans="2:9">
      <c r="B803" s="4"/>
      <c r="C803" s="4"/>
      <c r="D803" s="4"/>
      <c r="E803" s="4"/>
      <c r="F803" s="4"/>
      <c r="G803" s="4"/>
      <c r="H803" s="4"/>
      <c r="I803" s="4"/>
    </row>
    <row r="804" spans="2:9">
      <c r="B804" s="4"/>
      <c r="C804" s="4"/>
      <c r="D804" s="4"/>
      <c r="E804" s="4"/>
      <c r="F804" s="4"/>
      <c r="G804" s="4"/>
      <c r="H804" s="4"/>
      <c r="I804" s="4"/>
    </row>
    <row r="805" spans="2:9">
      <c r="B805" s="4"/>
      <c r="C805" s="4"/>
      <c r="D805" s="4"/>
      <c r="E805" s="4"/>
      <c r="F805" s="4"/>
      <c r="G805" s="4"/>
      <c r="H805" s="4"/>
      <c r="I805" s="4"/>
    </row>
    <row r="806" spans="2:9">
      <c r="B806" s="4"/>
      <c r="C806" s="4"/>
      <c r="D806" s="4"/>
      <c r="E806" s="4"/>
      <c r="F806" s="4"/>
      <c r="G806" s="4"/>
      <c r="H806" s="4"/>
      <c r="I806" s="4"/>
    </row>
    <row r="807" spans="2:9">
      <c r="B807" s="4"/>
      <c r="C807" s="4"/>
      <c r="D807" s="4"/>
      <c r="E807" s="4"/>
      <c r="F807" s="4"/>
      <c r="G807" s="4"/>
      <c r="H807" s="4"/>
      <c r="I807" s="4"/>
    </row>
    <row r="808" spans="2:9">
      <c r="B808" s="4"/>
      <c r="C808" s="4"/>
      <c r="D808" s="4"/>
      <c r="E808" s="4"/>
      <c r="F808" s="4"/>
      <c r="G808" s="4"/>
      <c r="H808" s="4"/>
      <c r="I808" s="4"/>
    </row>
    <row r="809" spans="2:9">
      <c r="B809" s="4"/>
      <c r="C809" s="4"/>
      <c r="D809" s="4"/>
      <c r="E809" s="4"/>
      <c r="F809" s="4"/>
      <c r="G809" s="4"/>
      <c r="H809" s="4"/>
      <c r="I809" s="4"/>
    </row>
    <row r="810" spans="2:9">
      <c r="B810" s="4"/>
      <c r="C810" s="4"/>
      <c r="D810" s="4"/>
      <c r="E810" s="4"/>
      <c r="F810" s="4"/>
      <c r="G810" s="4"/>
      <c r="H810" s="4"/>
      <c r="I810" s="4"/>
    </row>
    <row r="811" spans="2:9">
      <c r="B811" s="4"/>
      <c r="C811" s="4"/>
      <c r="D811" s="4"/>
      <c r="E811" s="4"/>
      <c r="F811" s="4"/>
      <c r="G811" s="4"/>
      <c r="H811" s="4"/>
      <c r="I811" s="4"/>
    </row>
    <row r="812" spans="2:9">
      <c r="B812" s="4"/>
      <c r="C812" s="4"/>
      <c r="D812" s="4"/>
      <c r="E812" s="4"/>
      <c r="F812" s="4"/>
      <c r="G812" s="4"/>
      <c r="H812" s="4"/>
      <c r="I812" s="4"/>
    </row>
    <row r="813" spans="2:9">
      <c r="B813" s="4"/>
      <c r="C813" s="4"/>
      <c r="D813" s="4"/>
      <c r="E813" s="4"/>
      <c r="F813" s="4"/>
      <c r="G813" s="4"/>
      <c r="H813" s="4"/>
      <c r="I813" s="4"/>
    </row>
    <row r="814" spans="2:9">
      <c r="B814" s="4"/>
      <c r="C814" s="4"/>
      <c r="D814" s="4"/>
      <c r="E814" s="4"/>
      <c r="F814" s="4"/>
      <c r="G814" s="4"/>
      <c r="H814" s="4"/>
      <c r="I814" s="4"/>
    </row>
    <row r="815" spans="2:9">
      <c r="B815" s="4"/>
      <c r="C815" s="4"/>
      <c r="D815" s="4"/>
      <c r="E815" s="4"/>
      <c r="F815" s="4"/>
      <c r="G815" s="4"/>
      <c r="H815" s="4"/>
      <c r="I815" s="4"/>
    </row>
    <row r="816" spans="2:9">
      <c r="B816" s="4"/>
      <c r="C816" s="4"/>
      <c r="D816" s="4"/>
      <c r="E816" s="4"/>
      <c r="F816" s="4"/>
      <c r="G816" s="4"/>
      <c r="H816" s="4"/>
      <c r="I816" s="4"/>
    </row>
    <row r="817" spans="2:9">
      <c r="B817" s="4"/>
      <c r="C817" s="4"/>
      <c r="D817" s="4"/>
      <c r="E817" s="4"/>
      <c r="F817" s="4"/>
      <c r="G817" s="4"/>
      <c r="H817" s="4"/>
      <c r="I817" s="4"/>
    </row>
    <row r="818" spans="2:9">
      <c r="B818" s="4"/>
      <c r="C818" s="4"/>
      <c r="D818" s="4"/>
      <c r="E818" s="4"/>
      <c r="F818" s="4"/>
      <c r="G818" s="4"/>
      <c r="H818" s="4"/>
      <c r="I818" s="4"/>
    </row>
    <row r="819" spans="2:9">
      <c r="B819" s="4"/>
      <c r="C819" s="4"/>
      <c r="D819" s="4"/>
      <c r="E819" s="4"/>
      <c r="F819" s="4"/>
      <c r="G819" s="4"/>
      <c r="H819" s="4"/>
      <c r="I819" s="4"/>
    </row>
    <row r="820" spans="2:9">
      <c r="B820" s="4"/>
      <c r="C820" s="4"/>
      <c r="D820" s="4"/>
      <c r="E820" s="4"/>
      <c r="F820" s="4"/>
      <c r="G820" s="4"/>
      <c r="H820" s="4"/>
      <c r="I820" s="4"/>
    </row>
    <row r="821" spans="2:9">
      <c r="B821" s="4"/>
      <c r="C821" s="4"/>
      <c r="D821" s="4"/>
      <c r="E821" s="4"/>
      <c r="F821" s="4"/>
      <c r="G821" s="4"/>
      <c r="H821" s="4"/>
      <c r="I821" s="4"/>
    </row>
    <row r="822" spans="2:9">
      <c r="B822" s="4"/>
      <c r="C822" s="4"/>
      <c r="D822" s="4"/>
      <c r="E822" s="4"/>
      <c r="F822" s="4"/>
      <c r="G822" s="4"/>
      <c r="H822" s="4"/>
      <c r="I822" s="4"/>
    </row>
    <row r="823" spans="2:9">
      <c r="B823" s="4"/>
      <c r="C823" s="4"/>
      <c r="D823" s="4"/>
      <c r="E823" s="4"/>
      <c r="F823" s="4"/>
      <c r="G823" s="4"/>
      <c r="H823" s="4"/>
      <c r="I823" s="4"/>
    </row>
    <row r="824" spans="2:9">
      <c r="B824" s="4"/>
      <c r="C824" s="4"/>
      <c r="D824" s="4"/>
      <c r="E824" s="4"/>
      <c r="F824" s="4"/>
      <c r="G824" s="4"/>
      <c r="H824" s="4"/>
      <c r="I824" s="4"/>
    </row>
    <row r="825" spans="2:9">
      <c r="B825" s="4"/>
      <c r="C825" s="4"/>
      <c r="D825" s="4"/>
      <c r="E825" s="4"/>
      <c r="F825" s="4"/>
      <c r="G825" s="4"/>
      <c r="H825" s="4"/>
      <c r="I825" s="4"/>
    </row>
    <row r="826" spans="2:9">
      <c r="B826" s="4"/>
      <c r="C826" s="4"/>
      <c r="D826" s="4"/>
      <c r="E826" s="4"/>
      <c r="F826" s="4"/>
      <c r="G826" s="4"/>
      <c r="H826" s="4"/>
      <c r="I826" s="4"/>
    </row>
    <row r="827" spans="2:9">
      <c r="B827" s="4"/>
      <c r="C827" s="4"/>
      <c r="D827" s="4"/>
      <c r="E827" s="4"/>
      <c r="F827" s="4"/>
      <c r="G827" s="4"/>
      <c r="H827" s="4"/>
      <c r="I827" s="4"/>
    </row>
    <row r="828" spans="2:9">
      <c r="B828" s="4"/>
      <c r="C828" s="4"/>
      <c r="D828" s="4"/>
      <c r="E828" s="4"/>
      <c r="F828" s="4"/>
      <c r="G828" s="4"/>
      <c r="H828" s="4"/>
      <c r="I828" s="4"/>
    </row>
    <row r="829" spans="2:9">
      <c r="B829" s="4"/>
      <c r="C829" s="4"/>
      <c r="D829" s="4"/>
      <c r="E829" s="4"/>
      <c r="F829" s="4"/>
      <c r="G829" s="4"/>
      <c r="H829" s="4"/>
      <c r="I829" s="4"/>
    </row>
    <row r="830" spans="2:9">
      <c r="B830" s="4"/>
      <c r="C830" s="4"/>
      <c r="D830" s="4"/>
      <c r="E830" s="4"/>
      <c r="F830" s="4"/>
      <c r="G830" s="4"/>
      <c r="H830" s="4"/>
      <c r="I830" s="4"/>
    </row>
    <row r="831" spans="2:9">
      <c r="B831" s="4"/>
      <c r="C831" s="4"/>
      <c r="D831" s="4"/>
      <c r="E831" s="4"/>
      <c r="F831" s="4"/>
      <c r="G831" s="4"/>
      <c r="H831" s="4"/>
      <c r="I831" s="4"/>
    </row>
    <row r="832" spans="2:9">
      <c r="B832" s="4"/>
      <c r="C832" s="4"/>
      <c r="D832" s="4"/>
      <c r="E832" s="4"/>
      <c r="F832" s="4"/>
      <c r="G832" s="4"/>
      <c r="H832" s="4"/>
      <c r="I832" s="4"/>
    </row>
    <row r="833" spans="2:9">
      <c r="B833" s="4"/>
      <c r="C833" s="4"/>
      <c r="D833" s="4"/>
      <c r="E833" s="4"/>
      <c r="F833" s="4"/>
      <c r="G833" s="4"/>
      <c r="H833" s="4"/>
      <c r="I833" s="4"/>
    </row>
    <row r="834" spans="2:9">
      <c r="B834" s="4"/>
      <c r="C834" s="4"/>
      <c r="D834" s="4"/>
      <c r="E834" s="4"/>
      <c r="F834" s="4"/>
      <c r="G834" s="4"/>
      <c r="H834" s="4"/>
      <c r="I834" s="4"/>
    </row>
    <row r="835" spans="2:9">
      <c r="B835" s="4"/>
      <c r="C835" s="4"/>
      <c r="D835" s="4"/>
      <c r="E835" s="4"/>
      <c r="F835" s="4"/>
      <c r="G835" s="4"/>
      <c r="H835" s="4"/>
      <c r="I835" s="4"/>
    </row>
    <row r="836" spans="2:9">
      <c r="B836" s="4"/>
      <c r="C836" s="4"/>
      <c r="D836" s="4"/>
      <c r="E836" s="4"/>
      <c r="F836" s="4"/>
      <c r="G836" s="4"/>
      <c r="H836" s="4"/>
      <c r="I836" s="4"/>
    </row>
    <row r="837" spans="2:9">
      <c r="B837" s="4"/>
      <c r="C837" s="4"/>
      <c r="D837" s="4"/>
      <c r="E837" s="4"/>
      <c r="F837" s="4"/>
      <c r="G837" s="4"/>
      <c r="H837" s="4"/>
      <c r="I837" s="4"/>
    </row>
    <row r="838" spans="2:9">
      <c r="B838" s="4"/>
      <c r="C838" s="4"/>
      <c r="D838" s="4"/>
      <c r="E838" s="4"/>
      <c r="F838" s="4"/>
      <c r="G838" s="4"/>
      <c r="H838" s="4"/>
      <c r="I838" s="4"/>
    </row>
    <row r="839" spans="2:9">
      <c r="B839" s="4"/>
      <c r="C839" s="4"/>
      <c r="D839" s="4"/>
      <c r="E839" s="4"/>
      <c r="F839" s="4"/>
      <c r="G839" s="4"/>
      <c r="H839" s="4"/>
      <c r="I839" s="4"/>
    </row>
    <row r="840" spans="2:9">
      <c r="B840" s="4"/>
      <c r="C840" s="4"/>
      <c r="D840" s="4"/>
      <c r="E840" s="4"/>
      <c r="F840" s="4"/>
      <c r="G840" s="4"/>
      <c r="H840" s="4"/>
      <c r="I840" s="4"/>
    </row>
    <row r="841" spans="2:9">
      <c r="B841" s="4"/>
      <c r="C841" s="4"/>
      <c r="D841" s="4"/>
      <c r="E841" s="4"/>
      <c r="F841" s="4"/>
      <c r="G841" s="4"/>
      <c r="H841" s="4"/>
      <c r="I841" s="4"/>
    </row>
    <row r="842" spans="2:9">
      <c r="B842" s="4"/>
      <c r="C842" s="4"/>
      <c r="D842" s="4"/>
      <c r="E842" s="4"/>
      <c r="F842" s="4"/>
      <c r="G842" s="4"/>
      <c r="H842" s="4"/>
      <c r="I842" s="4"/>
    </row>
    <row r="843" spans="2:9">
      <c r="B843" s="4"/>
      <c r="C843" s="4"/>
      <c r="D843" s="4"/>
      <c r="E843" s="4"/>
      <c r="F843" s="4"/>
      <c r="G843" s="4"/>
      <c r="H843" s="4"/>
      <c r="I843" s="4"/>
    </row>
    <row r="844" spans="2:9">
      <c r="B844" s="4"/>
      <c r="C844" s="4"/>
      <c r="D844" s="4"/>
      <c r="E844" s="4"/>
      <c r="F844" s="4"/>
      <c r="G844" s="4"/>
      <c r="H844" s="4"/>
      <c r="I844" s="4"/>
    </row>
    <row r="845" spans="2:9">
      <c r="B845" s="4"/>
      <c r="C845" s="4"/>
      <c r="D845" s="4"/>
      <c r="E845" s="4"/>
      <c r="F845" s="4"/>
      <c r="G845" s="4"/>
      <c r="H845" s="4"/>
      <c r="I845" s="4"/>
    </row>
    <row r="846" spans="2:9">
      <c r="B846" s="4"/>
      <c r="C846" s="4"/>
      <c r="D846" s="4"/>
      <c r="E846" s="4"/>
      <c r="F846" s="4"/>
      <c r="G846" s="4"/>
      <c r="H846" s="4"/>
      <c r="I846" s="4"/>
    </row>
    <row r="847" spans="2:9">
      <c r="B847" s="4"/>
      <c r="C847" s="4"/>
      <c r="D847" s="4"/>
      <c r="E847" s="4"/>
      <c r="F847" s="4"/>
      <c r="G847" s="4"/>
      <c r="H847" s="4"/>
      <c r="I847" s="4"/>
    </row>
    <row r="848" spans="2:9">
      <c r="B848" s="4"/>
      <c r="C848" s="4"/>
      <c r="D848" s="4"/>
      <c r="E848" s="4"/>
      <c r="F848" s="4"/>
      <c r="G848" s="4"/>
      <c r="H848" s="4"/>
      <c r="I848" s="4"/>
    </row>
    <row r="849" spans="2:9">
      <c r="B849" s="4"/>
      <c r="C849" s="4"/>
      <c r="D849" s="4"/>
      <c r="E849" s="4"/>
      <c r="F849" s="4"/>
      <c r="G849" s="4"/>
      <c r="H849" s="4"/>
      <c r="I849" s="4"/>
    </row>
    <row r="850" spans="2:9">
      <c r="B850" s="4"/>
      <c r="C850" s="4"/>
      <c r="D850" s="4"/>
      <c r="E850" s="4"/>
      <c r="F850" s="4"/>
      <c r="G850" s="4"/>
      <c r="H850" s="4"/>
      <c r="I850" s="4"/>
    </row>
    <row r="851" spans="2:9">
      <c r="B851" s="4"/>
      <c r="C851" s="4"/>
      <c r="D851" s="4"/>
      <c r="E851" s="4"/>
      <c r="F851" s="4"/>
      <c r="G851" s="4"/>
      <c r="H851" s="4"/>
      <c r="I851" s="4"/>
    </row>
    <row r="852" spans="2:9">
      <c r="B852" s="4"/>
      <c r="C852" s="4"/>
      <c r="D852" s="4"/>
      <c r="E852" s="4"/>
      <c r="F852" s="4"/>
      <c r="G852" s="4"/>
      <c r="H852" s="4"/>
      <c r="I852" s="4"/>
    </row>
    <row r="853" spans="2:9">
      <c r="B853" s="4"/>
      <c r="C853" s="4"/>
      <c r="D853" s="4"/>
      <c r="E853" s="4"/>
      <c r="F853" s="4"/>
      <c r="G853" s="4"/>
      <c r="H853" s="4"/>
      <c r="I853" s="4"/>
    </row>
    <row r="854" spans="2:9">
      <c r="B854" s="4"/>
      <c r="C854" s="4"/>
      <c r="D854" s="4"/>
      <c r="E854" s="4"/>
      <c r="F854" s="4"/>
      <c r="G854" s="4"/>
      <c r="H854" s="4"/>
      <c r="I854" s="4"/>
    </row>
    <row r="855" spans="2:9">
      <c r="B855" s="4"/>
      <c r="C855" s="4"/>
      <c r="D855" s="4"/>
      <c r="E855" s="4"/>
      <c r="F855" s="4"/>
      <c r="G855" s="4"/>
      <c r="H855" s="4"/>
      <c r="I855" s="4"/>
    </row>
    <row r="856" spans="2:9">
      <c r="B856" s="4"/>
      <c r="C856" s="4"/>
      <c r="D856" s="4"/>
      <c r="E856" s="4"/>
      <c r="F856" s="4"/>
      <c r="G856" s="4"/>
      <c r="H856" s="4"/>
      <c r="I856" s="4"/>
    </row>
    <row r="857" spans="2:9">
      <c r="B857" s="4"/>
      <c r="C857" s="4"/>
      <c r="D857" s="4"/>
      <c r="E857" s="4"/>
      <c r="F857" s="4"/>
      <c r="G857" s="4"/>
      <c r="H857" s="4"/>
      <c r="I857" s="4"/>
    </row>
    <row r="858" spans="2:9">
      <c r="B858" s="4"/>
      <c r="C858" s="4"/>
      <c r="D858" s="4"/>
      <c r="E858" s="4"/>
      <c r="F858" s="4"/>
      <c r="G858" s="4"/>
      <c r="H858" s="4"/>
      <c r="I858" s="4"/>
    </row>
    <row r="859" spans="2:9">
      <c r="B859" s="4"/>
      <c r="C859" s="4"/>
      <c r="D859" s="4"/>
      <c r="E859" s="4"/>
      <c r="F859" s="4"/>
      <c r="G859" s="4"/>
      <c r="H859" s="4"/>
      <c r="I859" s="4"/>
    </row>
    <row r="860" spans="2:9">
      <c r="B860" s="4"/>
      <c r="C860" s="4"/>
      <c r="D860" s="4"/>
      <c r="E860" s="4"/>
      <c r="F860" s="4"/>
      <c r="G860" s="4"/>
      <c r="H860" s="4"/>
      <c r="I860" s="4"/>
    </row>
    <row r="861" spans="2:9">
      <c r="B861" s="4"/>
      <c r="C861" s="4"/>
      <c r="D861" s="4"/>
      <c r="E861" s="4"/>
      <c r="F861" s="4"/>
      <c r="G861" s="4"/>
      <c r="H861" s="4"/>
      <c r="I861" s="4"/>
    </row>
    <row r="862" spans="2:9">
      <c r="B862" s="4"/>
      <c r="C862" s="4"/>
      <c r="D862" s="4"/>
      <c r="E862" s="4"/>
      <c r="F862" s="4"/>
      <c r="G862" s="4"/>
      <c r="H862" s="4"/>
      <c r="I862" s="4"/>
    </row>
    <row r="863" spans="2:9">
      <c r="B863" s="4"/>
      <c r="C863" s="4"/>
      <c r="D863" s="4"/>
      <c r="E863" s="4"/>
      <c r="F863" s="4"/>
      <c r="G863" s="4"/>
      <c r="H863" s="4"/>
      <c r="I863" s="4"/>
    </row>
    <row r="864" spans="2:9">
      <c r="B864" s="4"/>
      <c r="C864" s="4"/>
      <c r="D864" s="4"/>
      <c r="E864" s="4"/>
      <c r="F864" s="4"/>
      <c r="G864" s="4"/>
      <c r="H864" s="4"/>
      <c r="I864" s="4"/>
    </row>
    <row r="865" spans="2:9">
      <c r="B865" s="4"/>
      <c r="C865" s="4"/>
      <c r="D865" s="4"/>
      <c r="E865" s="4"/>
      <c r="F865" s="4"/>
      <c r="G865" s="4"/>
      <c r="H865" s="4"/>
      <c r="I865" s="4"/>
    </row>
    <row r="866" spans="2:9">
      <c r="B866" s="4"/>
      <c r="C866" s="4"/>
      <c r="D866" s="4"/>
      <c r="E866" s="4"/>
      <c r="F866" s="4"/>
      <c r="G866" s="4"/>
      <c r="H866" s="4"/>
      <c r="I866" s="4"/>
    </row>
    <row r="867" spans="2:9">
      <c r="B867" s="4"/>
      <c r="C867" s="4"/>
      <c r="D867" s="4"/>
      <c r="E867" s="4"/>
      <c r="F867" s="4"/>
      <c r="G867" s="4"/>
      <c r="H867" s="4"/>
      <c r="I867" s="4"/>
    </row>
    <row r="868" spans="2:9">
      <c r="B868" s="4"/>
      <c r="C868" s="4"/>
      <c r="D868" s="4"/>
      <c r="E868" s="4"/>
      <c r="F868" s="4"/>
      <c r="G868" s="4"/>
      <c r="H868" s="4"/>
      <c r="I868" s="4"/>
    </row>
    <row r="869" spans="2:9">
      <c r="B869" s="4"/>
      <c r="C869" s="4"/>
      <c r="D869" s="4"/>
      <c r="E869" s="4"/>
      <c r="F869" s="4"/>
      <c r="G869" s="4"/>
      <c r="H869" s="4"/>
      <c r="I869" s="4"/>
    </row>
    <row r="870" spans="2:9">
      <c r="B870" s="4"/>
      <c r="C870" s="4"/>
      <c r="D870" s="4"/>
      <c r="E870" s="4"/>
      <c r="F870" s="4"/>
      <c r="G870" s="4"/>
      <c r="H870" s="4"/>
      <c r="I870" s="4"/>
    </row>
    <row r="871" spans="2:9">
      <c r="B871" s="4"/>
      <c r="C871" s="4"/>
      <c r="D871" s="4"/>
      <c r="E871" s="4"/>
      <c r="F871" s="4"/>
      <c r="G871" s="4"/>
      <c r="H871" s="4"/>
      <c r="I871" s="4"/>
    </row>
    <row r="872" spans="2:9">
      <c r="B872" s="4"/>
      <c r="C872" s="4"/>
      <c r="D872" s="4"/>
      <c r="E872" s="4"/>
      <c r="F872" s="4"/>
      <c r="G872" s="4"/>
      <c r="H872" s="4"/>
      <c r="I872" s="4"/>
    </row>
    <row r="873" spans="2:9">
      <c r="B873" s="4"/>
      <c r="C873" s="4"/>
      <c r="D873" s="4"/>
      <c r="E873" s="4"/>
      <c r="F873" s="4"/>
      <c r="G873" s="4"/>
      <c r="H873" s="4"/>
      <c r="I873" s="4"/>
    </row>
    <row r="874" spans="2:9">
      <c r="B874" s="4"/>
      <c r="C874" s="4"/>
      <c r="D874" s="4"/>
      <c r="E874" s="4"/>
      <c r="F874" s="4"/>
      <c r="G874" s="4"/>
      <c r="H874" s="4"/>
      <c r="I874" s="4"/>
    </row>
    <row r="875" spans="2:9">
      <c r="B875" s="4"/>
      <c r="C875" s="4"/>
      <c r="D875" s="4"/>
      <c r="E875" s="4"/>
      <c r="F875" s="4"/>
      <c r="G875" s="4"/>
      <c r="H875" s="4"/>
      <c r="I875" s="4"/>
    </row>
    <row r="876" spans="2:9">
      <c r="B876" s="4"/>
      <c r="C876" s="4"/>
      <c r="D876" s="4"/>
      <c r="E876" s="4"/>
      <c r="F876" s="4"/>
      <c r="G876" s="4"/>
      <c r="H876" s="4"/>
      <c r="I876" s="4"/>
    </row>
    <row r="877" spans="2:9">
      <c r="B877" s="4"/>
      <c r="C877" s="4"/>
      <c r="D877" s="4"/>
      <c r="E877" s="4"/>
      <c r="F877" s="4"/>
      <c r="G877" s="4"/>
      <c r="H877" s="4"/>
      <c r="I877" s="4"/>
    </row>
    <row r="878" spans="2:9">
      <c r="B878" s="4"/>
      <c r="C878" s="4"/>
      <c r="D878" s="4"/>
      <c r="E878" s="4"/>
      <c r="F878" s="4"/>
      <c r="G878" s="4"/>
      <c r="H878" s="4"/>
      <c r="I878" s="4"/>
    </row>
    <row r="879" spans="2:9">
      <c r="B879" s="4"/>
      <c r="C879" s="4"/>
      <c r="D879" s="4"/>
      <c r="E879" s="4"/>
      <c r="F879" s="4"/>
      <c r="G879" s="4"/>
      <c r="H879" s="4"/>
      <c r="I879" s="4"/>
    </row>
    <row r="880" spans="2:9">
      <c r="B880" s="4"/>
      <c r="C880" s="4"/>
      <c r="D880" s="4"/>
      <c r="E880" s="4"/>
      <c r="F880" s="4"/>
      <c r="G880" s="4"/>
      <c r="H880" s="4"/>
      <c r="I880" s="4"/>
    </row>
    <row r="881" spans="2:9">
      <c r="B881" s="4"/>
      <c r="C881" s="4"/>
      <c r="D881" s="4"/>
      <c r="E881" s="4"/>
      <c r="F881" s="4"/>
      <c r="G881" s="4"/>
      <c r="H881" s="4"/>
      <c r="I881" s="4"/>
    </row>
    <row r="882" spans="2:9">
      <c r="B882" s="4"/>
      <c r="C882" s="4"/>
      <c r="D882" s="4"/>
      <c r="E882" s="4"/>
      <c r="F882" s="4"/>
      <c r="G882" s="4"/>
      <c r="H882" s="4"/>
      <c r="I882" s="4"/>
    </row>
    <row r="883" spans="2:9">
      <c r="B883" s="4"/>
      <c r="C883" s="4"/>
      <c r="D883" s="4"/>
      <c r="E883" s="4"/>
      <c r="F883" s="4"/>
      <c r="G883" s="4"/>
      <c r="H883" s="4"/>
      <c r="I883" s="4"/>
    </row>
    <row r="884" spans="2:9">
      <c r="B884" s="4"/>
      <c r="C884" s="4"/>
      <c r="D884" s="4"/>
      <c r="E884" s="4"/>
      <c r="F884" s="4"/>
      <c r="G884" s="4"/>
      <c r="H884" s="4"/>
      <c r="I884" s="4"/>
    </row>
    <row r="885" spans="2:9">
      <c r="B885" s="4"/>
      <c r="C885" s="4"/>
      <c r="D885" s="4"/>
      <c r="E885" s="4"/>
      <c r="F885" s="4"/>
      <c r="G885" s="4"/>
      <c r="H885" s="4"/>
      <c r="I885" s="4"/>
    </row>
    <row r="886" spans="2:9">
      <c r="B886" s="4"/>
      <c r="C886" s="4"/>
      <c r="D886" s="4"/>
      <c r="E886" s="4"/>
      <c r="F886" s="4"/>
      <c r="G886" s="4"/>
      <c r="H886" s="4"/>
      <c r="I886" s="4"/>
    </row>
    <row r="887" spans="2:9">
      <c r="B887" s="4"/>
      <c r="C887" s="4"/>
      <c r="D887" s="4"/>
      <c r="E887" s="4"/>
      <c r="F887" s="4"/>
      <c r="G887" s="4"/>
      <c r="H887" s="4"/>
      <c r="I887" s="4"/>
    </row>
    <row r="888" spans="2:9">
      <c r="B888" s="4"/>
      <c r="C888" s="4"/>
      <c r="D888" s="4"/>
      <c r="E888" s="4"/>
      <c r="F888" s="4"/>
      <c r="G888" s="4"/>
      <c r="H888" s="4"/>
      <c r="I888" s="4"/>
    </row>
    <row r="889" spans="2:9">
      <c r="B889" s="4"/>
      <c r="C889" s="4"/>
      <c r="D889" s="4"/>
      <c r="E889" s="4"/>
      <c r="F889" s="4"/>
      <c r="G889" s="4"/>
      <c r="H889" s="4"/>
      <c r="I889" s="4"/>
    </row>
    <row r="890" spans="2:9">
      <c r="B890" s="4"/>
      <c r="C890" s="4"/>
      <c r="D890" s="4"/>
      <c r="E890" s="4"/>
      <c r="F890" s="4"/>
      <c r="G890" s="4"/>
      <c r="H890" s="4"/>
      <c r="I890" s="4"/>
    </row>
    <row r="891" spans="2:9">
      <c r="B891" s="4"/>
      <c r="C891" s="4"/>
      <c r="D891" s="4"/>
      <c r="E891" s="4"/>
      <c r="F891" s="4"/>
      <c r="G891" s="4"/>
      <c r="H891" s="4"/>
      <c r="I891" s="4"/>
    </row>
    <row r="892" spans="2:9">
      <c r="B892" s="4"/>
      <c r="C892" s="4"/>
      <c r="D892" s="4"/>
      <c r="E892" s="4"/>
      <c r="F892" s="4"/>
      <c r="G892" s="4"/>
      <c r="H892" s="4"/>
      <c r="I892" s="4"/>
    </row>
    <row r="893" spans="2:9">
      <c r="B893" s="4"/>
      <c r="C893" s="4"/>
      <c r="D893" s="4"/>
      <c r="E893" s="4"/>
      <c r="F893" s="4"/>
      <c r="G893" s="4"/>
      <c r="H893" s="4"/>
      <c r="I893" s="4"/>
    </row>
    <row r="894" spans="2:9">
      <c r="B894" s="4"/>
      <c r="C894" s="4"/>
      <c r="D894" s="4"/>
      <c r="E894" s="4"/>
      <c r="F894" s="4"/>
      <c r="G894" s="4"/>
      <c r="H894" s="4"/>
      <c r="I894" s="4"/>
    </row>
    <row r="895" spans="2:9">
      <c r="B895" s="4"/>
      <c r="C895" s="4"/>
      <c r="D895" s="4"/>
      <c r="E895" s="4"/>
      <c r="F895" s="4"/>
      <c r="G895" s="4"/>
      <c r="H895" s="4"/>
      <c r="I895" s="4"/>
    </row>
    <row r="896" spans="2:9">
      <c r="B896" s="4"/>
      <c r="C896" s="4"/>
      <c r="D896" s="4"/>
      <c r="E896" s="4"/>
      <c r="F896" s="4"/>
      <c r="G896" s="4"/>
      <c r="H896" s="4"/>
      <c r="I896" s="4"/>
    </row>
    <row r="897" spans="2:9">
      <c r="B897" s="4"/>
      <c r="C897" s="4"/>
      <c r="D897" s="4"/>
      <c r="E897" s="4"/>
      <c r="F897" s="4"/>
      <c r="G897" s="4"/>
      <c r="H897" s="4"/>
      <c r="I897" s="4"/>
    </row>
    <row r="898" spans="2:9">
      <c r="B898" s="4"/>
      <c r="C898" s="4"/>
      <c r="D898" s="4"/>
      <c r="E898" s="4"/>
      <c r="F898" s="4"/>
      <c r="G898" s="4"/>
      <c r="H898" s="4"/>
      <c r="I898" s="4"/>
    </row>
    <row r="899" spans="2:9">
      <c r="B899" s="4"/>
      <c r="C899" s="4"/>
      <c r="D899" s="4"/>
      <c r="E899" s="4"/>
      <c r="F899" s="4"/>
      <c r="G899" s="4"/>
      <c r="H899" s="4"/>
      <c r="I899" s="4"/>
    </row>
    <row r="900" spans="2:9">
      <c r="B900" s="4"/>
      <c r="C900" s="4"/>
      <c r="D900" s="4"/>
      <c r="E900" s="4"/>
      <c r="F900" s="4"/>
      <c r="G900" s="4"/>
      <c r="H900" s="4"/>
      <c r="I900" s="4"/>
    </row>
    <row r="901" spans="2:9">
      <c r="B901" s="4"/>
      <c r="C901" s="4"/>
      <c r="D901" s="4"/>
      <c r="E901" s="4"/>
      <c r="F901" s="4"/>
      <c r="G901" s="4"/>
      <c r="H901" s="4"/>
      <c r="I901" s="4"/>
    </row>
    <row r="902" spans="2:9">
      <c r="B902" s="4"/>
      <c r="C902" s="4"/>
      <c r="D902" s="4"/>
      <c r="E902" s="4"/>
      <c r="F902" s="4"/>
      <c r="G902" s="4"/>
      <c r="H902" s="4"/>
      <c r="I902" s="4"/>
    </row>
    <row r="903" spans="2:9">
      <c r="B903" s="4"/>
      <c r="C903" s="4"/>
      <c r="D903" s="4"/>
      <c r="E903" s="4"/>
      <c r="F903" s="4"/>
      <c r="G903" s="4"/>
      <c r="H903" s="4"/>
      <c r="I903" s="4"/>
    </row>
    <row r="904" spans="2:9">
      <c r="B904" s="4"/>
      <c r="C904" s="4"/>
      <c r="D904" s="4"/>
      <c r="E904" s="4"/>
      <c r="F904" s="4"/>
      <c r="G904" s="4"/>
      <c r="H904" s="4"/>
      <c r="I904" s="4"/>
    </row>
    <row r="905" spans="2:9">
      <c r="B905" s="4"/>
      <c r="C905" s="4"/>
      <c r="D905" s="4"/>
      <c r="E905" s="4"/>
      <c r="F905" s="4"/>
      <c r="G905" s="4"/>
      <c r="H905" s="4"/>
      <c r="I905" s="4"/>
    </row>
    <row r="906" spans="2:9">
      <c r="B906" s="4"/>
      <c r="C906" s="4"/>
      <c r="D906" s="4"/>
      <c r="E906" s="4"/>
      <c r="F906" s="4"/>
      <c r="G906" s="4"/>
      <c r="H906" s="4"/>
      <c r="I906" s="4"/>
    </row>
    <row r="907" spans="2:9">
      <c r="B907" s="4"/>
      <c r="C907" s="4"/>
      <c r="D907" s="4"/>
      <c r="E907" s="4"/>
      <c r="F907" s="4"/>
      <c r="G907" s="4"/>
      <c r="H907" s="4"/>
      <c r="I907" s="4"/>
    </row>
    <row r="908" spans="2:9">
      <c r="B908" s="4"/>
      <c r="C908" s="4"/>
      <c r="D908" s="4"/>
      <c r="E908" s="4"/>
      <c r="F908" s="4"/>
      <c r="G908" s="4"/>
      <c r="H908" s="4"/>
      <c r="I908" s="4"/>
    </row>
    <row r="909" spans="2:9">
      <c r="B909" s="4"/>
      <c r="C909" s="4"/>
      <c r="D909" s="4"/>
      <c r="E909" s="4"/>
      <c r="F909" s="4"/>
      <c r="G909" s="4"/>
      <c r="H909" s="4"/>
      <c r="I909" s="4"/>
    </row>
    <row r="910" spans="2:9">
      <c r="B910" s="4"/>
      <c r="C910" s="4"/>
      <c r="D910" s="4"/>
      <c r="E910" s="4"/>
      <c r="F910" s="4"/>
      <c r="G910" s="4"/>
      <c r="H910" s="4"/>
      <c r="I910" s="4"/>
    </row>
    <row r="911" spans="2:9">
      <c r="B911" s="4"/>
      <c r="C911" s="4"/>
      <c r="D911" s="4"/>
      <c r="E911" s="4"/>
      <c r="F911" s="4"/>
      <c r="G911" s="4"/>
      <c r="H911" s="4"/>
      <c r="I911" s="4"/>
    </row>
    <row r="912" spans="2:9">
      <c r="B912" s="4"/>
      <c r="C912" s="4"/>
      <c r="D912" s="4"/>
      <c r="E912" s="4"/>
      <c r="F912" s="4"/>
      <c r="G912" s="4"/>
      <c r="H912" s="4"/>
      <c r="I912" s="4"/>
    </row>
    <row r="913" spans="2:9">
      <c r="B913" s="4"/>
      <c r="C913" s="4"/>
      <c r="D913" s="4"/>
      <c r="E913" s="4"/>
      <c r="F913" s="4"/>
      <c r="G913" s="4"/>
      <c r="H913" s="4"/>
      <c r="I913" s="4"/>
    </row>
    <row r="914" spans="2:9">
      <c r="B914" s="4"/>
      <c r="C914" s="4"/>
      <c r="D914" s="4"/>
      <c r="E914" s="4"/>
      <c r="F914" s="4"/>
      <c r="G914" s="4"/>
      <c r="H914" s="4"/>
      <c r="I914" s="4"/>
    </row>
    <row r="915" spans="2:9">
      <c r="B915" s="4"/>
      <c r="C915" s="4"/>
      <c r="D915" s="4"/>
      <c r="E915" s="4"/>
      <c r="F915" s="4"/>
      <c r="G915" s="4"/>
      <c r="H915" s="4"/>
      <c r="I915" s="4"/>
    </row>
    <row r="916" spans="2:9">
      <c r="B916" s="4"/>
      <c r="C916" s="4"/>
      <c r="D916" s="4"/>
      <c r="E916" s="4"/>
      <c r="F916" s="4"/>
      <c r="G916" s="4"/>
      <c r="H916" s="4"/>
      <c r="I916" s="4"/>
    </row>
    <row r="917" spans="2:9">
      <c r="B917" s="4"/>
      <c r="C917" s="4"/>
      <c r="D917" s="4"/>
      <c r="E917" s="4"/>
      <c r="F917" s="4"/>
      <c r="G917" s="4"/>
      <c r="H917" s="4"/>
      <c r="I917" s="4"/>
    </row>
    <row r="918" spans="2:9">
      <c r="B918" s="4"/>
      <c r="C918" s="4"/>
      <c r="D918" s="4"/>
      <c r="E918" s="4"/>
      <c r="F918" s="4"/>
      <c r="G918" s="4"/>
      <c r="H918" s="4"/>
      <c r="I918" s="4"/>
    </row>
    <row r="919" spans="2:9">
      <c r="B919" s="4"/>
      <c r="C919" s="4"/>
      <c r="D919" s="4"/>
      <c r="E919" s="4"/>
      <c r="F919" s="4"/>
      <c r="G919" s="4"/>
      <c r="H919" s="4"/>
      <c r="I919" s="4"/>
    </row>
    <row r="920" spans="2:9">
      <c r="B920" s="4"/>
      <c r="C920" s="4"/>
      <c r="D920" s="4"/>
      <c r="E920" s="4"/>
      <c r="F920" s="4"/>
      <c r="G920" s="4"/>
      <c r="H920" s="4"/>
      <c r="I920" s="4"/>
    </row>
    <row r="921" spans="2:9">
      <c r="B921" s="4"/>
      <c r="C921" s="4"/>
      <c r="D921" s="4"/>
      <c r="E921" s="4"/>
      <c r="F921" s="4"/>
      <c r="G921" s="4"/>
      <c r="H921" s="4"/>
      <c r="I921" s="4"/>
    </row>
    <row r="922" spans="2:9">
      <c r="B922" s="4"/>
      <c r="C922" s="4"/>
      <c r="D922" s="4"/>
      <c r="E922" s="4"/>
      <c r="F922" s="4"/>
      <c r="G922" s="4"/>
      <c r="H922" s="4"/>
      <c r="I922" s="4"/>
    </row>
    <row r="923" spans="2:9">
      <c r="B923" s="4"/>
      <c r="C923" s="4"/>
      <c r="D923" s="4"/>
      <c r="E923" s="4"/>
      <c r="F923" s="4"/>
      <c r="G923" s="4"/>
      <c r="H923" s="4"/>
      <c r="I923" s="4"/>
    </row>
    <row r="924" spans="2:9">
      <c r="B924" s="4"/>
      <c r="C924" s="4"/>
      <c r="D924" s="4"/>
      <c r="E924" s="4"/>
      <c r="F924" s="4"/>
      <c r="G924" s="4"/>
      <c r="H924" s="4"/>
      <c r="I924" s="4"/>
    </row>
    <row r="925" spans="2:9">
      <c r="B925" s="4"/>
      <c r="C925" s="4"/>
      <c r="D925" s="4"/>
      <c r="E925" s="4"/>
      <c r="F925" s="4"/>
      <c r="G925" s="4"/>
      <c r="H925" s="4"/>
      <c r="I925" s="4"/>
    </row>
    <row r="926" spans="2:9">
      <c r="B926" s="4"/>
      <c r="C926" s="4"/>
      <c r="D926" s="4"/>
      <c r="E926" s="4"/>
      <c r="F926" s="4"/>
      <c r="G926" s="4"/>
      <c r="H926" s="4"/>
      <c r="I926" s="4"/>
    </row>
    <row r="927" spans="2:9">
      <c r="B927" s="4"/>
      <c r="C927" s="4"/>
      <c r="D927" s="4"/>
      <c r="E927" s="4"/>
      <c r="F927" s="4"/>
      <c r="G927" s="4"/>
      <c r="H927" s="4"/>
      <c r="I927" s="4"/>
    </row>
    <row r="928" spans="2:9">
      <c r="B928" s="4"/>
      <c r="C928" s="4"/>
      <c r="D928" s="4"/>
      <c r="E928" s="4"/>
      <c r="F928" s="4"/>
      <c r="G928" s="4"/>
      <c r="H928" s="4"/>
      <c r="I928" s="4"/>
    </row>
    <row r="929" spans="2:9">
      <c r="B929" s="4"/>
      <c r="C929" s="4"/>
      <c r="D929" s="4"/>
      <c r="E929" s="4"/>
      <c r="F929" s="4"/>
      <c r="G929" s="4"/>
      <c r="H929" s="4"/>
      <c r="I929" s="4"/>
    </row>
    <row r="930" spans="2:9">
      <c r="B930" s="4"/>
      <c r="C930" s="4"/>
      <c r="D930" s="4"/>
      <c r="E930" s="4"/>
      <c r="F930" s="4"/>
      <c r="G930" s="4"/>
      <c r="H930" s="4"/>
      <c r="I930" s="4"/>
    </row>
    <row r="931" spans="2:9">
      <c r="B931" s="4"/>
      <c r="C931" s="4"/>
      <c r="D931" s="4"/>
      <c r="E931" s="4"/>
      <c r="F931" s="4"/>
      <c r="G931" s="4"/>
      <c r="H931" s="4"/>
      <c r="I931" s="4"/>
    </row>
    <row r="932" spans="2:9">
      <c r="B932" s="4"/>
      <c r="C932" s="4"/>
      <c r="D932" s="4"/>
      <c r="E932" s="4"/>
      <c r="F932" s="4"/>
      <c r="G932" s="4"/>
      <c r="H932" s="4"/>
      <c r="I932" s="4"/>
    </row>
    <row r="933" spans="2:9">
      <c r="B933" s="4"/>
      <c r="C933" s="4"/>
      <c r="D933" s="4"/>
      <c r="E933" s="4"/>
      <c r="F933" s="4"/>
      <c r="G933" s="4"/>
      <c r="H933" s="4"/>
      <c r="I933" s="4"/>
    </row>
    <row r="934" spans="2:9">
      <c r="B934" s="4"/>
      <c r="C934" s="4"/>
      <c r="D934" s="4"/>
      <c r="E934" s="4"/>
      <c r="F934" s="4"/>
      <c r="G934" s="4"/>
      <c r="H934" s="4"/>
      <c r="I934" s="4"/>
    </row>
    <row r="935" spans="2:9">
      <c r="B935" s="4"/>
      <c r="C935" s="4"/>
      <c r="D935" s="4"/>
      <c r="E935" s="4"/>
      <c r="F935" s="4"/>
      <c r="G935" s="4"/>
      <c r="H935" s="4"/>
      <c r="I935" s="4"/>
    </row>
    <row r="936" spans="2:9">
      <c r="B936" s="4"/>
      <c r="C936" s="4"/>
      <c r="D936" s="4"/>
      <c r="E936" s="4"/>
      <c r="F936" s="4"/>
      <c r="G936" s="4"/>
      <c r="H936" s="4"/>
      <c r="I936" s="4"/>
    </row>
    <row r="937" spans="2:9">
      <c r="B937" s="4"/>
      <c r="C937" s="4"/>
      <c r="D937" s="4"/>
      <c r="E937" s="4"/>
      <c r="F937" s="4"/>
      <c r="G937" s="4"/>
      <c r="H937" s="4"/>
      <c r="I937" s="4"/>
    </row>
    <row r="938" spans="2:9">
      <c r="B938" s="4"/>
      <c r="C938" s="4"/>
      <c r="D938" s="4"/>
      <c r="E938" s="4"/>
      <c r="F938" s="4"/>
      <c r="G938" s="4"/>
      <c r="H938" s="4"/>
      <c r="I938" s="4"/>
    </row>
    <row r="939" spans="2:9">
      <c r="B939" s="4"/>
      <c r="C939" s="4"/>
      <c r="D939" s="4"/>
      <c r="E939" s="4"/>
      <c r="F939" s="4"/>
      <c r="G939" s="4"/>
      <c r="H939" s="4"/>
      <c r="I939" s="4"/>
    </row>
    <row r="940" spans="2:9">
      <c r="B940" s="4"/>
      <c r="C940" s="4"/>
      <c r="D940" s="4"/>
      <c r="E940" s="4"/>
      <c r="F940" s="4"/>
      <c r="G940" s="4"/>
      <c r="H940" s="4"/>
      <c r="I940" s="4"/>
    </row>
    <row r="941" spans="2:9">
      <c r="B941" s="4"/>
      <c r="C941" s="4"/>
      <c r="D941" s="4"/>
      <c r="E941" s="4"/>
      <c r="F941" s="4"/>
      <c r="G941" s="4"/>
      <c r="H941" s="4"/>
      <c r="I941" s="4"/>
    </row>
    <row r="942" spans="2:9">
      <c r="B942" s="4"/>
      <c r="C942" s="4"/>
      <c r="D942" s="4"/>
      <c r="E942" s="4"/>
      <c r="F942" s="4"/>
      <c r="G942" s="4"/>
      <c r="H942" s="4"/>
      <c r="I942" s="4"/>
    </row>
    <row r="943" spans="2:9">
      <c r="B943" s="4"/>
      <c r="C943" s="4"/>
      <c r="D943" s="4"/>
      <c r="E943" s="4"/>
      <c r="F943" s="4"/>
      <c r="G943" s="4"/>
      <c r="H943" s="4"/>
      <c r="I943" s="4"/>
    </row>
    <row r="944" spans="2:9">
      <c r="B944" s="4"/>
      <c r="C944" s="4"/>
      <c r="D944" s="4"/>
      <c r="E944" s="4"/>
      <c r="F944" s="4"/>
      <c r="G944" s="4"/>
      <c r="H944" s="4"/>
      <c r="I944" s="4"/>
    </row>
    <row r="945" spans="2:9">
      <c r="B945" s="4"/>
      <c r="C945" s="4"/>
      <c r="D945" s="4"/>
      <c r="E945" s="4"/>
      <c r="F945" s="4"/>
      <c r="G945" s="4"/>
      <c r="H945" s="4"/>
      <c r="I945" s="4"/>
    </row>
    <row r="946" spans="2:9">
      <c r="B946" s="4"/>
      <c r="C946" s="4"/>
      <c r="D946" s="4"/>
      <c r="E946" s="4"/>
      <c r="F946" s="4"/>
      <c r="G946" s="4"/>
      <c r="H946" s="4"/>
      <c r="I946" s="4"/>
    </row>
    <row r="947" spans="2:9">
      <c r="B947" s="4"/>
      <c r="C947" s="4"/>
      <c r="D947" s="4"/>
      <c r="E947" s="4"/>
      <c r="F947" s="4"/>
      <c r="G947" s="4"/>
      <c r="H947" s="4"/>
      <c r="I947" s="4"/>
    </row>
    <row r="948" spans="2:9">
      <c r="B948" s="4"/>
      <c r="C948" s="4"/>
      <c r="D948" s="4"/>
      <c r="E948" s="4"/>
      <c r="F948" s="4"/>
      <c r="G948" s="4"/>
      <c r="H948" s="4"/>
      <c r="I948" s="4"/>
    </row>
    <row r="949" spans="2:9">
      <c r="B949" s="4"/>
      <c r="C949" s="4"/>
      <c r="D949" s="4"/>
      <c r="E949" s="4"/>
      <c r="F949" s="4"/>
      <c r="G949" s="4"/>
      <c r="H949" s="4"/>
      <c r="I949" s="4"/>
    </row>
    <row r="950" spans="2:9">
      <c r="B950" s="4"/>
      <c r="C950" s="4"/>
      <c r="D950" s="4"/>
      <c r="E950" s="4"/>
      <c r="F950" s="4"/>
      <c r="G950" s="4"/>
      <c r="H950" s="4"/>
      <c r="I950" s="4"/>
    </row>
    <row r="951" spans="2:9">
      <c r="B951" s="4"/>
      <c r="C951" s="4"/>
      <c r="D951" s="4"/>
      <c r="E951" s="4"/>
      <c r="F951" s="4"/>
      <c r="G951" s="4"/>
      <c r="H951" s="4"/>
      <c r="I951" s="4"/>
    </row>
    <row r="952" spans="2:9">
      <c r="B952" s="4"/>
      <c r="C952" s="4"/>
      <c r="D952" s="4"/>
      <c r="E952" s="4"/>
      <c r="F952" s="4"/>
      <c r="G952" s="4"/>
      <c r="H952" s="4"/>
      <c r="I952" s="4"/>
    </row>
    <row r="953" spans="2:9">
      <c r="B953" s="4"/>
      <c r="C953" s="4"/>
      <c r="D953" s="4"/>
      <c r="E953" s="4"/>
      <c r="F953" s="4"/>
      <c r="G953" s="4"/>
      <c r="H953" s="4"/>
      <c r="I953" s="4"/>
    </row>
    <row r="954" spans="2:9">
      <c r="B954" s="4"/>
      <c r="C954" s="4"/>
      <c r="D954" s="4"/>
      <c r="E954" s="4"/>
      <c r="F954" s="4"/>
      <c r="G954" s="4"/>
      <c r="H954" s="4"/>
      <c r="I954" s="4"/>
    </row>
    <row r="955" spans="2:9">
      <c r="B955" s="4"/>
      <c r="C955" s="4"/>
      <c r="D955" s="4"/>
      <c r="E955" s="4"/>
      <c r="F955" s="4"/>
      <c r="G955" s="4"/>
      <c r="H955" s="4"/>
      <c r="I955" s="4"/>
    </row>
    <row r="956" spans="2:9">
      <c r="B956" s="4"/>
      <c r="C956" s="4"/>
      <c r="D956" s="4"/>
      <c r="E956" s="4"/>
      <c r="F956" s="4"/>
      <c r="G956" s="4"/>
      <c r="H956" s="4"/>
      <c r="I956" s="4"/>
    </row>
    <row r="957" spans="2:9">
      <c r="B957" s="4"/>
      <c r="C957" s="4"/>
      <c r="D957" s="4"/>
      <c r="E957" s="4"/>
      <c r="F957" s="4"/>
      <c r="G957" s="4"/>
      <c r="H957" s="4"/>
      <c r="I957" s="4"/>
    </row>
    <row r="958" spans="2:9">
      <c r="B958" s="4"/>
      <c r="C958" s="4"/>
      <c r="D958" s="4"/>
      <c r="E958" s="4"/>
      <c r="F958" s="4"/>
      <c r="G958" s="4"/>
      <c r="H958" s="4"/>
      <c r="I958" s="4"/>
    </row>
    <row r="959" spans="2:9">
      <c r="B959" s="4"/>
      <c r="C959" s="4"/>
      <c r="D959" s="4"/>
      <c r="E959" s="4"/>
      <c r="F959" s="4"/>
      <c r="G959" s="4"/>
      <c r="H959" s="4"/>
      <c r="I959" s="4"/>
    </row>
    <row r="960" spans="2:9">
      <c r="B960" s="4"/>
      <c r="C960" s="4"/>
      <c r="D960" s="4"/>
      <c r="E960" s="4"/>
      <c r="F960" s="4"/>
      <c r="G960" s="4"/>
      <c r="H960" s="4"/>
      <c r="I960" s="4"/>
    </row>
    <row r="961" spans="2:9">
      <c r="B961" s="4"/>
      <c r="C961" s="4"/>
      <c r="D961" s="4"/>
      <c r="E961" s="4"/>
      <c r="F961" s="4"/>
      <c r="G961" s="4"/>
      <c r="H961" s="4"/>
      <c r="I961" s="4"/>
    </row>
    <row r="962" spans="2:9">
      <c r="B962" s="4"/>
      <c r="C962" s="4"/>
      <c r="D962" s="4"/>
      <c r="E962" s="4"/>
      <c r="F962" s="4"/>
      <c r="G962" s="4"/>
      <c r="H962" s="4"/>
      <c r="I962" s="4"/>
    </row>
    <row r="963" spans="2:9">
      <c r="B963" s="4"/>
      <c r="C963" s="4"/>
      <c r="D963" s="4"/>
      <c r="E963" s="4"/>
      <c r="F963" s="4"/>
      <c r="G963" s="4"/>
      <c r="H963" s="4"/>
      <c r="I963" s="4"/>
    </row>
    <row r="964" spans="2:9">
      <c r="B964" s="4"/>
      <c r="C964" s="4"/>
      <c r="D964" s="4"/>
      <c r="E964" s="4"/>
      <c r="F964" s="4"/>
      <c r="G964" s="4"/>
      <c r="H964" s="4"/>
      <c r="I964" s="4"/>
    </row>
    <row r="965" spans="2:9">
      <c r="B965" s="4"/>
      <c r="C965" s="4"/>
      <c r="D965" s="4"/>
      <c r="E965" s="4"/>
      <c r="F965" s="4"/>
      <c r="G965" s="4"/>
      <c r="H965" s="4"/>
      <c r="I965" s="4"/>
    </row>
    <row r="966" spans="2:9">
      <c r="B966" s="4"/>
      <c r="C966" s="4"/>
      <c r="D966" s="4"/>
      <c r="E966" s="4"/>
      <c r="F966" s="4"/>
      <c r="G966" s="4"/>
      <c r="H966" s="4"/>
      <c r="I966" s="4"/>
    </row>
    <row r="967" spans="2:9">
      <c r="B967" s="4"/>
      <c r="C967" s="4"/>
      <c r="D967" s="4"/>
      <c r="E967" s="4"/>
      <c r="F967" s="4"/>
      <c r="G967" s="4"/>
      <c r="H967" s="4"/>
      <c r="I967" s="4"/>
    </row>
    <row r="968" spans="2:9">
      <c r="B968" s="4"/>
      <c r="C968" s="4"/>
      <c r="D968" s="4"/>
      <c r="E968" s="4"/>
      <c r="F968" s="4"/>
      <c r="G968" s="4"/>
      <c r="H968" s="4"/>
      <c r="I968" s="4"/>
    </row>
    <row r="969" spans="2:9">
      <c r="B969" s="4"/>
      <c r="C969" s="4"/>
      <c r="D969" s="4"/>
      <c r="E969" s="4"/>
      <c r="F969" s="4"/>
      <c r="G969" s="4"/>
      <c r="H969" s="4"/>
      <c r="I969" s="4"/>
    </row>
    <row r="970" spans="2:9">
      <c r="B970" s="4"/>
      <c r="C970" s="4"/>
      <c r="D970" s="4"/>
      <c r="E970" s="4"/>
      <c r="F970" s="4"/>
      <c r="G970" s="4"/>
      <c r="H970" s="4"/>
      <c r="I970" s="4"/>
    </row>
    <row r="971" spans="2:9">
      <c r="B971" s="4"/>
      <c r="C971" s="4"/>
      <c r="D971" s="4"/>
      <c r="E971" s="4"/>
      <c r="F971" s="4"/>
      <c r="G971" s="4"/>
      <c r="H971" s="4"/>
      <c r="I971" s="4"/>
    </row>
    <row r="972" spans="2:9">
      <c r="B972" s="4"/>
      <c r="C972" s="4"/>
      <c r="D972" s="4"/>
      <c r="E972" s="4"/>
      <c r="F972" s="4"/>
      <c r="G972" s="4"/>
      <c r="H972" s="4"/>
      <c r="I972" s="4"/>
    </row>
    <row r="973" spans="2:9">
      <c r="B973" s="4"/>
      <c r="C973" s="4"/>
      <c r="D973" s="4"/>
      <c r="E973" s="4"/>
      <c r="F973" s="4"/>
      <c r="G973" s="4"/>
      <c r="H973" s="4"/>
      <c r="I973" s="4"/>
    </row>
    <row r="974" spans="2:9">
      <c r="B974" s="4"/>
      <c r="C974" s="4"/>
      <c r="D974" s="4"/>
      <c r="E974" s="4"/>
      <c r="F974" s="4"/>
      <c r="G974" s="4"/>
      <c r="H974" s="4"/>
      <c r="I974" s="4"/>
    </row>
    <row r="975" spans="2:9">
      <c r="B975" s="4"/>
      <c r="C975" s="4"/>
      <c r="D975" s="4"/>
      <c r="E975" s="4"/>
      <c r="F975" s="4"/>
      <c r="G975" s="4"/>
      <c r="H975" s="4"/>
      <c r="I975" s="4"/>
    </row>
    <row r="976" spans="2:9">
      <c r="B976" s="4"/>
      <c r="C976" s="4"/>
      <c r="D976" s="4"/>
      <c r="E976" s="4"/>
      <c r="F976" s="4"/>
      <c r="G976" s="4"/>
      <c r="H976" s="4"/>
      <c r="I976" s="4"/>
    </row>
    <row r="977" spans="2:9">
      <c r="B977" s="4"/>
      <c r="C977" s="4"/>
      <c r="D977" s="4"/>
      <c r="E977" s="4"/>
      <c r="F977" s="4"/>
      <c r="G977" s="4"/>
      <c r="H977" s="4"/>
      <c r="I977" s="4"/>
    </row>
    <row r="978" spans="2:9">
      <c r="B978" s="4"/>
      <c r="C978" s="4"/>
      <c r="D978" s="4"/>
      <c r="E978" s="4"/>
      <c r="F978" s="4"/>
      <c r="G978" s="4"/>
      <c r="H978" s="4"/>
      <c r="I978" s="4"/>
    </row>
    <row r="979" spans="2:9">
      <c r="B979" s="4"/>
      <c r="C979" s="4"/>
      <c r="D979" s="4"/>
      <c r="E979" s="4"/>
      <c r="F979" s="4"/>
      <c r="G979" s="4"/>
      <c r="H979" s="4"/>
      <c r="I979" s="4"/>
    </row>
    <row r="980" spans="2:9">
      <c r="B980" s="4"/>
      <c r="C980" s="4"/>
      <c r="D980" s="4"/>
      <c r="E980" s="4"/>
      <c r="F980" s="4"/>
      <c r="G980" s="4"/>
      <c r="H980" s="4"/>
      <c r="I980" s="4"/>
    </row>
    <row r="981" spans="2:9">
      <c r="B981" s="4"/>
      <c r="C981" s="4"/>
      <c r="D981" s="4"/>
      <c r="E981" s="4"/>
      <c r="F981" s="4"/>
      <c r="G981" s="4"/>
      <c r="H981" s="4"/>
      <c r="I981" s="4"/>
    </row>
    <row r="982" spans="2:9">
      <c r="B982" s="4"/>
      <c r="C982" s="4"/>
      <c r="D982" s="4"/>
      <c r="E982" s="4"/>
      <c r="F982" s="4"/>
      <c r="G982" s="4"/>
      <c r="H982" s="4"/>
      <c r="I982" s="4"/>
    </row>
    <row r="983" spans="2:9">
      <c r="B983" s="4"/>
      <c r="C983" s="4"/>
      <c r="D983" s="4"/>
      <c r="E983" s="4"/>
      <c r="F983" s="4"/>
      <c r="G983" s="4"/>
      <c r="H983" s="4"/>
      <c r="I983" s="4"/>
    </row>
    <row r="984" spans="2:9">
      <c r="B984" s="4"/>
      <c r="C984" s="4"/>
      <c r="D984" s="4"/>
      <c r="E984" s="4"/>
      <c r="F984" s="4"/>
      <c r="G984" s="4"/>
      <c r="H984" s="4"/>
      <c r="I984" s="4"/>
    </row>
    <row r="985" spans="2:9">
      <c r="B985" s="4"/>
      <c r="C985" s="4"/>
      <c r="D985" s="4"/>
      <c r="E985" s="4"/>
      <c r="F985" s="4"/>
      <c r="G985" s="4"/>
      <c r="H985" s="4"/>
      <c r="I985" s="4"/>
    </row>
    <row r="986" spans="2:9">
      <c r="B986" s="4"/>
      <c r="C986" s="4"/>
      <c r="D986" s="4"/>
      <c r="E986" s="4"/>
      <c r="F986" s="4"/>
      <c r="G986" s="4"/>
      <c r="H986" s="4"/>
      <c r="I986" s="4"/>
    </row>
    <row r="987" spans="2:9">
      <c r="B987" s="4"/>
      <c r="C987" s="4"/>
      <c r="D987" s="4"/>
      <c r="E987" s="4"/>
      <c r="F987" s="4"/>
      <c r="G987" s="4"/>
      <c r="H987" s="4"/>
      <c r="I987" s="4"/>
    </row>
    <row r="988" spans="2:9">
      <c r="B988" s="4"/>
      <c r="C988" s="4"/>
      <c r="D988" s="4"/>
      <c r="E988" s="4"/>
      <c r="F988" s="4"/>
      <c r="G988" s="4"/>
      <c r="H988" s="4"/>
      <c r="I988" s="4"/>
    </row>
    <row r="989" spans="2:9">
      <c r="B989" s="4"/>
      <c r="C989" s="4"/>
      <c r="D989" s="4"/>
      <c r="E989" s="4"/>
      <c r="F989" s="4"/>
      <c r="G989" s="4"/>
      <c r="H989" s="4"/>
      <c r="I989" s="4"/>
    </row>
    <row r="990" spans="2:9">
      <c r="B990" s="4"/>
      <c r="C990" s="4"/>
      <c r="D990" s="4"/>
      <c r="E990" s="4"/>
      <c r="F990" s="4"/>
      <c r="G990" s="4"/>
      <c r="H990" s="4"/>
      <c r="I990" s="4"/>
    </row>
    <row r="991" spans="2:9">
      <c r="B991" s="4"/>
      <c r="C991" s="4"/>
      <c r="D991" s="4"/>
      <c r="E991" s="4"/>
      <c r="F991" s="4"/>
      <c r="G991" s="4"/>
      <c r="H991" s="4"/>
      <c r="I991" s="4"/>
    </row>
    <row r="992" spans="2:9">
      <c r="B992" s="4"/>
      <c r="C992" s="4"/>
      <c r="D992" s="4"/>
      <c r="E992" s="4"/>
      <c r="F992" s="4"/>
      <c r="G992" s="4"/>
      <c r="H992" s="4"/>
      <c r="I992" s="4"/>
    </row>
    <row r="993" spans="2:9">
      <c r="B993" s="4"/>
      <c r="C993" s="4"/>
      <c r="D993" s="4"/>
      <c r="E993" s="4"/>
      <c r="F993" s="4"/>
      <c r="G993" s="4"/>
      <c r="H993" s="4"/>
      <c r="I993" s="4"/>
    </row>
    <row r="994" spans="2:9">
      <c r="B994" s="4"/>
      <c r="C994" s="4"/>
      <c r="D994" s="4"/>
      <c r="E994" s="4"/>
      <c r="F994" s="4"/>
      <c r="G994" s="4"/>
      <c r="H994" s="4"/>
      <c r="I994" s="4"/>
    </row>
    <row r="995" spans="2:9">
      <c r="B995" s="4"/>
      <c r="C995" s="4"/>
      <c r="D995" s="4"/>
      <c r="E995" s="4"/>
      <c r="F995" s="4"/>
      <c r="G995" s="4"/>
      <c r="H995" s="4"/>
      <c r="I995" s="4"/>
    </row>
    <row r="996" spans="2:9">
      <c r="B996" s="4"/>
      <c r="C996" s="4"/>
      <c r="D996" s="4"/>
      <c r="E996" s="4"/>
      <c r="F996" s="4"/>
      <c r="G996" s="4"/>
      <c r="H996" s="4"/>
      <c r="I996" s="4"/>
    </row>
    <row r="997" spans="2:9">
      <c r="B997" s="4"/>
      <c r="C997" s="4"/>
      <c r="D997" s="4"/>
      <c r="E997" s="4"/>
      <c r="F997" s="4"/>
      <c r="G997" s="4"/>
      <c r="H997" s="4"/>
      <c r="I997" s="4"/>
    </row>
    <row r="998" spans="2:9">
      <c r="B998" s="4"/>
      <c r="C998" s="4"/>
      <c r="D998" s="4"/>
      <c r="E998" s="4"/>
      <c r="F998" s="4"/>
      <c r="G998" s="4"/>
      <c r="H998" s="4"/>
      <c r="I998" s="4"/>
    </row>
    <row r="999" spans="2:9">
      <c r="B999" s="4"/>
      <c r="C999" s="4"/>
      <c r="D999" s="4"/>
      <c r="E999" s="4"/>
      <c r="F999" s="4"/>
      <c r="G999" s="4"/>
      <c r="H999" s="4"/>
      <c r="I999" s="4"/>
    </row>
    <row r="1000" spans="2:9">
      <c r="B1000" s="4"/>
      <c r="C1000" s="4"/>
      <c r="D1000" s="4"/>
      <c r="E1000" s="4"/>
      <c r="F1000" s="4"/>
      <c r="G1000" s="4"/>
      <c r="H1000" s="4"/>
      <c r="I1000" s="4"/>
    </row>
    <row r="1001" spans="2:9">
      <c r="B1001" s="4"/>
      <c r="C1001" s="4"/>
      <c r="D1001" s="4"/>
      <c r="E1001" s="4"/>
      <c r="F1001" s="4"/>
      <c r="G1001" s="4"/>
      <c r="H1001" s="4"/>
      <c r="I1001" s="4"/>
    </row>
    <row r="1002" spans="2:9">
      <c r="B1002" s="4"/>
      <c r="C1002" s="4"/>
      <c r="D1002" s="4"/>
      <c r="E1002" s="4"/>
      <c r="F1002" s="4"/>
      <c r="G1002" s="4"/>
      <c r="H1002" s="4"/>
      <c r="I1002" s="4"/>
    </row>
    <row r="1003" spans="2:9">
      <c r="B1003" s="4"/>
      <c r="C1003" s="4"/>
      <c r="D1003" s="4"/>
      <c r="E1003" s="4"/>
      <c r="F1003" s="4"/>
      <c r="G1003" s="4"/>
      <c r="H1003" s="4"/>
      <c r="I1003" s="4"/>
    </row>
    <row r="1004" spans="2:9">
      <c r="B1004" s="4"/>
      <c r="C1004" s="4"/>
      <c r="D1004" s="4"/>
      <c r="E1004" s="4"/>
      <c r="F1004" s="4"/>
      <c r="G1004" s="4"/>
      <c r="H1004" s="4"/>
      <c r="I1004" s="4"/>
    </row>
    <row r="1005" spans="2:9">
      <c r="B1005" s="4"/>
      <c r="C1005" s="4"/>
      <c r="D1005" s="4"/>
      <c r="E1005" s="4"/>
      <c r="F1005" s="4"/>
      <c r="G1005" s="4"/>
      <c r="H1005" s="4"/>
    </row>
    <row r="1006" spans="2:9">
      <c r="B1006" s="4"/>
      <c r="C1006" s="4"/>
      <c r="D1006" s="4"/>
      <c r="E1006" s="4"/>
      <c r="F1006" s="4"/>
      <c r="G1006" s="4"/>
      <c r="H1006" s="4"/>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0" customWidth="1"/>
    <col min="20" max="20" width="1.42578125" style="6" customWidth="1"/>
    <col min="21" max="21" width="2.140625" style="39" hidden="1" customWidth="1"/>
    <col min="22" max="22" width="3" style="39" hidden="1" customWidth="1"/>
    <col min="23" max="255" width="3.140625" style="1" customWidth="1"/>
    <col min="256" max="16384" width="3.140625" style="1"/>
  </cols>
  <sheetData>
    <row r="1" spans="1:20" ht="8.25" customHeight="1" thickBot="1">
      <c r="A1" s="96"/>
      <c r="B1" s="96"/>
      <c r="C1" s="91"/>
      <c r="D1" s="91"/>
      <c r="E1" s="91"/>
      <c r="F1" s="91"/>
      <c r="G1" s="91"/>
      <c r="H1" s="91"/>
      <c r="I1" s="91"/>
      <c r="J1" s="91"/>
      <c r="K1" s="91"/>
      <c r="L1" s="91"/>
      <c r="M1" s="91"/>
      <c r="N1" s="91"/>
      <c r="O1" s="91"/>
      <c r="P1" s="91"/>
      <c r="Q1" s="91"/>
      <c r="R1" s="91"/>
      <c r="S1" s="97"/>
      <c r="T1" s="91"/>
    </row>
    <row r="2" spans="1:20" ht="42" customHeight="1" thickTop="1">
      <c r="A2" s="96"/>
      <c r="B2" s="1112" t="s">
        <v>1085</v>
      </c>
      <c r="C2" s="1113"/>
      <c r="D2" s="1113"/>
      <c r="E2" s="1113"/>
      <c r="F2" s="1113"/>
      <c r="G2" s="1113"/>
      <c r="H2" s="1113"/>
      <c r="I2" s="1113"/>
      <c r="J2" s="1113"/>
      <c r="K2" s="1113"/>
      <c r="L2" s="1113"/>
      <c r="M2" s="1113"/>
      <c r="N2" s="1113"/>
      <c r="O2" s="1113"/>
      <c r="P2" s="1113"/>
      <c r="Q2" s="1113"/>
      <c r="R2" s="1113"/>
      <c r="S2" s="1114"/>
      <c r="T2" s="91"/>
    </row>
    <row r="3" spans="1:20" ht="5.45" customHeight="1">
      <c r="A3" s="96"/>
      <c r="B3" s="322"/>
      <c r="S3" s="323"/>
      <c r="T3" s="91"/>
    </row>
    <row r="4" spans="1:20" ht="17.100000000000001" customHeight="1">
      <c r="A4" s="96"/>
      <c r="B4" s="322"/>
      <c r="E4" s="46"/>
      <c r="F4" s="274" t="s">
        <v>704</v>
      </c>
      <c r="G4" s="1142" t="str">
        <f>IF(ISBLANK('Start Page'!AB9),"&lt;&lt; Please enter system details on the Start Page &gt;&gt;",'Start Page'!AB9&amp;IF(ISBLANK('Start Page'!AM28),"","  ("&amp;'Start Page'!AM28&amp;")"))</f>
        <v>PAW - 520 Yardley</v>
      </c>
      <c r="H4" s="1143"/>
      <c r="I4" s="1143"/>
      <c r="J4" s="1143"/>
      <c r="K4" s="1143"/>
      <c r="L4" s="1143"/>
      <c r="M4" s="1143"/>
      <c r="N4" s="1143"/>
      <c r="O4" s="1144"/>
      <c r="S4" s="323"/>
      <c r="T4" s="91"/>
    </row>
    <row r="5" spans="1:20" ht="17.100000000000001" customHeight="1">
      <c r="A5" s="96"/>
      <c r="B5" s="322"/>
      <c r="E5"/>
      <c r="F5" s="274" t="s">
        <v>705</v>
      </c>
      <c r="G5" s="324">
        <f>IF(ISBLANK('Start Page'!AB18),"",'Start Page'!AB18)</f>
        <v>2023</v>
      </c>
      <c r="H5" s="1156" t="str">
        <f>IF(ISBLANK('Start Page'!AB20),"",TEXT('Start Page'!AB20,"mmm dd yyyy")&amp;" - "&amp;TEXT('Start Page'!AB21,"mmm dd yyyy"))</f>
        <v>Jan 01 2023 - Dec 31 2023</v>
      </c>
      <c r="I5" s="1157"/>
      <c r="J5" s="1158"/>
      <c r="K5" s="752"/>
      <c r="L5" s="752"/>
      <c r="M5" s="752"/>
      <c r="N5" s="752"/>
      <c r="O5" s="752"/>
      <c r="S5" s="323"/>
      <c r="T5" s="91"/>
    </row>
    <row r="6" spans="1:20" ht="17.100000000000001" customHeight="1">
      <c r="A6" s="96"/>
      <c r="B6" s="322"/>
      <c r="E6"/>
      <c r="F6" s="274" t="s">
        <v>888</v>
      </c>
      <c r="G6" s="1153" t="str">
        <f>IF(OR(ISBLANK('Start Page'!AB22:AL22),'M36 Refs'!AN118&gt;0),"Additional data entry required",Dashboard!BR4)</f>
        <v>Tier IV (71-90)</v>
      </c>
      <c r="H6" s="1154"/>
      <c r="I6" s="1155"/>
      <c r="J6" s="752"/>
      <c r="K6" s="752"/>
      <c r="L6" s="752"/>
      <c r="M6" s="752"/>
      <c r="N6" s="752"/>
      <c r="O6" s="752"/>
      <c r="S6" s="323"/>
      <c r="T6" s="91"/>
    </row>
    <row r="7" spans="1:20" ht="6" customHeight="1" thickBot="1">
      <c r="A7" s="96"/>
      <c r="B7" s="322"/>
      <c r="S7" s="323"/>
      <c r="T7" s="91"/>
    </row>
    <row r="8" spans="1:20" ht="26.1" customHeight="1" thickBot="1">
      <c r="A8" s="96"/>
      <c r="B8" s="322"/>
      <c r="C8" s="1145" t="s">
        <v>1086</v>
      </c>
      <c r="D8" s="1146"/>
      <c r="E8" s="1146"/>
      <c r="F8" s="1146"/>
      <c r="G8" s="1146"/>
      <c r="H8" s="1146"/>
      <c r="I8" s="1146"/>
      <c r="J8" s="1146"/>
      <c r="K8" s="1146"/>
      <c r="L8" s="1146"/>
      <c r="M8" s="1146"/>
      <c r="N8" s="1146"/>
      <c r="O8" s="1146"/>
      <c r="P8" s="1146"/>
      <c r="Q8" s="1146"/>
      <c r="R8" s="1147"/>
      <c r="S8" s="323"/>
      <c r="T8" s="91"/>
    </row>
    <row r="9" spans="1:20" ht="18.75" customHeight="1" thickTop="1">
      <c r="A9" s="96"/>
      <c r="B9" s="322"/>
      <c r="C9" s="325"/>
      <c r="D9" s="1149" t="s">
        <v>1087</v>
      </c>
      <c r="E9" s="1150"/>
      <c r="F9" s="1150"/>
      <c r="G9" s="1150"/>
      <c r="H9" s="1150"/>
      <c r="I9" s="1150"/>
      <c r="J9" s="1150"/>
      <c r="K9" s="1150"/>
      <c r="L9" s="1150"/>
      <c r="M9" s="1150"/>
      <c r="N9" s="1150"/>
      <c r="O9" s="1150"/>
      <c r="P9" s="1150"/>
      <c r="Q9" s="1150"/>
      <c r="R9" s="1151"/>
      <c r="S9" s="323"/>
      <c r="T9" s="91"/>
    </row>
    <row r="10" spans="1:20" ht="34.5" customHeight="1" thickBot="1">
      <c r="A10" s="96"/>
      <c r="B10" s="322"/>
      <c r="C10" s="887" t="s">
        <v>1088</v>
      </c>
      <c r="D10" s="1152" t="s">
        <v>1089</v>
      </c>
      <c r="E10" s="1129"/>
      <c r="F10" s="1130"/>
      <c r="G10" s="1128" t="s">
        <v>897</v>
      </c>
      <c r="H10" s="1129"/>
      <c r="I10" s="1130"/>
      <c r="J10" s="1128" t="s">
        <v>898</v>
      </c>
      <c r="K10" s="1129"/>
      <c r="L10" s="1130"/>
      <c r="M10" s="1128" t="s">
        <v>905</v>
      </c>
      <c r="N10" s="1129"/>
      <c r="O10" s="1130"/>
      <c r="P10" s="1128" t="s">
        <v>917</v>
      </c>
      <c r="Q10" s="1129"/>
      <c r="R10" s="1131"/>
      <c r="S10" s="323"/>
      <c r="T10" s="91"/>
    </row>
    <row r="11" spans="1:20" ht="61.9" customHeight="1" thickTop="1">
      <c r="A11" s="96"/>
      <c r="B11" s="322"/>
      <c r="C11" s="326" t="s">
        <v>1090</v>
      </c>
      <c r="D11" s="1137" t="s">
        <v>1091</v>
      </c>
      <c r="E11" s="1133"/>
      <c r="F11" s="1134"/>
      <c r="G11" s="1132" t="s">
        <v>1092</v>
      </c>
      <c r="H11" s="1133"/>
      <c r="I11" s="1134"/>
      <c r="J11" s="1132" t="s">
        <v>1093</v>
      </c>
      <c r="K11" s="1133"/>
      <c r="L11" s="1148"/>
      <c r="M11" s="1132" t="s">
        <v>1094</v>
      </c>
      <c r="N11" s="1133"/>
      <c r="O11" s="1148"/>
      <c r="P11" s="1132" t="s">
        <v>1095</v>
      </c>
      <c r="Q11" s="1133"/>
      <c r="R11" s="1148"/>
      <c r="S11" s="323"/>
      <c r="T11" s="91"/>
    </row>
    <row r="12" spans="1:20" ht="78" customHeight="1">
      <c r="A12" s="96"/>
      <c r="B12" s="322"/>
      <c r="C12" s="327" t="s">
        <v>1096</v>
      </c>
      <c r="D12" s="1125" t="s">
        <v>1097</v>
      </c>
      <c r="E12" s="1126"/>
      <c r="F12" s="1127"/>
      <c r="G12" s="1135" t="s">
        <v>1098</v>
      </c>
      <c r="H12" s="1126"/>
      <c r="I12" s="1127"/>
      <c r="J12" s="1135" t="s">
        <v>1099</v>
      </c>
      <c r="K12" s="1126"/>
      <c r="L12" s="1136"/>
      <c r="M12" s="1135" t="s">
        <v>1100</v>
      </c>
      <c r="N12" s="1126"/>
      <c r="O12" s="1136"/>
      <c r="P12" s="1135" t="s">
        <v>1101</v>
      </c>
      <c r="Q12" s="1126"/>
      <c r="R12" s="1136"/>
      <c r="S12" s="323"/>
      <c r="T12" s="91"/>
    </row>
    <row r="13" spans="1:20" ht="105.75" customHeight="1">
      <c r="A13" s="96"/>
      <c r="B13" s="322"/>
      <c r="C13" s="327" t="s">
        <v>1102</v>
      </c>
      <c r="D13" s="1138"/>
      <c r="E13" s="1139"/>
      <c r="F13" s="1140"/>
      <c r="G13" s="1135" t="s">
        <v>1103</v>
      </c>
      <c r="H13" s="1126"/>
      <c r="I13" s="1127"/>
      <c r="J13" s="1135" t="s">
        <v>1104</v>
      </c>
      <c r="K13" s="1126"/>
      <c r="L13" s="1136"/>
      <c r="M13" s="1135" t="s">
        <v>1105</v>
      </c>
      <c r="N13" s="1126"/>
      <c r="O13" s="1136"/>
      <c r="P13" s="1135" t="s">
        <v>1106</v>
      </c>
      <c r="Q13" s="1126"/>
      <c r="R13" s="1136"/>
      <c r="S13" s="323"/>
      <c r="T13" s="91"/>
    </row>
    <row r="14" spans="1:20" ht="68.25" customHeight="1">
      <c r="A14" s="96"/>
      <c r="B14" s="322"/>
      <c r="C14" s="327" t="s">
        <v>1107</v>
      </c>
      <c r="D14" s="1138"/>
      <c r="E14" s="1139"/>
      <c r="F14" s="1140"/>
      <c r="G14" s="1141"/>
      <c r="H14" s="1139"/>
      <c r="I14" s="1140"/>
      <c r="J14" s="1135" t="s">
        <v>1108</v>
      </c>
      <c r="K14" s="1126"/>
      <c r="L14" s="1136"/>
      <c r="M14" s="1135" t="s">
        <v>1109</v>
      </c>
      <c r="N14" s="1126"/>
      <c r="O14" s="1136"/>
      <c r="P14" s="1135" t="s">
        <v>1110</v>
      </c>
      <c r="Q14" s="1126"/>
      <c r="R14" s="1136"/>
      <c r="S14" s="323"/>
      <c r="T14" s="91"/>
    </row>
    <row r="15" spans="1:20" ht="84" customHeight="1" thickBot="1">
      <c r="A15" s="96"/>
      <c r="B15" s="322"/>
      <c r="C15" s="328" t="s">
        <v>1111</v>
      </c>
      <c r="D15" s="1118"/>
      <c r="E15" s="1119"/>
      <c r="F15" s="1120"/>
      <c r="G15" s="1121"/>
      <c r="H15" s="1119"/>
      <c r="I15" s="1120"/>
      <c r="J15" s="1122" t="s">
        <v>1112</v>
      </c>
      <c r="K15" s="1123"/>
      <c r="L15" s="1124"/>
      <c r="M15" s="1122" t="s">
        <v>1113</v>
      </c>
      <c r="N15" s="1123"/>
      <c r="O15" s="1124"/>
      <c r="P15" s="1122" t="s">
        <v>1114</v>
      </c>
      <c r="Q15" s="1123"/>
      <c r="R15" s="1124"/>
      <c r="S15" s="323"/>
      <c r="T15" s="91"/>
    </row>
    <row r="16" spans="1:20" ht="21" customHeight="1" thickTop="1" thickBot="1">
      <c r="A16" s="96"/>
      <c r="B16" s="322"/>
      <c r="C16" s="1115" t="s">
        <v>1115</v>
      </c>
      <c r="D16" s="1116"/>
      <c r="E16" s="1116"/>
      <c r="F16" s="1116"/>
      <c r="G16" s="1116"/>
      <c r="H16" s="1116"/>
      <c r="I16" s="1116"/>
      <c r="J16" s="1116"/>
      <c r="K16" s="1116"/>
      <c r="L16" s="1116"/>
      <c r="M16" s="1116"/>
      <c r="N16" s="1116"/>
      <c r="O16" s="1116"/>
      <c r="P16" s="1116"/>
      <c r="Q16" s="1116"/>
      <c r="R16" s="1117"/>
      <c r="S16" s="323"/>
      <c r="T16" s="91"/>
    </row>
    <row r="17" spans="1:22" ht="13.15" hidden="1" customHeight="1">
      <c r="A17" s="91"/>
      <c r="B17" s="329"/>
      <c r="C17" s="147"/>
      <c r="E17" s="118">
        <v>0</v>
      </c>
      <c r="F17" s="118"/>
      <c r="G17" s="118"/>
      <c r="H17" s="118">
        <v>26</v>
      </c>
      <c r="I17" s="118"/>
      <c r="J17" s="118"/>
      <c r="K17" s="118">
        <v>51</v>
      </c>
      <c r="L17" s="118"/>
      <c r="M17" s="118"/>
      <c r="N17" s="118">
        <v>71</v>
      </c>
      <c r="O17" s="118"/>
      <c r="P17" s="118"/>
      <c r="Q17" s="118">
        <v>91</v>
      </c>
      <c r="R17" s="118"/>
      <c r="S17" s="330"/>
      <c r="T17" s="91"/>
      <c r="U17" s="2"/>
      <c r="V17" s="2"/>
    </row>
    <row r="18" spans="1:22" ht="13.15" hidden="1" customHeight="1">
      <c r="A18" s="91"/>
      <c r="B18" s="329"/>
      <c r="C18" s="147"/>
      <c r="E18" s="118">
        <v>25</v>
      </c>
      <c r="F18" s="118"/>
      <c r="G18" s="118"/>
      <c r="H18" s="118">
        <v>50</v>
      </c>
      <c r="I18" s="118"/>
      <c r="J18" s="118"/>
      <c r="K18" s="118">
        <v>70</v>
      </c>
      <c r="L18" s="118"/>
      <c r="M18" s="118"/>
      <c r="N18" s="118">
        <v>90</v>
      </c>
      <c r="O18" s="118"/>
      <c r="P18" s="118"/>
      <c r="Q18" s="118">
        <v>100</v>
      </c>
      <c r="R18" s="118"/>
      <c r="S18" s="330"/>
      <c r="T18" s="91"/>
      <c r="U18" s="2"/>
      <c r="V18" s="2"/>
    </row>
    <row r="19" spans="1:22" ht="13.15" hidden="1" customHeight="1">
      <c r="A19" s="96"/>
      <c r="B19" s="322"/>
      <c r="C19" s="40"/>
      <c r="D19" s="40"/>
      <c r="E19" s="331">
        <f>IF(AND(ROUND('M36 Refs'!$AH$118,0)&gt;=E17,ROUND('M36 Refs'!$AH$118,0)&lt;='Loss Control Planning'!E18,'M36 Refs'!AN118=0),1,0)</f>
        <v>0</v>
      </c>
      <c r="F19" s="331"/>
      <c r="G19" s="331"/>
      <c r="H19" s="331">
        <f>IF(AND(ROUND('M36 Refs'!$AH$118,0)&gt;=H17,ROUND('M36 Refs'!$AH$118,0)&lt;='Loss Control Planning'!H18,'M36 Refs'!AN118=0),1,0)</f>
        <v>0</v>
      </c>
      <c r="I19" s="331"/>
      <c r="J19" s="331"/>
      <c r="K19" s="331">
        <f>IF(AND(ROUND('M36 Refs'!$AH$118,0)&gt;=K17,ROUND('M36 Refs'!$AH$118,0)&lt;='Loss Control Planning'!K18,'M36 Refs'!AN118=0),1,0)</f>
        <v>0</v>
      </c>
      <c r="L19" s="331"/>
      <c r="M19" s="331"/>
      <c r="N19" s="331">
        <f>IF(AND(ROUND('M36 Refs'!$AH$118,0)&gt;=N17,ROUND('M36 Refs'!$AH$118,0)&lt;='Loss Control Planning'!N18,'M36 Refs'!AN118=0),1,0)</f>
        <v>1</v>
      </c>
      <c r="O19" s="331"/>
      <c r="P19" s="331"/>
      <c r="Q19" s="331">
        <f>IF(AND(ROUND('M36 Refs'!$AH$118,0)&gt;=Q17,ROUND('M36 Refs'!$AH$118,0)&lt;='Loss Control Planning'!Q18,'M36 Refs'!AN118=0),1,0)</f>
        <v>0</v>
      </c>
      <c r="R19" s="331"/>
      <c r="S19" s="323"/>
      <c r="T19" s="91"/>
    </row>
    <row r="20" spans="1:22" ht="13.15" hidden="1" customHeight="1">
      <c r="A20" s="96"/>
      <c r="T20" s="91"/>
    </row>
    <row r="21" spans="1:22" ht="13.15" hidden="1" customHeight="1">
      <c r="A21" s="96"/>
      <c r="T21" s="91"/>
    </row>
    <row r="22" spans="1:22" ht="13.15" hidden="1" customHeight="1">
      <c r="A22" s="96"/>
      <c r="T22" s="91"/>
    </row>
    <row r="23" spans="1:22" ht="6" customHeight="1" thickBot="1">
      <c r="A23" s="96"/>
      <c r="B23" s="332"/>
      <c r="C23" s="333"/>
      <c r="D23" s="333"/>
      <c r="E23" s="333"/>
      <c r="F23" s="333"/>
      <c r="G23" s="333"/>
      <c r="H23" s="333"/>
      <c r="I23" s="333"/>
      <c r="J23" s="333"/>
      <c r="K23" s="333"/>
      <c r="L23" s="333"/>
      <c r="M23" s="333"/>
      <c r="N23" s="333"/>
      <c r="O23" s="333"/>
      <c r="P23" s="333"/>
      <c r="Q23" s="333"/>
      <c r="R23" s="333"/>
      <c r="S23" s="334"/>
      <c r="T23" s="91"/>
    </row>
    <row r="24" spans="1:22" ht="7.5" customHeight="1" thickTop="1">
      <c r="A24" s="96"/>
      <c r="B24" s="96"/>
      <c r="C24" s="91"/>
      <c r="D24" s="91"/>
      <c r="E24" s="91"/>
      <c r="F24" s="91"/>
      <c r="G24" s="91"/>
      <c r="H24" s="91"/>
      <c r="I24" s="91"/>
      <c r="J24" s="91"/>
      <c r="K24" s="91"/>
      <c r="L24" s="91"/>
      <c r="M24" s="91"/>
      <c r="N24" s="91"/>
      <c r="O24" s="91"/>
      <c r="P24" s="91"/>
      <c r="Q24" s="91"/>
      <c r="R24" s="91"/>
      <c r="S24" s="97"/>
      <c r="T24" s="9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624"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626" t="s">
        <v>1116</v>
      </c>
      <c r="B1" s="627" t="s">
        <v>1117</v>
      </c>
    </row>
    <row r="2" spans="1:2" ht="105">
      <c r="A2" s="624" t="s">
        <v>1118</v>
      </c>
      <c r="B2" s="619" t="s">
        <v>1119</v>
      </c>
    </row>
    <row r="3" spans="1:2" ht="28.35" customHeight="1">
      <c r="B3" s="620"/>
    </row>
    <row r="4" spans="1:2" ht="60">
      <c r="A4" s="624" t="s">
        <v>1120</v>
      </c>
      <c r="B4" s="619" t="s">
        <v>1121</v>
      </c>
    </row>
    <row r="5" spans="1:2" ht="13.5">
      <c r="B5" s="621"/>
    </row>
    <row r="6" spans="1:2" ht="75">
      <c r="A6" s="624" t="s">
        <v>1122</v>
      </c>
      <c r="B6" s="622" t="s">
        <v>1123</v>
      </c>
    </row>
    <row r="7" spans="1:2" ht="13.5">
      <c r="B7" s="621"/>
    </row>
    <row r="8" spans="1:2" ht="150">
      <c r="A8" s="624" t="s">
        <v>1124</v>
      </c>
      <c r="B8" s="619" t="s">
        <v>1125</v>
      </c>
    </row>
    <row r="9" spans="1:2" ht="13.5">
      <c r="B9" s="621"/>
    </row>
    <row r="10" spans="1:2" ht="255">
      <c r="A10" s="625" t="s">
        <v>1126</v>
      </c>
      <c r="B10" s="623" t="s">
        <v>1127</v>
      </c>
    </row>
    <row r="12" spans="1:2" ht="150">
      <c r="A12" s="624" t="s">
        <v>1128</v>
      </c>
      <c r="B12" s="619" t="s">
        <v>1129</v>
      </c>
    </row>
    <row r="13" spans="1:2">
      <c r="B13" s="620"/>
    </row>
    <row r="14" spans="1:2" ht="45">
      <c r="A14" s="624" t="s">
        <v>1130</v>
      </c>
      <c r="B14" s="622" t="s">
        <v>1131</v>
      </c>
    </row>
    <row r="15" spans="1:2" ht="13.5">
      <c r="B15" s="621"/>
    </row>
    <row r="16" spans="1:2" ht="60">
      <c r="A16" s="624" t="s">
        <v>1132</v>
      </c>
      <c r="B16" s="622" t="s">
        <v>1133</v>
      </c>
    </row>
    <row r="17" spans="1:2" ht="13.5">
      <c r="B17" s="621"/>
    </row>
    <row r="18" spans="1:2" ht="120">
      <c r="A18" s="624" t="s">
        <v>1134</v>
      </c>
      <c r="B18" s="622" t="s">
        <v>1135</v>
      </c>
    </row>
    <row r="19" spans="1:2" ht="13.5">
      <c r="B19" s="621"/>
    </row>
    <row r="20" spans="1:2" ht="75">
      <c r="A20" s="624" t="s">
        <v>1136</v>
      </c>
      <c r="B20" s="619" t="s">
        <v>1137</v>
      </c>
    </row>
    <row r="21" spans="1:2" ht="13.5">
      <c r="B21" s="621"/>
    </row>
    <row r="22" spans="1:2" ht="90">
      <c r="A22" s="624" t="s">
        <v>1138</v>
      </c>
      <c r="B22" s="619" t="s">
        <v>1139</v>
      </c>
    </row>
    <row r="23" spans="1:2" ht="13.5">
      <c r="B23" s="621"/>
    </row>
    <row r="24" spans="1:2" ht="90">
      <c r="A24" s="624" t="s">
        <v>1140</v>
      </c>
      <c r="B24" s="619" t="s">
        <v>1141</v>
      </c>
    </row>
    <row r="25" spans="1:2" ht="13.5">
      <c r="B25" s="621"/>
    </row>
    <row r="26" spans="1:2" ht="60">
      <c r="A26" s="624" t="s">
        <v>1142</v>
      </c>
      <c r="B26" s="619" t="s">
        <v>1143</v>
      </c>
    </row>
    <row r="96" spans="34:34">
      <c r="AH96" s="33" t="s">
        <v>1144</v>
      </c>
    </row>
    <row r="97" spans="28:40" ht="25.5">
      <c r="AD97" s="32" t="s">
        <v>1145</v>
      </c>
      <c r="AE97" s="32" t="s">
        <v>1146</v>
      </c>
      <c r="AF97" s="32" t="s">
        <v>1147</v>
      </c>
      <c r="AG97" s="32" t="s">
        <v>1148</v>
      </c>
      <c r="AH97" s="32" t="s">
        <v>1149</v>
      </c>
      <c r="AI97" s="32" t="s">
        <v>1150</v>
      </c>
      <c r="AJ97" s="32" t="s">
        <v>1151</v>
      </c>
      <c r="AK97" s="32"/>
      <c r="AL97" s="161" t="s">
        <v>1152</v>
      </c>
      <c r="AM97" s="161" t="s">
        <v>1153</v>
      </c>
      <c r="AN97" s="161" t="s">
        <v>1154</v>
      </c>
    </row>
    <row r="98" spans="28:40">
      <c r="AC98" s="164" t="s">
        <v>1068</v>
      </c>
      <c r="AD98" s="36">
        <f>IF(Worksheet!F15="n/a",0,Worksheet!F15)</f>
        <v>10</v>
      </c>
      <c r="AE98" s="56">
        <f>Worksheet!Y15</f>
        <v>32.443196076861277</v>
      </c>
      <c r="AF98" s="35">
        <f t="shared" ref="AF98:AF103" si="0">AE98</f>
        <v>32.443196076861277</v>
      </c>
      <c r="AG98" s="35">
        <f>IF(AE98&lt;&gt;0,AF98/10,0)</f>
        <v>3.2443196076861276</v>
      </c>
      <c r="AH98" s="35">
        <f>IFERROR(AD98*AG98,0)</f>
        <v>32.443196076861277</v>
      </c>
      <c r="AI98" s="35">
        <f t="shared" ref="AI98:AI117" si="1">IF(AG98=0,0,AF98-AH98)</f>
        <v>0</v>
      </c>
      <c r="AJ98">
        <f t="array" aca="1" ref="AJ98" ca="1">SUM(1*(AI98&lt;$AI$98:$AI$117))+1+IF(ROW(AI98)-ROW($AI$98)=0,0,SUM(1*(AI98=OFFSET($AI$98,0,0,INDEX(ROW(AI98)-ROW($AI$98)+1,1)-1,1))))</f>
        <v>8</v>
      </c>
      <c r="AK98" s="118" t="str">
        <f>AC98</f>
        <v>Volume from Own Sources (VOS)</v>
      </c>
      <c r="AL98">
        <f>IFERROR(IF(AE98&lt;&gt;0,1,0),0)</f>
        <v>1</v>
      </c>
      <c r="AM98">
        <f>IF(AD98="",0,IF(AD98&lt;&gt;0,1,0))</f>
        <v>1</v>
      </c>
      <c r="AN98">
        <f t="shared" ref="AN98:AN117" si="2">IF(AND(AL98=1,AM98=0),1,0)</f>
        <v>0</v>
      </c>
    </row>
    <row r="99" spans="28:40">
      <c r="AC99" s="168" t="s">
        <v>1155</v>
      </c>
      <c r="AD99" s="36">
        <f>IF(Worksheet!M15="n/a",0,Worksheet!M15)</f>
        <v>10</v>
      </c>
      <c r="AE99" s="56">
        <f>Worksheet!Z15</f>
        <v>0.32767628037629887</v>
      </c>
      <c r="AF99" s="35">
        <f t="shared" si="0"/>
        <v>0.32767628037629887</v>
      </c>
      <c r="AG99" s="35">
        <f t="shared" ref="AG99:AG117" si="3">IF(AE99&lt;&gt;0,AF99/10,0)</f>
        <v>3.2767628037629885E-2</v>
      </c>
      <c r="AH99" s="35">
        <f t="shared" ref="AH99:AH106" si="4">IFERROR(AD99*AG99,0)</f>
        <v>0.32767628037629887</v>
      </c>
      <c r="AI99" s="35">
        <f t="shared" si="1"/>
        <v>0</v>
      </c>
      <c r="AJ99">
        <f t="array" aca="1" ref="AJ99" ca="1">SUM(1*(AI99&lt;$AI$98:$AI$117))+1+IF(ROW(AI99)-ROW($AI$98)=0,0,SUM(1*(AI99=OFFSET($AI$98,0,0,INDEX(ROW(AI99)-ROW($AI$98)+1,1)-1,1))))</f>
        <v>9</v>
      </c>
      <c r="AK99" s="118" t="str">
        <f t="shared" ref="AK99:AK117" si="5">AC99</f>
        <v>VOS Error Adjustment (VOSEA)</v>
      </c>
      <c r="AL99">
        <f t="shared" ref="AL99:AL103" si="6">IFERROR(IF(AE99&lt;&gt;0,1,0),0)</f>
        <v>1</v>
      </c>
      <c r="AM99">
        <f t="shared" ref="AM99:AM117" si="7">IF(AD99="",0,IF(AD99&lt;&gt;0,1,0))</f>
        <v>1</v>
      </c>
      <c r="AN99">
        <f t="shared" si="2"/>
        <v>0</v>
      </c>
    </row>
    <row r="100" spans="28:40">
      <c r="AC100" s="164" t="s">
        <v>1156</v>
      </c>
      <c r="AD100" s="36">
        <f>IF(Worksheet!F16="n/a",0,Worksheet!F16)</f>
        <v>0</v>
      </c>
      <c r="AE100" s="56">
        <f>Worksheet!Y16</f>
        <v>0</v>
      </c>
      <c r="AF100" s="35">
        <f t="shared" si="0"/>
        <v>0</v>
      </c>
      <c r="AG100" s="35">
        <f t="shared" si="3"/>
        <v>0</v>
      </c>
      <c r="AH100" s="35">
        <f t="shared" si="4"/>
        <v>0</v>
      </c>
      <c r="AI100" s="35">
        <f t="shared" si="1"/>
        <v>0</v>
      </c>
      <c r="AJ100">
        <f t="array" aca="1" ref="AJ100" ca="1">SUM(1*(AI100&lt;$AI$98:$AI$117))+1+IF(ROW(AI100)-ROW($AI$98)=0,0,SUM(1*(AI100=OFFSET($AI$98,0,0,INDEX(ROW(AI100)-ROW($AI$98)+1,1)-1,1))))</f>
        <v>10</v>
      </c>
      <c r="AK100" s="118" t="str">
        <f t="shared" si="5"/>
        <v>Water Imported (WI)</v>
      </c>
      <c r="AL100">
        <f t="shared" si="6"/>
        <v>0</v>
      </c>
      <c r="AM100">
        <f t="shared" si="7"/>
        <v>0</v>
      </c>
      <c r="AN100">
        <f t="shared" si="2"/>
        <v>0</v>
      </c>
    </row>
    <row r="101" spans="28:40">
      <c r="AC101" s="168" t="s">
        <v>1157</v>
      </c>
      <c r="AD101" s="36">
        <f>IF(Worksheet!M16="n/a",0,Worksheet!M16)</f>
        <v>0</v>
      </c>
      <c r="AE101" s="56">
        <f>Worksheet!Z16</f>
        <v>0</v>
      </c>
      <c r="AF101" s="35">
        <f t="shared" si="0"/>
        <v>0</v>
      </c>
      <c r="AG101" s="35">
        <f t="shared" si="3"/>
        <v>0</v>
      </c>
      <c r="AH101" s="35">
        <f t="shared" si="4"/>
        <v>0</v>
      </c>
      <c r="AI101" s="35">
        <f t="shared" si="1"/>
        <v>0</v>
      </c>
      <c r="AJ101">
        <f t="array" aca="1" ref="AJ101" ca="1">SUM(1*(AI101&lt;$AI$98:$AI$117))+1+IF(ROW(AI101)-ROW($AI$98)=0,0,SUM(1*(AI101=OFFSET($AI$98,0,0,INDEX(ROW(AI101)-ROW($AI$98)+1,1)-1,1))))</f>
        <v>11</v>
      </c>
      <c r="AK101" s="118" t="str">
        <f t="shared" si="5"/>
        <v>WI Error Adjustment (WIEA)</v>
      </c>
      <c r="AL101">
        <f t="shared" si="6"/>
        <v>0</v>
      </c>
      <c r="AM101">
        <f t="shared" si="7"/>
        <v>0</v>
      </c>
      <c r="AN101">
        <f t="shared" si="2"/>
        <v>0</v>
      </c>
    </row>
    <row r="102" spans="28:40">
      <c r="AC102" s="164" t="s">
        <v>1158</v>
      </c>
      <c r="AD102" s="36">
        <f>IF(Worksheet!F17="n/a",0,Worksheet!F17)</f>
        <v>6</v>
      </c>
      <c r="AE102" s="56">
        <f>Worksheet!Y17</f>
        <v>2.186491066956771</v>
      </c>
      <c r="AF102" s="35">
        <f t="shared" si="0"/>
        <v>2.186491066956771</v>
      </c>
      <c r="AG102" s="35">
        <f t="shared" si="3"/>
        <v>0.21864910669567711</v>
      </c>
      <c r="AH102" s="35">
        <f t="shared" si="4"/>
        <v>1.3118946401740628</v>
      </c>
      <c r="AI102" s="35">
        <f t="shared" si="1"/>
        <v>0.87459642678270821</v>
      </c>
      <c r="AJ102">
        <f t="array" aca="1" ref="AJ102" ca="1">SUM(1*(AI102&lt;$AI$98:$AI$117))+1+IF(ROW(AI102)-ROW($AI$98)=0,0,SUM(1*(AI102=OFFSET($AI$98,0,0,INDEX(ROW(AI102)-ROW($AI$98)+1,1)-1,1))))</f>
        <v>5</v>
      </c>
      <c r="AK102" s="118" t="str">
        <f t="shared" si="5"/>
        <v>Water Exported (WE)</v>
      </c>
      <c r="AL102">
        <f t="shared" si="6"/>
        <v>1</v>
      </c>
      <c r="AM102">
        <f t="shared" si="7"/>
        <v>1</v>
      </c>
      <c r="AN102">
        <f t="shared" si="2"/>
        <v>0</v>
      </c>
    </row>
    <row r="103" spans="28:40">
      <c r="AC103" s="168" t="s">
        <v>1159</v>
      </c>
      <c r="AD103" s="57">
        <f>IF(Worksheet!M17="n/a",0,Worksheet!M17)</f>
        <v>4</v>
      </c>
      <c r="AE103" s="58">
        <f>Worksheet!Z17</f>
        <v>4.2636575805657037E-2</v>
      </c>
      <c r="AF103" s="59">
        <f t="shared" si="0"/>
        <v>4.2636575805657037E-2</v>
      </c>
      <c r="AG103" s="59">
        <f t="shared" si="3"/>
        <v>4.2636575805657037E-3</v>
      </c>
      <c r="AH103" s="35">
        <f t="shared" si="4"/>
        <v>1.7054630322262815E-2</v>
      </c>
      <c r="AI103" s="59">
        <f t="shared" si="1"/>
        <v>2.5581945483394222E-2</v>
      </c>
      <c r="AJ103" s="60">
        <f t="array" aca="1" ref="AJ103" ca="1">SUM(1*(AI103&lt;$AI$98:$AI$117))+1+IF(ROW(AI103)-ROW($AI$98)=0,0,SUM(1*(AI103=OFFSET($AI$98,0,0,INDEX(ROW(AI103)-ROW($AI$98)+1,1)-1,1))))</f>
        <v>7</v>
      </c>
      <c r="AK103" s="862" t="str">
        <f t="shared" si="5"/>
        <v>WE Error Adjustment (WEEA)</v>
      </c>
      <c r="AL103">
        <f t="shared" si="6"/>
        <v>1</v>
      </c>
      <c r="AM103" s="60">
        <f t="shared" si="7"/>
        <v>1</v>
      </c>
      <c r="AN103" s="60">
        <f t="shared" si="2"/>
        <v>0</v>
      </c>
    </row>
    <row r="104" spans="28:40">
      <c r="AC104" s="165" t="s">
        <v>1160</v>
      </c>
      <c r="AD104" s="65">
        <f>IF(Worksheet!F23="n/a",0,Worksheet!F23)</f>
        <v>9</v>
      </c>
      <c r="AE104" s="169">
        <f>IF(Worksheet!H23&gt;0,Worksheet!Y23,0)</f>
        <v>13.92784659371047</v>
      </c>
      <c r="AF104" s="67">
        <f t="shared" ref="AF104:AF117" si="8">AE104/$AE$120</f>
        <v>17.081321294173218</v>
      </c>
      <c r="AG104" s="67">
        <f t="shared" si="3"/>
        <v>1.7081321294173217</v>
      </c>
      <c r="AH104" s="67">
        <f t="shared" ref="AH104:AH117" si="9">AD104*AG104</f>
        <v>15.373189164755896</v>
      </c>
      <c r="AI104" s="67">
        <f t="shared" si="1"/>
        <v>1.7081321294173222</v>
      </c>
      <c r="AJ104" s="68">
        <f t="array" aca="1" ref="AJ104" ca="1">SUM(1*(AI104&lt;$AI$98:$AI$117))+1+IF(ROW(AI104)-ROW($AI$98)=0,0,SUM(1*(AI104=OFFSET($AI$98,0,0,INDEX(ROW(AI104)-ROW($AI$98)+1,1)-1,1))))</f>
        <v>4</v>
      </c>
      <c r="AK104" s="888" t="str">
        <f t="shared" si="5"/>
        <v>Billed Metered (BMAC)</v>
      </c>
      <c r="AL104" s="68">
        <f t="shared" ref="AL104:AL117" si="10">IF(AE104&lt;&gt;0,1,0)</f>
        <v>1</v>
      </c>
      <c r="AM104" s="68">
        <f t="shared" si="7"/>
        <v>1</v>
      </c>
      <c r="AN104" s="68">
        <f t="shared" si="2"/>
        <v>0</v>
      </c>
    </row>
    <row r="105" spans="28:40">
      <c r="AC105" s="166" t="s">
        <v>1161</v>
      </c>
      <c r="AD105" s="70">
        <f>IF(Worksheet!F24="n/a",0,Worksheet!F24)</f>
        <v>0</v>
      </c>
      <c r="AE105" s="170">
        <f>IF(Worksheet!H24=0,0,12)</f>
        <v>0</v>
      </c>
      <c r="AF105" s="71">
        <f t="shared" si="8"/>
        <v>0</v>
      </c>
      <c r="AG105" s="71">
        <f t="shared" si="3"/>
        <v>0</v>
      </c>
      <c r="AH105" s="35">
        <f t="shared" si="4"/>
        <v>0</v>
      </c>
      <c r="AI105" s="71">
        <f t="shared" si="1"/>
        <v>0</v>
      </c>
      <c r="AJ105" s="72">
        <f t="array" aca="1" ref="AJ105" ca="1">SUM(1*(AI105&lt;$AI$98:$AI$117))+1+IF(ROW(AI105)-ROW($AI$98)=0,0,SUM(1*(AI105=OFFSET($AI$98,0,0,INDEX(ROW(AI105)-ROW($AI$98)+1,1)-1,1))))</f>
        <v>12</v>
      </c>
      <c r="AK105" s="889" t="str">
        <f t="shared" si="5"/>
        <v>Billed Unmetered (BUAC)</v>
      </c>
      <c r="AL105" s="72">
        <f t="shared" si="10"/>
        <v>0</v>
      </c>
      <c r="AM105" s="72">
        <f t="shared" si="7"/>
        <v>0</v>
      </c>
      <c r="AN105" s="72">
        <f t="shared" si="2"/>
        <v>0</v>
      </c>
    </row>
    <row r="106" spans="28:40">
      <c r="AC106" s="166" t="s">
        <v>1162</v>
      </c>
      <c r="AD106" s="70">
        <f>IF(Worksheet!F25="n/a",0,Worksheet!F25)</f>
        <v>10</v>
      </c>
      <c r="AE106" s="170">
        <f>IF(Worksheet!H25&gt;0,Worksheet!Y24,0)</f>
        <v>7.2153406289530972E-2</v>
      </c>
      <c r="AF106" s="71">
        <f t="shared" si="8"/>
        <v>8.849002658150025E-2</v>
      </c>
      <c r="AG106" s="71">
        <f t="shared" si="3"/>
        <v>8.8490026581500257E-3</v>
      </c>
      <c r="AH106" s="35">
        <f t="shared" si="4"/>
        <v>8.8490026581500264E-2</v>
      </c>
      <c r="AI106" s="71">
        <f t="shared" si="1"/>
        <v>-1.3877787807814457E-17</v>
      </c>
      <c r="AJ106" s="72">
        <f t="array" aca="1" ref="AJ106" ca="1">SUM(1*(AI106&lt;$AI$98:$AI$117))+1+IF(ROW(AI106)-ROW($AI$98)=0,0,SUM(1*(AI106=OFFSET($AI$98,0,0,INDEX(ROW(AI106)-ROW($AI$98)+1,1)-1,1))))</f>
        <v>20</v>
      </c>
      <c r="AK106" s="889" t="str">
        <f t="shared" si="5"/>
        <v>Unbilled Metered (UMAC)</v>
      </c>
      <c r="AL106" s="72">
        <f t="shared" si="10"/>
        <v>1</v>
      </c>
      <c r="AM106" s="72">
        <f t="shared" si="7"/>
        <v>1</v>
      </c>
      <c r="AN106" s="72">
        <f t="shared" si="2"/>
        <v>0</v>
      </c>
    </row>
    <row r="107" spans="28:40">
      <c r="AB107" t="s">
        <v>1163</v>
      </c>
      <c r="AC107" s="167" t="s">
        <v>1164</v>
      </c>
      <c r="AD107" s="69">
        <f>IF(OR(Worksheet!W26=1,AND(Worksheet!W26=2,Worksheet!Q26=0)),3,Worksheet!F26)</f>
        <v>10</v>
      </c>
      <c r="AE107" s="62">
        <v>2</v>
      </c>
      <c r="AF107" s="63">
        <f t="shared" si="8"/>
        <v>2.4528301886792452</v>
      </c>
      <c r="AG107" s="63">
        <f t="shared" si="3"/>
        <v>0.24528301886792453</v>
      </c>
      <c r="AH107" s="63">
        <f t="shared" si="9"/>
        <v>2.4528301886792452</v>
      </c>
      <c r="AI107" s="63">
        <f t="shared" si="1"/>
        <v>0</v>
      </c>
      <c r="AJ107" s="64">
        <f t="array" aca="1" ref="AJ107" ca="1">SUM(1*(AI107&lt;$AI$98:$AI$117))+1+IF(ROW(AI107)-ROW($AI$98)=0,0,SUM(1*(AI107=OFFSET($AI$98,0,0,INDEX(ROW(AI107)-ROW($AI$98)+1,1)-1,1))))</f>
        <v>13</v>
      </c>
      <c r="AK107" s="890" t="str">
        <f t="shared" si="5"/>
        <v>Unbilled Unmetered (UUAC)</v>
      </c>
      <c r="AL107" s="64">
        <f t="shared" si="10"/>
        <v>1</v>
      </c>
      <c r="AM107" s="64">
        <f t="shared" si="7"/>
        <v>1</v>
      </c>
      <c r="AN107" s="64">
        <f t="shared" si="2"/>
        <v>0</v>
      </c>
    </row>
    <row r="108" spans="28:40">
      <c r="AB108" t="s">
        <v>1163</v>
      </c>
      <c r="AC108" s="167" t="s">
        <v>1079</v>
      </c>
      <c r="AD108" s="69">
        <f>IF(OR(Worksheet!W43=1,AND(Worksheet!W43=2,Worksheet!Q43=0)),3,Worksheet!F43)</f>
        <v>3</v>
      </c>
      <c r="AE108" s="62">
        <v>3.5</v>
      </c>
      <c r="AF108" s="63">
        <f t="shared" si="8"/>
        <v>4.2924528301886795</v>
      </c>
      <c r="AG108" s="63">
        <f t="shared" si="3"/>
        <v>0.42924528301886794</v>
      </c>
      <c r="AH108" s="63">
        <f t="shared" si="9"/>
        <v>1.2877358490566038</v>
      </c>
      <c r="AI108" s="63">
        <f t="shared" si="1"/>
        <v>3.0047169811320757</v>
      </c>
      <c r="AJ108" s="64">
        <f t="array" aca="1" ref="AJ108" ca="1">SUM(1*(AI108&lt;$AI$98:$AI$117))+1+IF(ROW(AI108)-ROW($AI$98)=0,0,SUM(1*(AI108=OFFSET($AI$98,0,0,INDEX(ROW(AI108)-ROW($AI$98)+1,1)-1,1))))</f>
        <v>2</v>
      </c>
      <c r="AK108" s="890" t="str">
        <f t="shared" si="5"/>
        <v>Unauthorized Consumption (UC)</v>
      </c>
      <c r="AL108" s="64">
        <f t="shared" si="10"/>
        <v>1</v>
      </c>
      <c r="AM108" s="64">
        <f t="shared" si="7"/>
        <v>1</v>
      </c>
      <c r="AN108" s="64">
        <f t="shared" si="2"/>
        <v>0</v>
      </c>
    </row>
    <row r="109" spans="28:40">
      <c r="AC109" s="165" t="s">
        <v>1078</v>
      </c>
      <c r="AD109" s="65">
        <f>IF(Worksheet!F41="n/a",0,Worksheet!F41)</f>
        <v>4</v>
      </c>
      <c r="AE109" s="66">
        <f>IF(AND(Worksheet!F41="n/a",Worksheet!H41=0),0,6)</f>
        <v>6</v>
      </c>
      <c r="AF109" s="67">
        <f t="shared" si="8"/>
        <v>7.3584905660377355</v>
      </c>
      <c r="AG109" s="67">
        <f t="shared" si="3"/>
        <v>0.73584905660377353</v>
      </c>
      <c r="AH109" s="67">
        <f t="shared" si="9"/>
        <v>2.9433962264150941</v>
      </c>
      <c r="AI109" s="67">
        <f t="shared" si="1"/>
        <v>4.415094339622641</v>
      </c>
      <c r="AJ109" s="68">
        <f t="array" aca="1" ref="AJ109" ca="1">SUM(1*(AI109&lt;$AI$98:$AI$117))+1+IF(ROW(AI109)-ROW($AI$98)=0,0,SUM(1*(AI109=OFFSET($AI$98,0,0,INDEX(ROW(AI109)-ROW($AI$98)+1,1)-1,1))))</f>
        <v>1</v>
      </c>
      <c r="AK109" s="888" t="str">
        <f t="shared" si="5"/>
        <v>Customer Metering Inaccuracies (CMI)</v>
      </c>
      <c r="AL109" s="68">
        <f t="shared" si="10"/>
        <v>1</v>
      </c>
      <c r="AM109" s="68">
        <f t="shared" si="7"/>
        <v>1</v>
      </c>
      <c r="AN109" s="68">
        <f t="shared" si="2"/>
        <v>0</v>
      </c>
    </row>
    <row r="110" spans="28:40">
      <c r="AC110" s="167" t="s">
        <v>1077</v>
      </c>
      <c r="AD110" s="61">
        <f>IF(Worksheet!H39=0,1,IF(Worksheet!W39=1,3,Worksheet!F39))</f>
        <v>3</v>
      </c>
      <c r="AE110" s="62">
        <v>3.5</v>
      </c>
      <c r="AF110" s="63">
        <f t="shared" si="8"/>
        <v>4.2924528301886795</v>
      </c>
      <c r="AG110" s="63">
        <f t="shared" si="3"/>
        <v>0.42924528301886794</v>
      </c>
      <c r="AH110" s="63">
        <f t="shared" si="9"/>
        <v>1.2877358490566038</v>
      </c>
      <c r="AI110" s="63">
        <f t="shared" si="1"/>
        <v>3.0047169811320757</v>
      </c>
      <c r="AJ110" s="64">
        <f t="array" aca="1" ref="AJ110" ca="1">SUM(1*(AI110&lt;$AI$98:$AI$117))+1+IF(ROW(AI110)-ROW($AI$98)=0,0,SUM(1*(AI110=OFFSET($AI$98,0,0,INDEX(ROW(AI110)-ROW($AI$98)+1,1)-1,1))))</f>
        <v>3</v>
      </c>
      <c r="AK110" s="890" t="str">
        <f t="shared" si="5"/>
        <v>Systematic Data Handling Errors (SDHE)</v>
      </c>
      <c r="AL110" s="64">
        <f t="shared" si="10"/>
        <v>1</v>
      </c>
      <c r="AM110" s="64">
        <f t="shared" si="7"/>
        <v>1</v>
      </c>
      <c r="AN110" s="64">
        <f t="shared" si="2"/>
        <v>0</v>
      </c>
    </row>
    <row r="111" spans="28:40">
      <c r="AC111" s="167" t="s">
        <v>1165</v>
      </c>
      <c r="AD111" s="61">
        <f>Worksheet!F61</f>
        <v>10</v>
      </c>
      <c r="AE111" s="62">
        <v>5</v>
      </c>
      <c r="AF111" s="63">
        <f t="shared" si="8"/>
        <v>6.132075471698113</v>
      </c>
      <c r="AG111" s="63">
        <f t="shared" si="3"/>
        <v>0.6132075471698113</v>
      </c>
      <c r="AH111" s="63">
        <f t="shared" si="9"/>
        <v>6.132075471698113</v>
      </c>
      <c r="AI111" s="63">
        <f t="shared" si="1"/>
        <v>0</v>
      </c>
      <c r="AJ111" s="64">
        <f t="array" aca="1" ref="AJ111" ca="1">SUM(1*(AI111&lt;$AI$98:$AI$117))+1+IF(ROW(AI111)-ROW($AI$98)=0,0,SUM(1*(AI111=OFFSET($AI$98,0,0,INDEX(ROW(AI111)-ROW($AI$98)+1,1)-1,1))))</f>
        <v>14</v>
      </c>
      <c r="AK111" s="890" t="str">
        <f t="shared" si="5"/>
        <v>Length of Mains (Lm)</v>
      </c>
      <c r="AL111" s="64">
        <f t="shared" si="10"/>
        <v>1</v>
      </c>
      <c r="AM111" s="64">
        <f t="shared" si="7"/>
        <v>1</v>
      </c>
      <c r="AN111" s="64">
        <f t="shared" si="2"/>
        <v>0</v>
      </c>
    </row>
    <row r="112" spans="28:40">
      <c r="AC112" s="167" t="s">
        <v>1166</v>
      </c>
      <c r="AD112" s="61">
        <f>Worksheet!F62</f>
        <v>10</v>
      </c>
      <c r="AE112" s="62">
        <v>5</v>
      </c>
      <c r="AF112" s="63">
        <f t="shared" si="8"/>
        <v>6.132075471698113</v>
      </c>
      <c r="AG112" s="63">
        <f t="shared" si="3"/>
        <v>0.6132075471698113</v>
      </c>
      <c r="AH112" s="63">
        <f t="shared" si="9"/>
        <v>6.132075471698113</v>
      </c>
      <c r="AI112" s="63">
        <f t="shared" si="1"/>
        <v>0</v>
      </c>
      <c r="AJ112" s="64">
        <f t="array" aca="1" ref="AJ112" ca="1">SUM(1*(AI112&lt;$AI$98:$AI$117))+1+IF(ROW(AI112)-ROW($AI$98)=0,0,SUM(1*(AI112=OFFSET($AI$98,0,0,INDEX(ROW(AI112)-ROW($AI$98)+1,1)-1,1))))</f>
        <v>15</v>
      </c>
      <c r="AK112" s="890" t="str">
        <f t="shared" si="5"/>
        <v>Number of Service Connections (Nc)</v>
      </c>
      <c r="AL112" s="64">
        <f t="shared" si="10"/>
        <v>1</v>
      </c>
      <c r="AM112" s="64">
        <f t="shared" si="7"/>
        <v>1</v>
      </c>
      <c r="AN112" s="64">
        <f t="shared" si="2"/>
        <v>0</v>
      </c>
    </row>
    <row r="113" spans="29:40">
      <c r="AC113" s="167" t="s">
        <v>1167</v>
      </c>
      <c r="AD113" s="61">
        <f>Worksheet!W66</f>
        <v>10</v>
      </c>
      <c r="AE113" s="62">
        <v>2</v>
      </c>
      <c r="AF113" s="63">
        <f t="shared" si="8"/>
        <v>2.4528301886792452</v>
      </c>
      <c r="AG113" s="63">
        <f t="shared" si="3"/>
        <v>0.24528301886792453</v>
      </c>
      <c r="AH113" s="63">
        <f t="shared" si="9"/>
        <v>2.4528301886792452</v>
      </c>
      <c r="AI113" s="63">
        <f t="shared" si="1"/>
        <v>0</v>
      </c>
      <c r="AJ113" s="64">
        <f t="array" aca="1" ref="AJ113" ca="1">SUM(1*(AI113&lt;$AI$98:$AI$117))+1+IF(ROW(AI113)-ROW($AI$98)=0,0,SUM(1*(AI113=OFFSET($AI$98,0,0,INDEX(ROW(AI113)-ROW($AI$98)+1,1)-1,1))))</f>
        <v>16</v>
      </c>
      <c r="AK113" s="890" t="str">
        <f t="shared" si="5"/>
        <v>Average Length of Customer Service Line (Lp)</v>
      </c>
      <c r="AL113" s="64">
        <f t="shared" si="10"/>
        <v>1</v>
      </c>
      <c r="AM113" s="64">
        <f t="shared" si="7"/>
        <v>1</v>
      </c>
      <c r="AN113" s="64">
        <f t="shared" si="2"/>
        <v>0</v>
      </c>
    </row>
    <row r="114" spans="29:40">
      <c r="AC114" s="167" t="s">
        <v>1168</v>
      </c>
      <c r="AD114" s="61">
        <f>Worksheet!F68</f>
        <v>8</v>
      </c>
      <c r="AE114" s="62">
        <v>2</v>
      </c>
      <c r="AF114" s="63">
        <f t="shared" si="8"/>
        <v>2.4528301886792452</v>
      </c>
      <c r="AG114" s="63">
        <f t="shared" si="3"/>
        <v>0.24528301886792453</v>
      </c>
      <c r="AH114" s="63">
        <f t="shared" si="9"/>
        <v>1.9622641509433962</v>
      </c>
      <c r="AI114" s="63">
        <f t="shared" si="1"/>
        <v>0.49056603773584895</v>
      </c>
      <c r="AJ114" s="64">
        <f t="array" aca="1" ref="AJ114" ca="1">SUM(1*(AI114&lt;$AI$98:$AI$117))+1+IF(ROW(AI114)-ROW($AI$98)=0,0,SUM(1*(AI114=OFFSET($AI$98,0,0,INDEX(ROW(AI114)-ROW($AI$98)+1,1)-1,1))))</f>
        <v>6</v>
      </c>
      <c r="AK114" s="890" t="str">
        <f t="shared" si="5"/>
        <v>Average Operating Pressure (AOP)</v>
      </c>
      <c r="AL114" s="64">
        <f t="shared" si="10"/>
        <v>1</v>
      </c>
      <c r="AM114" s="64">
        <f t="shared" si="7"/>
        <v>1</v>
      </c>
      <c r="AN114" s="64">
        <f t="shared" si="2"/>
        <v>0</v>
      </c>
    </row>
    <row r="115" spans="29:40">
      <c r="AC115" s="167"/>
      <c r="AD115" s="61"/>
      <c r="AE115" s="62"/>
      <c r="AF115" s="63"/>
      <c r="AG115" s="63"/>
      <c r="AH115" s="63"/>
      <c r="AI115" s="63"/>
      <c r="AJ115" s="64"/>
      <c r="AK115" s="890"/>
      <c r="AL115" s="64"/>
      <c r="AM115" s="64"/>
      <c r="AN115" s="64"/>
    </row>
    <row r="116" spans="29:40">
      <c r="AC116" s="167" t="s">
        <v>1169</v>
      </c>
      <c r="AD116" s="61">
        <f>IF(Worksheet!F76="n/a",0,Worksheet!F76)</f>
        <v>10</v>
      </c>
      <c r="AE116" s="62">
        <f>IF(Worksheet!F76="n/a",0,5)</f>
        <v>5</v>
      </c>
      <c r="AF116" s="63">
        <f t="shared" si="8"/>
        <v>6.132075471698113</v>
      </c>
      <c r="AG116" s="63">
        <f t="shared" si="3"/>
        <v>0.6132075471698113</v>
      </c>
      <c r="AH116" s="63">
        <f t="shared" si="9"/>
        <v>6.132075471698113</v>
      </c>
      <c r="AI116" s="63">
        <f t="shared" si="1"/>
        <v>0</v>
      </c>
      <c r="AJ116" s="64">
        <f t="array" aca="1" ref="AJ116" ca="1">SUM(1*(AI116&lt;$AI$98:$AI$117))+1+IF(ROW(AI116)-ROW($AI$98)=0,0,SUM(1*(AI116=OFFSET($AI$98,0,0,INDEX(ROW(AI116)-ROW($AI$98)+1,1)-1,1))))</f>
        <v>18</v>
      </c>
      <c r="AK116" s="890" t="str">
        <f t="shared" si="5"/>
        <v>Customer Retail Unit Charge (CRUC)</v>
      </c>
      <c r="AL116" s="64">
        <f t="shared" si="10"/>
        <v>1</v>
      </c>
      <c r="AM116" s="64">
        <f t="shared" si="7"/>
        <v>1</v>
      </c>
      <c r="AN116" s="64">
        <f t="shared" si="2"/>
        <v>0</v>
      </c>
    </row>
    <row r="117" spans="29:40">
      <c r="AC117" s="167" t="s">
        <v>1170</v>
      </c>
      <c r="AD117" s="61">
        <f>IF(Worksheet!F77="n/a",0,Worksheet!F77)</f>
        <v>10</v>
      </c>
      <c r="AE117" s="62">
        <v>5</v>
      </c>
      <c r="AF117" s="63">
        <f t="shared" si="8"/>
        <v>6.132075471698113</v>
      </c>
      <c r="AG117" s="63">
        <f t="shared" si="3"/>
        <v>0.6132075471698113</v>
      </c>
      <c r="AH117" s="63">
        <f t="shared" si="9"/>
        <v>6.132075471698113</v>
      </c>
      <c r="AI117" s="63">
        <f t="shared" si="1"/>
        <v>0</v>
      </c>
      <c r="AJ117" s="64">
        <f t="array" aca="1" ref="AJ117" ca="1">SUM(1*(AI117&lt;$AI$98:$AI$117))+1+IF(ROW(AI117)-ROW($AI$98)=0,0,SUM(1*(AI117=OFFSET($AI$98,0,0,INDEX(ROW(AI117)-ROW($AI$98)+1,1)-1,1))))</f>
        <v>19</v>
      </c>
      <c r="AK117" s="890" t="str">
        <f t="shared" si="5"/>
        <v>Variable Production Cost (VPC)</v>
      </c>
      <c r="AL117" s="64">
        <f t="shared" si="10"/>
        <v>1</v>
      </c>
      <c r="AM117" s="64">
        <f t="shared" si="7"/>
        <v>1</v>
      </c>
      <c r="AN117" s="64">
        <f t="shared" si="2"/>
        <v>0</v>
      </c>
    </row>
    <row r="118" spans="29:40">
      <c r="AE118" s="73">
        <f>SUM(AE98:AE117)</f>
        <v>88</v>
      </c>
      <c r="AF118" s="34">
        <f>SUM(AF98:AF117)</f>
        <v>100.00000000000001</v>
      </c>
      <c r="AG118" s="34">
        <f>SUM(AG98:AG117)</f>
        <v>9.9999999999999982</v>
      </c>
      <c r="AH118" s="78">
        <f>SUM(AH98:AH117)</f>
        <v>86.476595158693954</v>
      </c>
      <c r="AN118" s="38">
        <f>SUM(AN98:AN117)</f>
        <v>0</v>
      </c>
    </row>
    <row r="119" spans="29:40">
      <c r="AE119" s="34">
        <f>SUM(AE104:AE117)</f>
        <v>53</v>
      </c>
      <c r="AK119" s="76"/>
      <c r="AN119" s="37"/>
    </row>
    <row r="120" spans="29:40">
      <c r="AE120" s="891">
        <f>AE119/(100-AE121)</f>
        <v>0.81538461538461537</v>
      </c>
    </row>
    <row r="121" spans="29:40">
      <c r="AD121" s="164" t="s">
        <v>1171</v>
      </c>
      <c r="AE121" s="74">
        <v>35</v>
      </c>
      <c r="AM121">
        <f>IF(SUM(Worksheet!W26,Worksheet!W43)=2,2,IF(SUM(Worksheet!W26,Worksheet!W43)=3,1,0))</f>
        <v>1</v>
      </c>
      <c r="AN121" t="s">
        <v>1172</v>
      </c>
    </row>
    <row r="122" spans="29:40">
      <c r="AN122" s="118" t="s">
        <v>1173</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56.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95</v>
      </c>
      <c r="C1" s="107"/>
      <c r="D1" s="126" t="s">
        <v>1</v>
      </c>
      <c r="E1" s="126"/>
      <c r="F1" s="120"/>
      <c r="G1" s="107"/>
      <c r="H1" s="107"/>
      <c r="I1" s="132" t="s">
        <v>2</v>
      </c>
      <c r="J1" s="107"/>
      <c r="K1" s="107"/>
      <c r="L1" s="107"/>
      <c r="M1" s="107"/>
      <c r="N1" s="107"/>
      <c r="O1" s="107"/>
      <c r="P1" s="107"/>
      <c r="Q1" s="107"/>
      <c r="R1" s="107"/>
    </row>
    <row r="2" spans="2:18">
      <c r="B2" s="119" t="s">
        <v>3</v>
      </c>
      <c r="C2" s="107" t="s">
        <v>96</v>
      </c>
      <c r="D2" s="107"/>
      <c r="E2" s="107"/>
      <c r="F2" s="107"/>
      <c r="G2" s="107"/>
      <c r="H2" s="107"/>
      <c r="I2" s="107"/>
      <c r="J2" s="107"/>
      <c r="K2" s="107"/>
      <c r="L2" s="107"/>
      <c r="M2" s="107"/>
      <c r="N2" s="107"/>
      <c r="O2" s="107"/>
      <c r="P2" s="107"/>
      <c r="Q2" s="107"/>
      <c r="R2" s="107"/>
    </row>
    <row r="3" spans="2:18">
      <c r="B3" s="108" t="s">
        <v>5</v>
      </c>
      <c r="C3" s="108" t="s">
        <v>97</v>
      </c>
      <c r="D3" s="108" t="s">
        <v>98</v>
      </c>
      <c r="E3" s="108" t="s">
        <v>99</v>
      </c>
      <c r="F3" s="108" t="s">
        <v>100</v>
      </c>
      <c r="G3" s="108" t="s">
        <v>101</v>
      </c>
      <c r="H3" s="108" t="s">
        <v>102</v>
      </c>
      <c r="I3" s="108" t="s">
        <v>103</v>
      </c>
      <c r="J3" s="108" t="s">
        <v>104</v>
      </c>
      <c r="K3" s="108" t="s">
        <v>105</v>
      </c>
      <c r="L3" s="108" t="s">
        <v>106</v>
      </c>
      <c r="M3" s="108"/>
      <c r="N3" s="108"/>
      <c r="O3" s="108"/>
      <c r="P3" s="108"/>
      <c r="Q3" s="108"/>
      <c r="R3" s="108"/>
    </row>
    <row r="4" spans="2:18" ht="38.25">
      <c r="B4" s="130" t="s">
        <v>16</v>
      </c>
      <c r="C4" s="130" t="s">
        <v>107</v>
      </c>
      <c r="D4" s="130" t="s">
        <v>108</v>
      </c>
      <c r="E4" s="130" t="s">
        <v>19</v>
      </c>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112</v>
      </c>
      <c r="D5" s="109" t="s">
        <v>29</v>
      </c>
      <c r="E5" s="109" t="s">
        <v>30</v>
      </c>
      <c r="F5" s="109" t="s">
        <v>113</v>
      </c>
      <c r="G5" s="109" t="s">
        <v>32</v>
      </c>
      <c r="H5" s="109" t="s">
        <v>114</v>
      </c>
      <c r="I5" s="109" t="s">
        <v>34</v>
      </c>
      <c r="J5" s="109" t="s">
        <v>35</v>
      </c>
      <c r="K5" s="109" t="s">
        <v>115</v>
      </c>
      <c r="L5" s="109" t="s">
        <v>116</v>
      </c>
      <c r="N5" s="109"/>
      <c r="P5" s="109"/>
      <c r="Q5" s="109"/>
      <c r="R5" s="109"/>
    </row>
    <row r="6" spans="2:18">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96</v>
      </c>
      <c r="C34" s="124"/>
      <c r="D34" s="124"/>
      <c r="E34" s="124"/>
      <c r="F34" s="124"/>
      <c r="G34" s="124"/>
      <c r="H34" s="124"/>
      <c r="I34" s="124"/>
      <c r="J34" s="124"/>
      <c r="K34" s="124"/>
      <c r="L34" s="124"/>
      <c r="M34" s="124"/>
      <c r="N34" s="124"/>
      <c r="O34" s="124"/>
      <c r="P34" s="124"/>
      <c r="Q34" s="124"/>
      <c r="R34" s="124"/>
    </row>
    <row r="35" spans="1:18">
      <c r="B35" s="136" t="s">
        <v>112</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C48*D48*F48*G48*H48*I48*J48*K48*L48</f>
        <v>76800</v>
      </c>
      <c r="B48" s="125"/>
      <c r="C48" s="124">
        <f>COUNTA(C23:C28)</f>
        <v>6</v>
      </c>
      <c r="D48" s="124">
        <f>COUNTA(D23:D27)</f>
        <v>5</v>
      </c>
      <c r="E48" s="124"/>
      <c r="F48" s="124">
        <f>COUNTA(F23:F28)</f>
        <v>2</v>
      </c>
      <c r="G48" s="124">
        <f>COUNTA(G23:G28)</f>
        <v>4</v>
      </c>
      <c r="H48" s="124">
        <f>COUNTA(H23:H28)</f>
        <v>2</v>
      </c>
      <c r="I48" s="124">
        <f>COUNTA(I23:I28)</f>
        <v>4</v>
      </c>
      <c r="J48" s="124">
        <f>COUNTA(J23:J28)</f>
        <v>2</v>
      </c>
      <c r="K48" s="124">
        <f>COUNTA(K23:K29)</f>
        <v>5</v>
      </c>
      <c r="L48" s="124">
        <f>COUNTA(L24:L29)</f>
        <v>4</v>
      </c>
      <c r="M48" s="124"/>
      <c r="N48" s="124"/>
      <c r="O48" s="124"/>
      <c r="P48" s="124"/>
      <c r="Q48" s="124"/>
      <c r="R48" s="124"/>
    </row>
    <row r="49" spans="1:18">
      <c r="A49" s="128">
        <f>C48*D48*F48*G48*H48*I48*J48</f>
        <v>3840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topLeftCell="A51" zoomScale="115" zoomScaleNormal="115" zoomScaleSheetLayoutView="100" workbookViewId="0">
      <selection activeCell="C51" sqref="C51:L51"/>
    </sheetView>
  </sheetViews>
  <sheetFormatPr defaultColWidth="0" defaultRowHeight="12.75" zeroHeight="1"/>
  <cols>
    <col min="1" max="1" width="1.140625" style="85" customWidth="1"/>
    <col min="2" max="2" width="1.140625" style="86" customWidth="1"/>
    <col min="3" max="3" width="16.42578125" style="88" customWidth="1"/>
    <col min="4" max="4" width="10.85546875" style="41" customWidth="1"/>
    <col min="5" max="5" width="11" style="41" customWidth="1"/>
    <col min="6" max="6" width="14.140625" style="41" customWidth="1"/>
    <col min="7" max="7" width="20" style="41" customWidth="1"/>
    <col min="8" max="8" width="16" style="41" customWidth="1"/>
    <col min="9" max="9" width="19" style="41" customWidth="1"/>
    <col min="10" max="10" width="23.5703125" style="41" customWidth="1"/>
    <col min="11" max="11" width="6.5703125" style="41" customWidth="1"/>
    <col min="12" max="12" width="7.140625" style="41" customWidth="1"/>
    <col min="13" max="14" width="1.140625" style="41" customWidth="1"/>
    <col min="15" max="16384" width="0" style="41" hidden="1"/>
  </cols>
  <sheetData>
    <row r="1" spans="1:14" ht="6" customHeight="1">
      <c r="A1" s="93"/>
      <c r="D1" s="118"/>
      <c r="E1" s="118"/>
      <c r="F1" s="118"/>
      <c r="G1" s="118"/>
      <c r="H1" s="118"/>
      <c r="I1" s="118"/>
      <c r="J1" s="118"/>
      <c r="K1" s="118"/>
      <c r="L1" s="118"/>
      <c r="M1" s="118"/>
      <c r="N1" s="892"/>
    </row>
    <row r="2" spans="1:14" ht="40.5" customHeight="1">
      <c r="A2" s="93"/>
      <c r="B2" s="1186" t="s">
        <v>1174</v>
      </c>
      <c r="C2" s="1187"/>
      <c r="D2" s="1187"/>
      <c r="E2" s="1187"/>
      <c r="F2" s="1187"/>
      <c r="G2" s="1187"/>
      <c r="H2" s="1187"/>
      <c r="I2" s="1187"/>
      <c r="J2" s="1187"/>
      <c r="K2" s="1187"/>
      <c r="L2" s="1187"/>
      <c r="M2" s="1188"/>
      <c r="N2" s="892"/>
    </row>
    <row r="3" spans="1:14" ht="4.3499999999999996" customHeight="1" thickBot="1">
      <c r="A3" s="93"/>
      <c r="B3" s="1186"/>
      <c r="C3" s="1187"/>
      <c r="D3" s="1187"/>
      <c r="E3" s="1187"/>
      <c r="F3" s="1187"/>
      <c r="G3" s="1187"/>
      <c r="H3" s="1187"/>
      <c r="I3" s="1187"/>
      <c r="J3" s="1187"/>
      <c r="K3" s="1187"/>
      <c r="L3" s="1187"/>
      <c r="M3" s="1188"/>
      <c r="N3" s="892"/>
    </row>
    <row r="4" spans="1:14" ht="15" customHeight="1" thickBot="1">
      <c r="A4" s="93"/>
      <c r="B4" s="335"/>
      <c r="C4" s="336" t="s">
        <v>1175</v>
      </c>
      <c r="D4" s="1189" t="s">
        <v>1176</v>
      </c>
      <c r="E4" s="1190"/>
      <c r="F4" s="1190"/>
      <c r="G4" s="1190"/>
      <c r="H4" s="1190"/>
      <c r="I4" s="1190"/>
      <c r="J4" s="1190"/>
      <c r="K4" s="1190"/>
      <c r="L4" s="1191"/>
      <c r="M4" s="893"/>
      <c r="N4" s="892"/>
    </row>
    <row r="5" spans="1:14" ht="4.3499999999999996" customHeight="1" thickBot="1">
      <c r="A5" s="93"/>
      <c r="B5" s="335"/>
      <c r="C5" s="337"/>
      <c r="D5" s="505"/>
      <c r="E5" s="505"/>
      <c r="F5" s="505"/>
      <c r="G5" s="817"/>
      <c r="H5" s="118"/>
      <c r="I5" s="118"/>
      <c r="J5" s="118"/>
      <c r="K5" s="118"/>
      <c r="L5" s="118"/>
      <c r="M5" s="893"/>
      <c r="N5" s="892"/>
    </row>
    <row r="6" spans="1:14" ht="99" customHeight="1" thickBot="1">
      <c r="A6" s="93"/>
      <c r="B6" s="335"/>
      <c r="C6" s="338" t="s">
        <v>1177</v>
      </c>
      <c r="D6" s="1159" t="s">
        <v>1178</v>
      </c>
      <c r="E6" s="1160"/>
      <c r="F6" s="1160"/>
      <c r="G6" s="1160"/>
      <c r="H6" s="1160"/>
      <c r="I6" s="1160"/>
      <c r="J6" s="1160"/>
      <c r="K6" s="1160"/>
      <c r="L6" s="1161"/>
      <c r="M6" s="893"/>
      <c r="N6" s="892"/>
    </row>
    <row r="7" spans="1:14" ht="4.3499999999999996" customHeight="1" thickBot="1">
      <c r="A7" s="93"/>
      <c r="B7" s="335"/>
      <c r="C7" s="337"/>
      <c r="D7" s="505"/>
      <c r="E7" s="505"/>
      <c r="F7" s="505"/>
      <c r="G7" s="817"/>
      <c r="H7" s="144"/>
      <c r="I7" s="144"/>
      <c r="J7" s="144"/>
      <c r="K7" s="144"/>
      <c r="L7" s="144"/>
      <c r="M7" s="893"/>
      <c r="N7" s="892"/>
    </row>
    <row r="8" spans="1:14" ht="229.15" customHeight="1" thickBot="1">
      <c r="A8" s="93"/>
      <c r="B8" s="335"/>
      <c r="C8" s="339" t="s">
        <v>735</v>
      </c>
      <c r="D8" s="1159" t="s">
        <v>1179</v>
      </c>
      <c r="E8" s="1160"/>
      <c r="F8" s="1160"/>
      <c r="G8" s="1160"/>
      <c r="H8" s="1160"/>
      <c r="I8" s="1160"/>
      <c r="J8" s="1160"/>
      <c r="K8" s="1160"/>
      <c r="L8" s="1161"/>
      <c r="M8" s="893"/>
      <c r="N8" s="892"/>
    </row>
    <row r="9" spans="1:14" ht="4.3499999999999996" customHeight="1" thickBot="1">
      <c r="A9" s="93"/>
      <c r="B9" s="335"/>
      <c r="C9" s="337"/>
      <c r="D9" s="505"/>
      <c r="E9" s="505"/>
      <c r="F9" s="505"/>
      <c r="G9" s="817"/>
      <c r="H9" s="144"/>
      <c r="I9" s="144"/>
      <c r="J9" s="144"/>
      <c r="K9" s="144"/>
      <c r="L9" s="144"/>
      <c r="M9" s="893"/>
      <c r="N9" s="892"/>
    </row>
    <row r="10" spans="1:14" ht="282.60000000000002" customHeight="1" thickBot="1">
      <c r="A10" s="93"/>
      <c r="B10" s="335"/>
      <c r="C10" s="338" t="s">
        <v>1180</v>
      </c>
      <c r="D10" s="1164" t="s">
        <v>1181</v>
      </c>
      <c r="E10" s="1192"/>
      <c r="F10" s="1192"/>
      <c r="G10" s="1192"/>
      <c r="H10" s="1192"/>
      <c r="I10" s="1192"/>
      <c r="J10" s="1192"/>
      <c r="K10" s="1192"/>
      <c r="L10" s="1193"/>
      <c r="M10" s="893"/>
      <c r="N10" s="892"/>
    </row>
    <row r="11" spans="1:14" ht="4.3499999999999996" customHeight="1" thickBot="1">
      <c r="A11" s="93"/>
      <c r="B11" s="335"/>
      <c r="C11" s="337"/>
      <c r="D11" s="505"/>
      <c r="E11" s="505"/>
      <c r="F11" s="505"/>
      <c r="G11" s="817"/>
      <c r="H11" s="144"/>
      <c r="I11" s="144"/>
      <c r="J11" s="144"/>
      <c r="K11" s="144"/>
      <c r="L11" s="144"/>
      <c r="M11" s="893"/>
      <c r="N11" s="892"/>
    </row>
    <row r="12" spans="1:14" ht="227.45" customHeight="1" thickBot="1">
      <c r="A12" s="93"/>
      <c r="B12" s="335"/>
      <c r="C12" s="340" t="s">
        <v>1182</v>
      </c>
      <c r="D12" s="1164" t="s">
        <v>1183</v>
      </c>
      <c r="E12" s="1165"/>
      <c r="F12" s="1165"/>
      <c r="G12" s="1165"/>
      <c r="H12" s="1165"/>
      <c r="I12" s="1165"/>
      <c r="J12" s="1165"/>
      <c r="K12" s="1165"/>
      <c r="L12" s="1166"/>
      <c r="M12" s="893"/>
      <c r="N12" s="892"/>
    </row>
    <row r="13" spans="1:14" ht="4.3499999999999996" customHeight="1" thickBot="1">
      <c r="A13" s="93"/>
      <c r="B13" s="335"/>
      <c r="C13" s="337"/>
      <c r="D13" s="505"/>
      <c r="E13" s="505"/>
      <c r="F13" s="505"/>
      <c r="G13" s="817"/>
      <c r="H13" s="144"/>
      <c r="I13" s="144"/>
      <c r="J13" s="144"/>
      <c r="K13" s="144"/>
      <c r="L13" s="144"/>
      <c r="M13" s="893"/>
      <c r="N13" s="892"/>
    </row>
    <row r="14" spans="1:14" ht="39.75" customHeight="1" thickBot="1">
      <c r="A14" s="93"/>
      <c r="B14" s="335"/>
      <c r="C14" s="338" t="s">
        <v>1065</v>
      </c>
      <c r="D14" s="1164" t="s">
        <v>1184</v>
      </c>
      <c r="E14" s="1165"/>
      <c r="F14" s="1165"/>
      <c r="G14" s="1165"/>
      <c r="H14" s="1165"/>
      <c r="I14" s="1165"/>
      <c r="J14" s="1165"/>
      <c r="K14" s="1165"/>
      <c r="L14" s="1166"/>
      <c r="M14" s="893"/>
      <c r="N14" s="892"/>
    </row>
    <row r="15" spans="1:14" ht="4.3499999999999996" customHeight="1" thickBot="1">
      <c r="A15" s="93"/>
      <c r="B15" s="335"/>
      <c r="C15" s="337"/>
      <c r="D15" s="505"/>
      <c r="E15" s="505"/>
      <c r="F15" s="505"/>
      <c r="G15" s="817"/>
      <c r="H15" s="144"/>
      <c r="I15" s="144"/>
      <c r="J15" s="144"/>
      <c r="K15" s="144"/>
      <c r="L15" s="144"/>
      <c r="M15" s="893"/>
      <c r="N15" s="892"/>
    </row>
    <row r="16" spans="1:14" ht="122.65" customHeight="1" thickBot="1">
      <c r="A16" s="93"/>
      <c r="B16" s="335"/>
      <c r="C16" s="340" t="s">
        <v>1185</v>
      </c>
      <c r="D16" s="1164" t="s">
        <v>1186</v>
      </c>
      <c r="E16" s="1165"/>
      <c r="F16" s="1165"/>
      <c r="G16" s="1165"/>
      <c r="H16" s="1165"/>
      <c r="I16" s="1165"/>
      <c r="J16" s="1165"/>
      <c r="K16" s="1165"/>
      <c r="L16" s="1166"/>
      <c r="M16" s="893"/>
      <c r="N16" s="892"/>
    </row>
    <row r="17" spans="1:14" ht="4.3499999999999996" customHeight="1" thickBot="1">
      <c r="A17" s="93"/>
      <c r="B17" s="335"/>
      <c r="C17" s="337"/>
      <c r="D17" s="505"/>
      <c r="E17" s="505"/>
      <c r="F17" s="505"/>
      <c r="G17" s="817"/>
      <c r="H17" s="144"/>
      <c r="I17" s="144"/>
      <c r="J17" s="144"/>
      <c r="K17" s="144"/>
      <c r="L17" s="144"/>
      <c r="M17" s="893"/>
      <c r="N17" s="892"/>
    </row>
    <row r="18" spans="1:14" ht="99" customHeight="1" thickBot="1">
      <c r="A18" s="93"/>
      <c r="B18" s="335"/>
      <c r="C18" s="340" t="s">
        <v>1187</v>
      </c>
      <c r="D18" s="1164" t="s">
        <v>1188</v>
      </c>
      <c r="E18" s="1165"/>
      <c r="F18" s="1165"/>
      <c r="G18" s="1165"/>
      <c r="H18" s="1165"/>
      <c r="I18" s="1165"/>
      <c r="J18" s="1165"/>
      <c r="K18" s="1165"/>
      <c r="L18" s="1166"/>
      <c r="M18" s="893"/>
      <c r="N18" s="892"/>
    </row>
    <row r="19" spans="1:14" ht="4.3499999999999996" customHeight="1" thickBot="1">
      <c r="A19" s="93"/>
      <c r="B19" s="335"/>
      <c r="C19" s="337"/>
      <c r="D19" s="505"/>
      <c r="E19" s="505"/>
      <c r="F19" s="505"/>
      <c r="G19" s="817"/>
      <c r="H19" s="144"/>
      <c r="I19" s="144"/>
      <c r="J19" s="144"/>
      <c r="K19" s="144"/>
      <c r="L19" s="144"/>
      <c r="M19" s="893"/>
      <c r="N19" s="892"/>
    </row>
    <row r="20" spans="1:14" s="87" customFormat="1" ht="276.60000000000002" customHeight="1" thickBot="1">
      <c r="A20" s="95"/>
      <c r="B20" s="341"/>
      <c r="C20" s="338" t="s">
        <v>1189</v>
      </c>
      <c r="D20" s="1164" t="s">
        <v>1190</v>
      </c>
      <c r="E20" s="1165"/>
      <c r="F20" s="1165"/>
      <c r="G20" s="1165"/>
      <c r="H20" s="1165"/>
      <c r="I20" s="1165"/>
      <c r="J20" s="1165"/>
      <c r="K20" s="1165"/>
      <c r="L20" s="1166"/>
      <c r="M20" s="894"/>
      <c r="N20" s="895"/>
    </row>
    <row r="21" spans="1:14" ht="4.3499999999999996" customHeight="1" thickBot="1">
      <c r="A21" s="93"/>
      <c r="B21" s="335"/>
      <c r="C21" s="337"/>
      <c r="D21" s="505"/>
      <c r="E21" s="505"/>
      <c r="F21" s="505"/>
      <c r="G21" s="817"/>
      <c r="H21" s="144"/>
      <c r="I21" s="144"/>
      <c r="J21" s="144"/>
      <c r="K21" s="144"/>
      <c r="L21" s="144"/>
      <c r="M21" s="893"/>
      <c r="N21" s="892"/>
    </row>
    <row r="22" spans="1:14" ht="193.35" customHeight="1" thickBot="1">
      <c r="A22" s="93"/>
      <c r="B22" s="335"/>
      <c r="C22" s="338" t="s">
        <v>1191</v>
      </c>
      <c r="D22" s="1164" t="s">
        <v>1192</v>
      </c>
      <c r="E22" s="1165"/>
      <c r="F22" s="1165"/>
      <c r="G22" s="1165"/>
      <c r="H22" s="1165"/>
      <c r="I22" s="1165"/>
      <c r="J22" s="1165"/>
      <c r="K22" s="1165"/>
      <c r="L22" s="1166"/>
      <c r="M22" s="893"/>
      <c r="N22" s="892"/>
    </row>
    <row r="23" spans="1:14" ht="4.3499999999999996" customHeight="1" thickBot="1">
      <c r="A23" s="93"/>
      <c r="B23" s="335"/>
      <c r="C23" s="337"/>
      <c r="D23" s="505"/>
      <c r="E23" s="505"/>
      <c r="F23" s="505"/>
      <c r="G23" s="817"/>
      <c r="H23" s="144"/>
      <c r="I23" s="144"/>
      <c r="J23" s="144"/>
      <c r="K23" s="144"/>
      <c r="L23" s="144"/>
      <c r="M23" s="893"/>
      <c r="N23" s="892"/>
    </row>
    <row r="24" spans="1:14" ht="198" customHeight="1" thickBot="1">
      <c r="A24" s="93"/>
      <c r="B24" s="335"/>
      <c r="C24" s="342" t="s">
        <v>946</v>
      </c>
      <c r="D24" s="1164" t="s">
        <v>1193</v>
      </c>
      <c r="E24" s="1165"/>
      <c r="F24" s="1165"/>
      <c r="G24" s="1165"/>
      <c r="H24" s="1165"/>
      <c r="I24" s="1165"/>
      <c r="J24" s="1165"/>
      <c r="K24" s="1165"/>
      <c r="L24" s="1166"/>
      <c r="M24" s="893"/>
      <c r="N24" s="892"/>
    </row>
    <row r="25" spans="1:14" ht="4.3499999999999996" customHeight="1" thickBot="1">
      <c r="A25" s="93"/>
      <c r="B25" s="335"/>
      <c r="C25" s="337"/>
      <c r="D25" s="505"/>
      <c r="E25" s="505"/>
      <c r="F25" s="505"/>
      <c r="G25" s="817"/>
      <c r="H25" s="144"/>
      <c r="I25" s="144"/>
      <c r="J25" s="144"/>
      <c r="K25" s="144"/>
      <c r="L25" s="144"/>
      <c r="M25" s="893"/>
      <c r="N25" s="892"/>
    </row>
    <row r="26" spans="1:14" ht="152.1" customHeight="1" thickBot="1">
      <c r="A26" s="93"/>
      <c r="B26" s="335"/>
      <c r="C26" s="338" t="s">
        <v>991</v>
      </c>
      <c r="D26" s="1164" t="s">
        <v>1194</v>
      </c>
      <c r="E26" s="1165"/>
      <c r="F26" s="1165"/>
      <c r="G26" s="1165"/>
      <c r="H26" s="1165"/>
      <c r="I26" s="1165"/>
      <c r="J26" s="1165"/>
      <c r="K26" s="1165"/>
      <c r="L26" s="1166"/>
      <c r="M26" s="893"/>
      <c r="N26" s="892"/>
    </row>
    <row r="27" spans="1:14" ht="4.3499999999999996" customHeight="1" thickBot="1">
      <c r="A27" s="93"/>
      <c r="B27" s="335"/>
      <c r="C27" s="337"/>
      <c r="D27" s="505"/>
      <c r="E27" s="505"/>
      <c r="F27" s="505"/>
      <c r="G27" s="817"/>
      <c r="H27" s="144"/>
      <c r="I27" s="144"/>
      <c r="J27" s="144"/>
      <c r="K27" s="144"/>
      <c r="L27" s="144"/>
      <c r="M27" s="893"/>
      <c r="N27" s="892"/>
    </row>
    <row r="28" spans="1:14" ht="54.75" customHeight="1" thickBot="1">
      <c r="A28" s="93"/>
      <c r="B28" s="335"/>
      <c r="C28" s="340" t="s">
        <v>756</v>
      </c>
      <c r="D28" s="1159" t="s">
        <v>1195</v>
      </c>
      <c r="E28" s="1160"/>
      <c r="F28" s="1160"/>
      <c r="G28" s="1160"/>
      <c r="H28" s="1160"/>
      <c r="I28" s="1160"/>
      <c r="J28" s="1160"/>
      <c r="K28" s="1160"/>
      <c r="L28" s="1161"/>
      <c r="M28" s="893"/>
      <c r="N28" s="892"/>
    </row>
    <row r="29" spans="1:14" ht="4.3499999999999996" customHeight="1" thickBot="1">
      <c r="A29" s="93"/>
      <c r="B29" s="335"/>
      <c r="C29" s="337"/>
      <c r="D29" s="505"/>
      <c r="E29" s="505"/>
      <c r="F29" s="505"/>
      <c r="G29" s="817"/>
      <c r="H29" s="144"/>
      <c r="I29" s="144"/>
      <c r="J29" s="144"/>
      <c r="K29" s="144"/>
      <c r="L29" s="144"/>
      <c r="M29" s="893"/>
      <c r="N29" s="892"/>
    </row>
    <row r="30" spans="1:14" ht="80.45" customHeight="1" thickBot="1">
      <c r="A30" s="93"/>
      <c r="B30" s="335"/>
      <c r="C30" s="340" t="s">
        <v>1196</v>
      </c>
      <c r="D30" s="1164" t="s">
        <v>1197</v>
      </c>
      <c r="E30" s="1165"/>
      <c r="F30" s="1165"/>
      <c r="G30" s="1165"/>
      <c r="H30" s="1165"/>
      <c r="I30" s="1165"/>
      <c r="J30" s="1165"/>
      <c r="K30" s="1165"/>
      <c r="L30" s="1166"/>
      <c r="M30" s="893"/>
      <c r="N30" s="892"/>
    </row>
    <row r="31" spans="1:14" ht="4.3499999999999996" customHeight="1" thickBot="1">
      <c r="A31" s="93"/>
      <c r="B31" s="335"/>
      <c r="C31" s="337"/>
      <c r="D31" s="505"/>
      <c r="E31" s="505"/>
      <c r="F31" s="505"/>
      <c r="G31" s="817"/>
      <c r="H31" s="144"/>
      <c r="I31" s="144"/>
      <c r="J31" s="144"/>
      <c r="K31" s="144"/>
      <c r="L31" s="144"/>
      <c r="M31" s="893"/>
      <c r="N31" s="892"/>
    </row>
    <row r="32" spans="1:14" ht="65.45" customHeight="1" thickBot="1">
      <c r="A32" s="93"/>
      <c r="B32" s="335"/>
      <c r="C32" s="340" t="s">
        <v>953</v>
      </c>
      <c r="D32" s="1164" t="s">
        <v>1198</v>
      </c>
      <c r="E32" s="1165"/>
      <c r="F32" s="1165"/>
      <c r="G32" s="1165"/>
      <c r="H32" s="1165"/>
      <c r="I32" s="1165"/>
      <c r="J32" s="1165"/>
      <c r="K32" s="1165"/>
      <c r="L32" s="1166"/>
      <c r="M32" s="893"/>
      <c r="N32" s="892"/>
    </row>
    <row r="33" spans="1:14" ht="4.3499999999999996" customHeight="1" thickBot="1">
      <c r="A33" s="93"/>
      <c r="B33" s="335"/>
      <c r="C33" s="337"/>
      <c r="D33" s="505"/>
      <c r="E33" s="505"/>
      <c r="F33" s="505"/>
      <c r="G33" s="817"/>
      <c r="H33" s="144"/>
      <c r="I33" s="144"/>
      <c r="J33" s="144"/>
      <c r="K33" s="144"/>
      <c r="L33" s="144"/>
      <c r="M33" s="893"/>
      <c r="N33" s="892"/>
    </row>
    <row r="34" spans="1:14" ht="24.75" customHeight="1" thickBot="1">
      <c r="A34" s="93"/>
      <c r="B34" s="335"/>
      <c r="C34" s="338" t="s">
        <v>1067</v>
      </c>
      <c r="D34" s="1164" t="s">
        <v>1199</v>
      </c>
      <c r="E34" s="1165"/>
      <c r="F34" s="1165"/>
      <c r="G34" s="1165"/>
      <c r="H34" s="1165"/>
      <c r="I34" s="1165"/>
      <c r="J34" s="1165"/>
      <c r="K34" s="1165"/>
      <c r="L34" s="1166"/>
      <c r="M34" s="893"/>
      <c r="N34" s="892"/>
    </row>
    <row r="35" spans="1:14" ht="4.3499999999999996" customHeight="1" thickBot="1">
      <c r="A35" s="93"/>
      <c r="B35" s="335"/>
      <c r="C35" s="337"/>
      <c r="D35" s="505"/>
      <c r="E35" s="505"/>
      <c r="F35" s="505"/>
      <c r="G35" s="817"/>
      <c r="H35" s="144"/>
      <c r="I35" s="144"/>
      <c r="J35" s="144"/>
      <c r="K35" s="144"/>
      <c r="L35" s="144"/>
      <c r="M35" s="893"/>
      <c r="N35" s="892"/>
    </row>
    <row r="36" spans="1:14" ht="68.45" customHeight="1" thickBot="1">
      <c r="A36" s="93"/>
      <c r="B36" s="335"/>
      <c r="C36" s="340" t="s">
        <v>1200</v>
      </c>
      <c r="D36" s="1159" t="s">
        <v>1201</v>
      </c>
      <c r="E36" s="1165"/>
      <c r="F36" s="1165"/>
      <c r="G36" s="1165"/>
      <c r="H36" s="1165"/>
      <c r="I36" s="1165"/>
      <c r="J36" s="1165"/>
      <c r="K36" s="1165"/>
      <c r="L36" s="1166"/>
      <c r="M36" s="893"/>
      <c r="N36" s="892"/>
    </row>
    <row r="37" spans="1:14" ht="4.3499999999999996" customHeight="1" thickBot="1">
      <c r="A37" s="93"/>
      <c r="B37" s="335"/>
      <c r="C37" s="337"/>
      <c r="D37" s="505"/>
      <c r="E37" s="505"/>
      <c r="F37" s="505"/>
      <c r="G37" s="817"/>
      <c r="H37" s="144"/>
      <c r="I37" s="144"/>
      <c r="J37" s="144"/>
      <c r="K37" s="144"/>
      <c r="L37" s="144"/>
      <c r="M37" s="893"/>
      <c r="N37" s="892"/>
    </row>
    <row r="38" spans="1:14" ht="409.6" customHeight="1" thickBot="1">
      <c r="A38" s="93"/>
      <c r="B38" s="335"/>
      <c r="C38" s="338" t="s">
        <v>1202</v>
      </c>
      <c r="D38" s="1164" t="s">
        <v>1203</v>
      </c>
      <c r="E38" s="1165"/>
      <c r="F38" s="1165"/>
      <c r="G38" s="1165"/>
      <c r="H38" s="1165"/>
      <c r="I38" s="1165"/>
      <c r="J38" s="1165"/>
      <c r="K38" s="1165"/>
      <c r="L38" s="1166"/>
      <c r="M38" s="893"/>
      <c r="N38" s="892"/>
    </row>
    <row r="39" spans="1:14" ht="4.3499999999999996" customHeight="1" thickBot="1">
      <c r="A39" s="93"/>
      <c r="B39" s="335"/>
      <c r="C39" s="337"/>
      <c r="D39" s="505"/>
      <c r="E39" s="505"/>
      <c r="F39" s="505"/>
      <c r="G39" s="817"/>
      <c r="H39" s="144"/>
      <c r="I39" s="144"/>
      <c r="J39" s="144"/>
      <c r="K39" s="144"/>
      <c r="L39" s="144"/>
      <c r="M39" s="893"/>
      <c r="N39" s="892"/>
    </row>
    <row r="40" spans="1:14" ht="95.45" customHeight="1" thickBot="1">
      <c r="A40" s="93"/>
      <c r="B40" s="335"/>
      <c r="C40" s="340" t="s">
        <v>1204</v>
      </c>
      <c r="D40" s="1164" t="s">
        <v>1205</v>
      </c>
      <c r="E40" s="1165"/>
      <c r="F40" s="1165"/>
      <c r="G40" s="1165"/>
      <c r="H40" s="1165"/>
      <c r="I40" s="1165"/>
      <c r="J40" s="1165"/>
      <c r="K40" s="1165"/>
      <c r="L40" s="1166"/>
      <c r="M40" s="893"/>
      <c r="N40" s="892"/>
    </row>
    <row r="41" spans="1:14" ht="4.3499999999999996" customHeight="1" thickBot="1">
      <c r="A41" s="93"/>
      <c r="B41" s="335"/>
      <c r="C41" s="337"/>
      <c r="D41" s="505"/>
      <c r="E41" s="505"/>
      <c r="F41" s="505"/>
      <c r="G41" s="817"/>
      <c r="H41" s="144"/>
      <c r="I41" s="144"/>
      <c r="J41" s="144"/>
      <c r="K41" s="144"/>
      <c r="L41" s="144"/>
      <c r="M41" s="893"/>
      <c r="N41" s="892"/>
    </row>
    <row r="42" spans="1:14" ht="151.35" customHeight="1" thickBot="1">
      <c r="A42" s="93"/>
      <c r="B42" s="335"/>
      <c r="C42" s="338" t="s">
        <v>1206</v>
      </c>
      <c r="D42" s="1164" t="s">
        <v>1207</v>
      </c>
      <c r="E42" s="1165"/>
      <c r="F42" s="1165"/>
      <c r="G42" s="1165"/>
      <c r="H42" s="1165"/>
      <c r="I42" s="1165"/>
      <c r="J42" s="1165"/>
      <c r="K42" s="1165"/>
      <c r="L42" s="1166"/>
      <c r="M42" s="893"/>
      <c r="N42" s="892"/>
    </row>
    <row r="43" spans="1:14" ht="4.3499999999999996" customHeight="1" thickBot="1">
      <c r="A43" s="93"/>
      <c r="B43" s="335"/>
      <c r="C43" s="337"/>
      <c r="D43" s="505"/>
      <c r="E43" s="505"/>
      <c r="F43" s="505"/>
      <c r="G43" s="817"/>
      <c r="H43" s="144"/>
      <c r="I43" s="144"/>
      <c r="J43" s="144"/>
      <c r="K43" s="144"/>
      <c r="L43" s="144"/>
      <c r="M43" s="893"/>
      <c r="N43" s="892"/>
    </row>
    <row r="44" spans="1:14" ht="340.15" customHeight="1">
      <c r="A44" s="93"/>
      <c r="B44" s="335"/>
      <c r="C44" s="1173" t="s">
        <v>1208</v>
      </c>
      <c r="D44" s="1175" t="s">
        <v>1209</v>
      </c>
      <c r="E44" s="1176"/>
      <c r="F44" s="1176"/>
      <c r="G44" s="1176"/>
      <c r="H44" s="1176"/>
      <c r="I44" s="1176"/>
      <c r="J44" s="1176"/>
      <c r="K44" s="1176"/>
      <c r="L44" s="1177"/>
      <c r="M44" s="893"/>
      <c r="N44" s="892"/>
    </row>
    <row r="45" spans="1:14" ht="13.5" thickBot="1">
      <c r="A45" s="93"/>
      <c r="B45" s="335"/>
      <c r="C45" s="1174"/>
      <c r="D45" s="1178"/>
      <c r="E45" s="1179"/>
      <c r="F45" s="1179"/>
      <c r="G45" s="1179"/>
      <c r="H45" s="1179"/>
      <c r="I45" s="1179"/>
      <c r="J45" s="1179"/>
      <c r="K45" s="1179"/>
      <c r="L45" s="1180"/>
      <c r="M45" s="893"/>
      <c r="N45" s="892"/>
    </row>
    <row r="46" spans="1:14" ht="4.3499999999999996" customHeight="1" thickBot="1">
      <c r="A46" s="93"/>
      <c r="B46" s="335"/>
      <c r="C46" s="337"/>
      <c r="D46" s="505"/>
      <c r="E46" s="505"/>
      <c r="F46" s="505"/>
      <c r="G46" s="817"/>
      <c r="H46" s="144"/>
      <c r="I46" s="144"/>
      <c r="J46" s="144"/>
      <c r="K46" s="144"/>
      <c r="L46" s="144"/>
      <c r="M46" s="893"/>
      <c r="N46" s="892"/>
    </row>
    <row r="47" spans="1:14" ht="73.349999999999994" customHeight="1" thickBot="1">
      <c r="A47" s="93"/>
      <c r="B47" s="335"/>
      <c r="C47" s="338" t="s">
        <v>1071</v>
      </c>
      <c r="D47" s="1164" t="s">
        <v>1210</v>
      </c>
      <c r="E47" s="1165"/>
      <c r="F47" s="1165"/>
      <c r="G47" s="1165"/>
      <c r="H47" s="1165"/>
      <c r="I47" s="1165"/>
      <c r="J47" s="1165"/>
      <c r="K47" s="1165"/>
      <c r="L47" s="1166"/>
      <c r="M47" s="893"/>
      <c r="N47" s="892"/>
    </row>
    <row r="48" spans="1:14" ht="4.3499999999999996" customHeight="1" thickBot="1">
      <c r="A48" s="93"/>
      <c r="B48" s="335"/>
      <c r="C48" s="343"/>
      <c r="D48" s="149"/>
      <c r="E48" s="149"/>
      <c r="F48" s="149"/>
      <c r="G48" s="637"/>
      <c r="H48" s="505"/>
      <c r="I48" s="505"/>
      <c r="J48" s="505"/>
      <c r="K48" s="505"/>
      <c r="L48" s="505"/>
      <c r="M48" s="893"/>
      <c r="N48" s="892"/>
    </row>
    <row r="49" spans="1:14" ht="97.15" customHeight="1" thickBot="1">
      <c r="A49" s="93"/>
      <c r="B49" s="335"/>
      <c r="C49" s="340" t="s">
        <v>1211</v>
      </c>
      <c r="D49" s="1164" t="s">
        <v>1212</v>
      </c>
      <c r="E49" s="1165"/>
      <c r="F49" s="1165"/>
      <c r="G49" s="1165"/>
      <c r="H49" s="1165"/>
      <c r="I49" s="1165"/>
      <c r="J49" s="1165"/>
      <c r="K49" s="1165"/>
      <c r="L49" s="1166"/>
      <c r="M49" s="893"/>
      <c r="N49" s="892"/>
    </row>
    <row r="50" spans="1:14" ht="4.3499999999999996" customHeight="1" thickBot="1">
      <c r="A50" s="93"/>
      <c r="B50" s="335"/>
      <c r="C50" s="343"/>
      <c r="D50" s="149"/>
      <c r="E50" s="149"/>
      <c r="F50" s="149"/>
      <c r="G50" s="637"/>
      <c r="H50" s="505"/>
      <c r="I50" s="505"/>
      <c r="J50" s="505"/>
      <c r="K50" s="505"/>
      <c r="L50" s="505"/>
      <c r="M50" s="893"/>
      <c r="N50" s="892"/>
    </row>
    <row r="51" spans="1:14" ht="198" customHeight="1" thickBot="1">
      <c r="A51" s="93"/>
      <c r="B51" s="335"/>
      <c r="C51" s="338" t="s">
        <v>1213</v>
      </c>
      <c r="D51" s="1164" t="s">
        <v>1214</v>
      </c>
      <c r="E51" s="1165"/>
      <c r="F51" s="1165"/>
      <c r="G51" s="1165"/>
      <c r="H51" s="1165"/>
      <c r="I51" s="1165"/>
      <c r="J51" s="1165"/>
      <c r="K51" s="1165"/>
      <c r="L51" s="1166"/>
      <c r="M51" s="893"/>
      <c r="N51" s="892"/>
    </row>
    <row r="52" spans="1:14" ht="4.3499999999999996" customHeight="1" thickBot="1">
      <c r="A52" s="93"/>
      <c r="B52" s="335"/>
      <c r="C52" s="337"/>
      <c r="D52" s="505"/>
      <c r="E52" s="505"/>
      <c r="F52" s="505"/>
      <c r="G52" s="817"/>
      <c r="H52" s="144"/>
      <c r="I52" s="144"/>
      <c r="J52" s="144"/>
      <c r="K52" s="144"/>
      <c r="L52" s="144"/>
      <c r="M52" s="893"/>
      <c r="N52" s="892"/>
    </row>
    <row r="53" spans="1:14" ht="102" customHeight="1">
      <c r="A53" s="93"/>
      <c r="B53" s="335"/>
      <c r="C53" s="1173" t="s">
        <v>1215</v>
      </c>
      <c r="D53" s="1175" t="s">
        <v>1216</v>
      </c>
      <c r="E53" s="1176"/>
      <c r="F53" s="1176"/>
      <c r="G53" s="1176"/>
      <c r="H53" s="1176"/>
      <c r="I53" s="1176"/>
      <c r="J53" s="1176"/>
      <c r="K53" s="1176"/>
      <c r="L53" s="1177"/>
      <c r="M53" s="893"/>
      <c r="N53" s="892"/>
    </row>
    <row r="54" spans="1:14" ht="18" customHeight="1">
      <c r="A54" s="93"/>
      <c r="B54" s="335"/>
      <c r="C54" s="1182"/>
      <c r="D54" s="897"/>
      <c r="E54" s="1181" t="s">
        <v>1217</v>
      </c>
      <c r="F54" s="1181"/>
      <c r="G54" s="898" t="s">
        <v>1218</v>
      </c>
      <c r="H54" s="898"/>
      <c r="I54" s="1183" t="s">
        <v>1219</v>
      </c>
      <c r="J54" s="1183"/>
      <c r="K54" s="637"/>
      <c r="L54" s="643"/>
      <c r="M54" s="893"/>
      <c r="N54" s="892"/>
    </row>
    <row r="55" spans="1:14" ht="18.75" customHeight="1">
      <c r="A55" s="93"/>
      <c r="B55" s="335"/>
      <c r="C55" s="1182"/>
      <c r="D55" s="897"/>
      <c r="E55" s="1162">
        <v>100</v>
      </c>
      <c r="F55" s="1163"/>
      <c r="G55" s="899" t="s">
        <v>1017</v>
      </c>
      <c r="H55" s="31" t="s">
        <v>1018</v>
      </c>
      <c r="I55" s="900">
        <f>E55*INDEX(Sheet1!N2:P4,MATCH(G55,Sheet1!M2:M4,0),MATCH(J55,Sheet1!N1:P1,0))</f>
        <v>306.88832897372282</v>
      </c>
      <c r="J55" s="899" t="s">
        <v>1002</v>
      </c>
      <c r="K55" s="637"/>
      <c r="L55" s="643"/>
      <c r="M55" s="893"/>
      <c r="N55" s="892"/>
    </row>
    <row r="56" spans="1:14" ht="18" customHeight="1">
      <c r="A56" s="93"/>
      <c r="B56" s="335"/>
      <c r="C56" s="1182"/>
      <c r="D56" s="897"/>
      <c r="E56" s="505"/>
      <c r="F56" s="505"/>
      <c r="G56" s="1014" t="str">
        <f>"(conversion factor = "&amp;ROUND(INDEX(Sheet1!N2:P4,MATCH(G55,Sheet1!M2:M4,0),MATCH(J55,Sheet1!N1:P1,0)),4)&amp;")"</f>
        <v>(conversion factor = 3.0689)</v>
      </c>
      <c r="H56" s="1014"/>
      <c r="I56" s="1014"/>
      <c r="J56" s="1014"/>
      <c r="K56" s="637"/>
      <c r="L56" s="643"/>
      <c r="M56" s="893"/>
      <c r="N56" s="892"/>
    </row>
    <row r="57" spans="1:14" ht="3.75" customHeight="1" thickBot="1">
      <c r="A57" s="93"/>
      <c r="B57" s="335"/>
      <c r="C57" s="1174"/>
      <c r="D57" s="901"/>
      <c r="E57" s="902"/>
      <c r="F57" s="902"/>
      <c r="G57" s="903"/>
      <c r="H57" s="896"/>
      <c r="I57" s="896"/>
      <c r="J57" s="896"/>
      <c r="K57" s="896"/>
      <c r="L57" s="827"/>
      <c r="M57" s="893"/>
      <c r="N57" s="892"/>
    </row>
    <row r="58" spans="1:14" ht="4.3499999999999996" customHeight="1" thickBot="1">
      <c r="A58" s="93"/>
      <c r="B58" s="335"/>
      <c r="C58" s="344"/>
      <c r="D58" s="505"/>
      <c r="E58" s="505"/>
      <c r="F58" s="505"/>
      <c r="G58" s="144"/>
      <c r="H58" s="144"/>
      <c r="I58" s="144"/>
      <c r="J58" s="144"/>
      <c r="K58" s="144"/>
      <c r="L58" s="144"/>
      <c r="M58" s="893"/>
      <c r="N58" s="892"/>
    </row>
    <row r="59" spans="1:14" ht="147.6" customHeight="1" thickBot="1">
      <c r="A59" s="93"/>
      <c r="B59" s="335"/>
      <c r="C59" s="339" t="s">
        <v>1220</v>
      </c>
      <c r="D59" s="1164" t="s">
        <v>1221</v>
      </c>
      <c r="E59" s="1165"/>
      <c r="F59" s="1165"/>
      <c r="G59" s="1165"/>
      <c r="H59" s="1165"/>
      <c r="I59" s="1165"/>
      <c r="J59" s="1165"/>
      <c r="K59" s="1165"/>
      <c r="L59" s="1166"/>
      <c r="M59" s="893"/>
      <c r="N59" s="892"/>
    </row>
    <row r="60" spans="1:14" ht="4.3499999999999996" customHeight="1" thickBot="1">
      <c r="A60" s="93"/>
      <c r="B60" s="335"/>
      <c r="C60" s="344"/>
      <c r="D60" s="505"/>
      <c r="E60" s="505"/>
      <c r="F60" s="505"/>
      <c r="G60" s="144"/>
      <c r="H60" s="144"/>
      <c r="I60" s="144"/>
      <c r="J60" s="144"/>
      <c r="K60" s="144"/>
      <c r="L60" s="144"/>
      <c r="M60" s="893"/>
      <c r="N60" s="892"/>
    </row>
    <row r="61" spans="1:14" ht="201.6" customHeight="1" thickBot="1">
      <c r="A61" s="93"/>
      <c r="B61" s="335"/>
      <c r="C61" s="339" t="s">
        <v>1222</v>
      </c>
      <c r="D61" s="1164" t="s">
        <v>1223</v>
      </c>
      <c r="E61" s="1165"/>
      <c r="F61" s="1165"/>
      <c r="G61" s="1165"/>
      <c r="H61" s="1165"/>
      <c r="I61" s="1165"/>
      <c r="J61" s="1165"/>
      <c r="K61" s="1165"/>
      <c r="L61" s="1166"/>
      <c r="M61" s="893"/>
      <c r="N61" s="892"/>
    </row>
    <row r="62" spans="1:14" ht="4.3499999999999996" customHeight="1" thickBot="1">
      <c r="A62" s="93"/>
      <c r="B62" s="335"/>
      <c r="C62" s="344"/>
      <c r="D62" s="505"/>
      <c r="E62" s="505"/>
      <c r="F62" s="505"/>
      <c r="G62" s="144"/>
      <c r="H62" s="144"/>
      <c r="I62" s="144"/>
      <c r="J62" s="144"/>
      <c r="K62" s="144"/>
      <c r="L62" s="144"/>
      <c r="M62" s="893"/>
      <c r="N62" s="892"/>
    </row>
    <row r="63" spans="1:14" ht="112.9" customHeight="1" thickBot="1">
      <c r="A63" s="93"/>
      <c r="B63" s="335"/>
      <c r="C63" s="342" t="s">
        <v>1224</v>
      </c>
      <c r="D63" s="1164" t="s">
        <v>1225</v>
      </c>
      <c r="E63" s="1165"/>
      <c r="F63" s="1165"/>
      <c r="G63" s="1165"/>
      <c r="H63" s="1165"/>
      <c r="I63" s="1165"/>
      <c r="J63" s="1165"/>
      <c r="K63" s="1165"/>
      <c r="L63" s="1166"/>
      <c r="M63" s="893"/>
      <c r="N63" s="892"/>
    </row>
    <row r="64" spans="1:14" ht="4.3499999999999996" customHeight="1" thickBot="1">
      <c r="A64" s="93"/>
      <c r="B64" s="335"/>
      <c r="C64" s="344"/>
      <c r="D64" s="505"/>
      <c r="E64" s="505"/>
      <c r="F64" s="505"/>
      <c r="G64" s="144"/>
      <c r="H64" s="144"/>
      <c r="I64" s="144"/>
      <c r="J64" s="144"/>
      <c r="K64" s="144"/>
      <c r="L64" s="144"/>
      <c r="M64" s="893"/>
      <c r="N64" s="892"/>
    </row>
    <row r="65" spans="1:14" ht="151.35" customHeight="1" thickBot="1">
      <c r="A65" s="93"/>
      <c r="B65" s="335"/>
      <c r="C65" s="339" t="s">
        <v>982</v>
      </c>
      <c r="D65" s="1164" t="s">
        <v>1226</v>
      </c>
      <c r="E65" s="1165"/>
      <c r="F65" s="1165"/>
      <c r="G65" s="1165"/>
      <c r="H65" s="1165"/>
      <c r="I65" s="1165"/>
      <c r="J65" s="1165"/>
      <c r="K65" s="1165"/>
      <c r="L65" s="1166"/>
      <c r="M65" s="893"/>
      <c r="N65" s="892"/>
    </row>
    <row r="66" spans="1:14" ht="4.3499999999999996" customHeight="1" thickBot="1">
      <c r="A66" s="93"/>
      <c r="B66" s="335"/>
      <c r="C66" s="344"/>
      <c r="D66" s="505"/>
      <c r="E66" s="505"/>
      <c r="F66" s="505"/>
      <c r="G66" s="144"/>
      <c r="H66" s="144"/>
      <c r="I66" s="144"/>
      <c r="J66" s="144"/>
      <c r="K66" s="144"/>
      <c r="L66" s="144"/>
      <c r="M66" s="893"/>
      <c r="N66" s="892"/>
    </row>
    <row r="67" spans="1:14" ht="134.44999999999999" customHeight="1" thickBot="1">
      <c r="A67" s="93"/>
      <c r="B67" s="335"/>
      <c r="C67" s="339" t="s">
        <v>1227</v>
      </c>
      <c r="D67" s="1164" t="s">
        <v>1228</v>
      </c>
      <c r="E67" s="1165"/>
      <c r="F67" s="1165"/>
      <c r="G67" s="1165"/>
      <c r="H67" s="1165"/>
      <c r="I67" s="1165"/>
      <c r="J67" s="1165"/>
      <c r="K67" s="1165"/>
      <c r="L67" s="1166"/>
      <c r="M67" s="893"/>
      <c r="N67" s="892"/>
    </row>
    <row r="68" spans="1:14" ht="4.1500000000000004" customHeight="1" thickBot="1">
      <c r="A68" s="93"/>
      <c r="B68" s="335"/>
      <c r="C68" s="337"/>
      <c r="D68" s="505"/>
      <c r="E68" s="505"/>
      <c r="F68" s="505"/>
      <c r="G68" s="817"/>
      <c r="H68" s="144"/>
      <c r="I68" s="144"/>
      <c r="J68" s="144"/>
      <c r="K68" s="144"/>
      <c r="L68" s="144"/>
      <c r="M68" s="893"/>
      <c r="N68" s="892"/>
    </row>
    <row r="69" spans="1:14" ht="73.5" customHeight="1" thickBot="1">
      <c r="A69" s="93"/>
      <c r="B69" s="335"/>
      <c r="C69" s="342" t="s">
        <v>1229</v>
      </c>
      <c r="D69" s="1164" t="s">
        <v>1230</v>
      </c>
      <c r="E69" s="1165"/>
      <c r="F69" s="1165"/>
      <c r="G69" s="1165"/>
      <c r="H69" s="1165"/>
      <c r="I69" s="1165"/>
      <c r="J69" s="1165"/>
      <c r="K69" s="1165"/>
      <c r="L69" s="1166"/>
      <c r="M69" s="893"/>
      <c r="N69" s="892"/>
    </row>
    <row r="70" spans="1:14" ht="4.1500000000000004" customHeight="1" thickBot="1">
      <c r="A70" s="828"/>
      <c r="B70" s="904"/>
      <c r="D70" s="144"/>
      <c r="E70" s="144"/>
      <c r="F70" s="144"/>
      <c r="G70" s="505"/>
      <c r="H70" s="505"/>
      <c r="I70" s="505"/>
      <c r="J70" s="505"/>
      <c r="K70" s="505"/>
      <c r="L70" s="505"/>
      <c r="M70" s="893"/>
      <c r="N70" s="892"/>
    </row>
    <row r="71" spans="1:14" ht="125.45" customHeight="1" thickBot="1">
      <c r="A71" s="93"/>
      <c r="B71" s="335"/>
      <c r="C71" s="342" t="s">
        <v>1231</v>
      </c>
      <c r="D71" s="1164" t="s">
        <v>1232</v>
      </c>
      <c r="E71" s="1165"/>
      <c r="F71" s="1165"/>
      <c r="G71" s="1165"/>
      <c r="H71" s="1165"/>
      <c r="I71" s="1165"/>
      <c r="J71" s="1165"/>
      <c r="K71" s="1165"/>
      <c r="L71" s="1166"/>
      <c r="M71" s="893"/>
      <c r="N71" s="892"/>
    </row>
    <row r="72" spans="1:14" ht="4.1500000000000004" customHeight="1" thickBot="1">
      <c r="A72" s="93"/>
      <c r="B72" s="335"/>
      <c r="C72" s="639"/>
      <c r="D72" s="637"/>
      <c r="E72" s="637"/>
      <c r="F72" s="637"/>
      <c r="G72" s="637"/>
      <c r="H72" s="637"/>
      <c r="I72" s="637"/>
      <c r="J72" s="637"/>
      <c r="K72" s="637"/>
      <c r="L72" s="637"/>
      <c r="M72" s="893"/>
      <c r="N72" s="892"/>
    </row>
    <row r="73" spans="1:14" ht="409.5" customHeight="1">
      <c r="A73" s="93"/>
      <c r="B73" s="335"/>
      <c r="C73" s="1184" t="s">
        <v>1233</v>
      </c>
      <c r="D73" s="1167" t="s">
        <v>1234</v>
      </c>
      <c r="E73" s="1168"/>
      <c r="F73" s="1168"/>
      <c r="G73" s="1168"/>
      <c r="H73" s="1168"/>
      <c r="I73" s="1168"/>
      <c r="J73" s="1168"/>
      <c r="K73" s="1168"/>
      <c r="L73" s="1169"/>
      <c r="M73" s="893"/>
      <c r="N73" s="892"/>
    </row>
    <row r="74" spans="1:14" ht="302.45" customHeight="1" thickBot="1">
      <c r="A74" s="93"/>
      <c r="B74" s="335"/>
      <c r="C74" s="1185"/>
      <c r="D74" s="1170"/>
      <c r="E74" s="1171"/>
      <c r="F74" s="1171"/>
      <c r="G74" s="1171"/>
      <c r="H74" s="1171"/>
      <c r="I74" s="1171"/>
      <c r="J74" s="1171"/>
      <c r="K74" s="1171"/>
      <c r="L74" s="1172"/>
      <c r="M74" s="893"/>
      <c r="N74" s="892"/>
    </row>
    <row r="75" spans="1:14" ht="4.3499999999999996" customHeight="1" thickBot="1">
      <c r="A75" s="93"/>
      <c r="B75" s="335"/>
      <c r="C75" s="344"/>
      <c r="D75" s="505"/>
      <c r="E75" s="505"/>
      <c r="F75" s="505"/>
      <c r="G75" s="144"/>
      <c r="H75" s="144"/>
      <c r="I75" s="144"/>
      <c r="J75" s="144"/>
      <c r="K75" s="144"/>
      <c r="L75" s="144"/>
      <c r="M75" s="893"/>
      <c r="N75" s="892"/>
    </row>
    <row r="76" spans="1:14" ht="92.45" customHeight="1" thickBot="1">
      <c r="A76" s="93"/>
      <c r="B76" s="335"/>
      <c r="C76" s="340" t="s">
        <v>1235</v>
      </c>
      <c r="D76" s="1159" t="s">
        <v>1236</v>
      </c>
      <c r="E76" s="1160"/>
      <c r="F76" s="1160"/>
      <c r="G76" s="1160"/>
      <c r="H76" s="1160"/>
      <c r="I76" s="1160"/>
      <c r="J76" s="1160"/>
      <c r="K76" s="1160"/>
      <c r="L76" s="1161"/>
      <c r="M76" s="893"/>
      <c r="N76" s="892"/>
    </row>
    <row r="77" spans="1:14" ht="6.75" customHeight="1" thickBot="1">
      <c r="A77" s="93"/>
      <c r="B77" s="345"/>
      <c r="C77" s="346"/>
      <c r="D77" s="905"/>
      <c r="E77" s="905"/>
      <c r="F77" s="905"/>
      <c r="G77" s="905"/>
      <c r="H77" s="905"/>
      <c r="I77" s="905"/>
      <c r="J77" s="905"/>
      <c r="K77" s="905"/>
      <c r="L77" s="905"/>
      <c r="M77" s="906"/>
      <c r="N77" s="892"/>
    </row>
    <row r="78" spans="1:14" ht="184.15" hidden="1" customHeight="1" thickTop="1">
      <c r="D78" s="118"/>
      <c r="E78" s="118"/>
      <c r="F78" s="118"/>
      <c r="G78" s="118"/>
      <c r="H78" s="118"/>
      <c r="I78" s="118"/>
      <c r="J78" s="118"/>
      <c r="K78" s="118"/>
      <c r="L78" s="118"/>
      <c r="M78" s="118"/>
      <c r="N78" s="892"/>
    </row>
    <row r="79" spans="1:14" hidden="1">
      <c r="D79" s="118"/>
      <c r="E79" s="118"/>
      <c r="F79" s="118"/>
      <c r="G79" s="118"/>
      <c r="H79" s="118"/>
      <c r="I79" s="118"/>
      <c r="J79" s="118"/>
      <c r="K79" s="118"/>
      <c r="L79" s="118"/>
      <c r="M79" s="118"/>
      <c r="N79" s="892"/>
    </row>
    <row r="80" spans="1:14" hidden="1">
      <c r="D80" s="118"/>
      <c r="E80" s="118"/>
      <c r="F80" s="118"/>
      <c r="G80" s="118"/>
      <c r="H80" s="118"/>
      <c r="I80" s="118"/>
      <c r="J80" s="118"/>
      <c r="K80" s="118"/>
      <c r="L80" s="118"/>
      <c r="M80" s="118"/>
      <c r="N80" s="828"/>
    </row>
    <row r="81" spans="14:14" hidden="1">
      <c r="N81" s="828"/>
    </row>
    <row r="82" spans="14:14" hidden="1">
      <c r="N82" s="828"/>
    </row>
    <row r="83" spans="14:14" hidden="1">
      <c r="N83" s="828"/>
    </row>
    <row r="84" spans="14:14" hidden="1">
      <c r="N84" s="828"/>
    </row>
    <row r="85" spans="14:14" hidden="1">
      <c r="N85" s="828"/>
    </row>
    <row r="86" spans="14:14" hidden="1">
      <c r="N86" s="828"/>
    </row>
    <row r="87" spans="14:14" hidden="1">
      <c r="N87" s="828"/>
    </row>
    <row r="88" spans="14:14" hidden="1">
      <c r="N88" s="828"/>
    </row>
    <row r="89" spans="14:14" hidden="1">
      <c r="N89" s="828"/>
    </row>
    <row r="90" spans="14:14" hidden="1">
      <c r="N90" s="828"/>
    </row>
    <row r="91" spans="14:14" hidden="1">
      <c r="N91" s="828"/>
    </row>
    <row r="92" spans="14:14" hidden="1">
      <c r="N92" s="828"/>
    </row>
    <row r="93" spans="14:14" hidden="1">
      <c r="N93" s="828"/>
    </row>
    <row r="94" spans="14:14" hidden="1">
      <c r="N94" s="828"/>
    </row>
    <row r="95" spans="14:14" hidden="1">
      <c r="N95" s="828"/>
    </row>
    <row r="96" spans="14:14" hidden="1">
      <c r="N96" s="828"/>
    </row>
    <row r="97" spans="14:14" hidden="1">
      <c r="N97" s="828"/>
    </row>
    <row r="98" spans="14:14" hidden="1">
      <c r="N98" s="828"/>
    </row>
    <row r="99" spans="14:14" hidden="1">
      <c r="N99" s="828"/>
    </row>
    <row r="100" spans="14:14" hidden="1">
      <c r="N100" s="828"/>
    </row>
    <row r="101" spans="14:14" hidden="1">
      <c r="N101" s="828"/>
    </row>
    <row r="102" spans="14:14" hidden="1">
      <c r="N102" s="828"/>
    </row>
    <row r="103" spans="14:14" hidden="1">
      <c r="N103" s="828"/>
    </row>
    <row r="104" spans="14:14" hidden="1">
      <c r="N104" s="828"/>
    </row>
    <row r="105" spans="14:14" hidden="1">
      <c r="N105" s="828"/>
    </row>
    <row r="106" spans="14:14" hidden="1">
      <c r="N106" s="828"/>
    </row>
    <row r="107" spans="14:14" hidden="1">
      <c r="N107" s="828"/>
    </row>
    <row r="108" spans="14:14" hidden="1">
      <c r="N108" s="828"/>
    </row>
    <row r="109" spans="14:14" hidden="1">
      <c r="N109" s="828"/>
    </row>
    <row r="110" spans="14:14" hidden="1">
      <c r="N110" s="828"/>
    </row>
    <row r="111" spans="14:14" hidden="1">
      <c r="N111" s="828"/>
    </row>
    <row r="112" spans="14:14" hidden="1">
      <c r="N112" s="828"/>
    </row>
    <row r="113" spans="14:14" hidden="1">
      <c r="N113" s="828"/>
    </row>
    <row r="114" spans="14:14" hidden="1">
      <c r="N114" s="828"/>
    </row>
    <row r="115" spans="14:14" hidden="1">
      <c r="N115" s="828"/>
    </row>
    <row r="116" spans="14:14" hidden="1">
      <c r="N116" s="828"/>
    </row>
    <row r="117" spans="14:14" hidden="1">
      <c r="N117" s="828"/>
    </row>
    <row r="118" spans="14:14" hidden="1">
      <c r="N118" s="828"/>
    </row>
    <row r="119" spans="14:14" hidden="1">
      <c r="N119" s="828"/>
    </row>
    <row r="120" spans="14:14" hidden="1">
      <c r="N120" s="828"/>
    </row>
    <row r="121" spans="14:14" hidden="1">
      <c r="N121" s="828"/>
    </row>
    <row r="122" spans="14:14" hidden="1">
      <c r="N122" s="828"/>
    </row>
    <row r="123" spans="14:14" hidden="1">
      <c r="N123" s="828"/>
    </row>
    <row r="124" spans="14:14" hidden="1">
      <c r="N124" s="828"/>
    </row>
    <row r="125" spans="14:14" hidden="1">
      <c r="N125" s="828"/>
    </row>
    <row r="126" spans="14:14" hidden="1">
      <c r="N126" s="828"/>
    </row>
    <row r="127" spans="14:14" hidden="1">
      <c r="N127" s="828"/>
    </row>
    <row r="128" spans="14:14" hidden="1">
      <c r="N128" s="828"/>
    </row>
    <row r="129" spans="14:14" hidden="1">
      <c r="N129" s="828"/>
    </row>
    <row r="130" spans="14:14" hidden="1">
      <c r="N130" s="828"/>
    </row>
    <row r="131" spans="14:14" hidden="1">
      <c r="N131" s="828"/>
    </row>
    <row r="132" spans="14:14" hidden="1">
      <c r="N132" s="828"/>
    </row>
    <row r="133" spans="14:14" hidden="1">
      <c r="N133" s="828"/>
    </row>
    <row r="134" spans="14:14" hidden="1">
      <c r="N134" s="828"/>
    </row>
    <row r="135" spans="14:14" hidden="1">
      <c r="N135" s="828"/>
    </row>
    <row r="136" spans="14:14" hidden="1">
      <c r="N136" s="828"/>
    </row>
    <row r="137" spans="14:14" hidden="1">
      <c r="N137" s="828"/>
    </row>
    <row r="138" spans="14:14" hidden="1">
      <c r="N138" s="828"/>
    </row>
    <row r="139" spans="14:14" hidden="1">
      <c r="N139" s="828"/>
    </row>
    <row r="140" spans="14:14" hidden="1">
      <c r="N140" s="828"/>
    </row>
    <row r="141" spans="14:14" hidden="1">
      <c r="N141" s="828"/>
    </row>
    <row r="142" spans="14:14" hidden="1">
      <c r="N142" s="828"/>
    </row>
    <row r="143" spans="14:14" hidden="1">
      <c r="N143" s="828"/>
    </row>
    <row r="144" spans="14:14" hidden="1">
      <c r="N144" s="828"/>
    </row>
    <row r="145" spans="14:14" hidden="1">
      <c r="N145" s="828"/>
    </row>
    <row r="146" spans="14:14" hidden="1">
      <c r="N146" s="828"/>
    </row>
    <row r="147" spans="14:14" hidden="1">
      <c r="N147" s="828"/>
    </row>
    <row r="148" spans="14:14" hidden="1">
      <c r="N148" s="828"/>
    </row>
    <row r="149" spans="14:14" hidden="1">
      <c r="N149" s="828"/>
    </row>
    <row r="150" spans="14:14" hidden="1">
      <c r="N150" s="828"/>
    </row>
    <row r="151" spans="14:14" hidden="1">
      <c r="N151" s="828"/>
    </row>
    <row r="152" spans="14:14" hidden="1">
      <c r="N152" s="828"/>
    </row>
    <row r="153" spans="14:14" hidden="1">
      <c r="N153" s="828"/>
    </row>
    <row r="154" spans="14:14" hidden="1">
      <c r="N154" s="828"/>
    </row>
    <row r="155" spans="14:14" hidden="1">
      <c r="N155" s="828"/>
    </row>
    <row r="156" spans="14:14" hidden="1">
      <c r="N156" s="828"/>
    </row>
    <row r="157" spans="14:14" hidden="1">
      <c r="N157" s="828"/>
    </row>
    <row r="158" spans="14:14" hidden="1">
      <c r="N158" s="828"/>
    </row>
    <row r="159" spans="14:14" hidden="1">
      <c r="N159" s="828"/>
    </row>
    <row r="160" spans="14:14" hidden="1">
      <c r="N160" s="828"/>
    </row>
    <row r="161" spans="1:14" hidden="1">
      <c r="D161" s="118"/>
      <c r="E161" s="118"/>
      <c r="F161" s="118"/>
      <c r="G161" s="118"/>
      <c r="H161" s="118"/>
      <c r="I161" s="118"/>
      <c r="J161" s="118"/>
      <c r="K161" s="118"/>
      <c r="L161" s="118"/>
      <c r="M161" s="118"/>
      <c r="N161" s="828"/>
    </row>
    <row r="162" spans="1:14" hidden="1">
      <c r="D162" s="118"/>
      <c r="E162" s="118"/>
      <c r="F162" s="118"/>
      <c r="G162" s="118"/>
      <c r="H162" s="118"/>
      <c r="I162" s="118"/>
      <c r="J162" s="118"/>
      <c r="K162" s="118"/>
      <c r="L162" s="118"/>
      <c r="M162" s="118"/>
      <c r="N162" s="828"/>
    </row>
    <row r="163" spans="1:14" hidden="1">
      <c r="D163" s="118"/>
      <c r="E163" s="118"/>
      <c r="F163" s="118"/>
      <c r="G163" s="118"/>
      <c r="H163" s="118"/>
      <c r="I163" s="118"/>
      <c r="J163" s="118"/>
      <c r="K163" s="118"/>
      <c r="L163" s="118"/>
      <c r="M163" s="118"/>
      <c r="N163" s="828"/>
    </row>
    <row r="164" spans="1:14" hidden="1">
      <c r="D164" s="118"/>
      <c r="E164" s="118"/>
      <c r="F164" s="118"/>
      <c r="G164" s="118"/>
      <c r="H164" s="118"/>
      <c r="I164" s="118"/>
      <c r="J164" s="118"/>
      <c r="K164" s="118"/>
      <c r="L164" s="118"/>
      <c r="M164" s="118"/>
      <c r="N164" s="828"/>
    </row>
    <row r="165" spans="1:14" hidden="1">
      <c r="D165" s="118"/>
      <c r="E165" s="118"/>
      <c r="F165" s="118"/>
      <c r="G165" s="118"/>
      <c r="H165" s="118"/>
      <c r="I165" s="118"/>
      <c r="J165" s="118"/>
      <c r="K165" s="118"/>
      <c r="L165" s="118"/>
      <c r="M165" s="118"/>
      <c r="N165" s="828"/>
    </row>
    <row r="166" spans="1:14" hidden="1">
      <c r="D166" s="118"/>
      <c r="E166" s="118"/>
      <c r="F166" s="118"/>
      <c r="G166" s="118"/>
      <c r="H166" s="118"/>
      <c r="I166" s="118"/>
      <c r="J166" s="118"/>
      <c r="K166" s="118"/>
      <c r="L166" s="118"/>
      <c r="M166" s="118"/>
      <c r="N166" s="828"/>
    </row>
    <row r="167" spans="1:14" hidden="1">
      <c r="D167" s="118"/>
      <c r="E167" s="118"/>
      <c r="F167" s="118"/>
      <c r="G167" s="118"/>
      <c r="H167" s="118"/>
      <c r="I167" s="118"/>
      <c r="J167" s="118"/>
      <c r="K167" s="118"/>
      <c r="L167" s="118"/>
      <c r="M167" s="118"/>
      <c r="N167" s="828"/>
    </row>
    <row r="168" spans="1:14" hidden="1">
      <c r="D168" s="118"/>
      <c r="E168" s="118"/>
      <c r="F168" s="118"/>
      <c r="G168" s="118"/>
      <c r="H168" s="118"/>
      <c r="I168" s="118"/>
      <c r="J168" s="118"/>
      <c r="K168" s="118"/>
      <c r="L168" s="118"/>
      <c r="M168" s="118"/>
      <c r="N168" s="828"/>
    </row>
    <row r="169" spans="1:14" hidden="1">
      <c r="D169" s="118"/>
      <c r="E169" s="118"/>
      <c r="F169" s="118"/>
      <c r="G169" s="118"/>
      <c r="H169" s="118"/>
      <c r="I169" s="118"/>
      <c r="J169" s="118"/>
      <c r="K169" s="118"/>
      <c r="L169" s="118"/>
      <c r="M169" s="118"/>
      <c r="N169" s="828"/>
    </row>
    <row r="170" spans="1:14" hidden="1">
      <c r="D170" s="118"/>
      <c r="E170" s="118"/>
      <c r="F170" s="118"/>
      <c r="G170" s="118"/>
      <c r="H170" s="118"/>
      <c r="I170" s="118"/>
      <c r="J170" s="118"/>
      <c r="K170" s="118"/>
      <c r="L170" s="118"/>
      <c r="M170" s="118"/>
      <c r="N170" s="828"/>
    </row>
    <row r="171" spans="1:14" hidden="1">
      <c r="D171" s="118"/>
      <c r="E171" s="118"/>
      <c r="F171" s="118"/>
      <c r="G171" s="118"/>
      <c r="H171" s="118"/>
      <c r="I171" s="118"/>
      <c r="J171" s="118"/>
      <c r="K171" s="118"/>
      <c r="L171" s="118"/>
      <c r="M171" s="118"/>
      <c r="N171" s="828"/>
    </row>
    <row r="172" spans="1:14" ht="184.15" hidden="1" customHeight="1">
      <c r="D172" s="118"/>
      <c r="E172" s="118"/>
      <c r="F172" s="118"/>
      <c r="G172" s="118"/>
      <c r="H172" s="118"/>
      <c r="I172" s="118"/>
      <c r="J172" s="118"/>
      <c r="K172" s="118"/>
      <c r="L172" s="118"/>
      <c r="M172" s="118"/>
      <c r="N172" s="828"/>
    </row>
    <row r="173" spans="1:14" ht="8.1" customHeight="1" thickTop="1">
      <c r="A173" s="93"/>
      <c r="B173" s="93"/>
      <c r="C173" s="94"/>
      <c r="D173" s="828"/>
      <c r="E173" s="828"/>
      <c r="F173" s="828"/>
      <c r="G173" s="828"/>
      <c r="H173" s="828"/>
      <c r="I173" s="828"/>
      <c r="J173" s="828"/>
      <c r="K173" s="828"/>
      <c r="L173" s="828"/>
      <c r="M173" s="828"/>
      <c r="N173" s="828"/>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6" customWidth="1"/>
    <col min="8" max="16384" width="0" style="1" hidden="1"/>
  </cols>
  <sheetData>
    <row r="1" spans="1:7" ht="3.75" customHeight="1" thickBot="1">
      <c r="A1" s="91"/>
      <c r="B1" s="91"/>
      <c r="C1" s="91"/>
      <c r="D1" s="91"/>
      <c r="E1" s="91"/>
      <c r="F1" s="91"/>
      <c r="G1" s="91"/>
    </row>
    <row r="2" spans="1:7" ht="15" customHeight="1" thickTop="1">
      <c r="A2" s="91"/>
      <c r="B2" s="1194" t="s">
        <v>1237</v>
      </c>
      <c r="C2" s="1195"/>
      <c r="D2" s="1195"/>
      <c r="E2" s="1195"/>
      <c r="F2" s="1196"/>
      <c r="G2" s="91"/>
    </row>
    <row r="3" spans="1:7" ht="29.45" customHeight="1" thickBot="1">
      <c r="A3" s="91"/>
      <c r="B3" s="1197"/>
      <c r="C3" s="1198"/>
      <c r="D3" s="1198"/>
      <c r="E3" s="1198"/>
      <c r="F3" s="1199"/>
      <c r="G3" s="92"/>
    </row>
    <row r="4" spans="1:7" ht="36.75" customHeight="1" thickTop="1">
      <c r="A4" s="91"/>
      <c r="B4" s="347"/>
      <c r="C4" s="348"/>
      <c r="D4" s="4"/>
      <c r="E4" s="349" t="e">
        <f>IF(ISBLANK('Start Page'!#REF!),"","All Units in "&amp;'Start Page'!#REF!)</f>
        <v>#REF!</v>
      </c>
      <c r="F4" s="350"/>
      <c r="G4" s="92"/>
    </row>
    <row r="5" spans="1:7" ht="36.75" customHeight="1">
      <c r="A5" s="91"/>
      <c r="B5" s="347"/>
      <c r="C5" s="348"/>
      <c r="D5" s="4"/>
      <c r="E5" s="349"/>
      <c r="F5" s="350"/>
      <c r="G5" s="92"/>
    </row>
    <row r="6" spans="1:7" ht="36.75" customHeight="1">
      <c r="A6" s="91"/>
      <c r="B6" s="347"/>
      <c r="C6" s="348"/>
      <c r="D6" s="4"/>
      <c r="E6" s="349"/>
      <c r="F6" s="350"/>
      <c r="G6" s="92"/>
    </row>
    <row r="7" spans="1:7" ht="36.75" customHeight="1">
      <c r="A7" s="91"/>
      <c r="B7" s="347"/>
      <c r="C7" s="348"/>
      <c r="D7" s="4"/>
      <c r="E7" s="349"/>
      <c r="F7" s="350"/>
      <c r="G7" s="92"/>
    </row>
    <row r="8" spans="1:7" ht="36.75" customHeight="1">
      <c r="A8" s="91"/>
      <c r="B8" s="347"/>
      <c r="C8" s="348"/>
      <c r="D8" s="4"/>
      <c r="E8" s="349"/>
      <c r="F8" s="350"/>
      <c r="G8" s="92"/>
    </row>
    <row r="9" spans="1:7" ht="36.75" customHeight="1">
      <c r="A9" s="91"/>
      <c r="B9" s="347"/>
      <c r="C9" s="348"/>
      <c r="D9" s="4"/>
      <c r="E9" s="349"/>
      <c r="F9" s="350"/>
      <c r="G9" s="92"/>
    </row>
    <row r="10" spans="1:7" ht="36.75" customHeight="1">
      <c r="A10" s="91"/>
      <c r="B10" s="347"/>
      <c r="C10" s="348"/>
      <c r="D10" s="4"/>
      <c r="E10" s="349"/>
      <c r="F10" s="350"/>
      <c r="G10" s="92"/>
    </row>
    <row r="11" spans="1:7" ht="36.75" customHeight="1">
      <c r="A11" s="91"/>
      <c r="B11" s="347"/>
      <c r="C11" s="348"/>
      <c r="D11" s="4"/>
      <c r="E11" s="349"/>
      <c r="F11" s="350"/>
      <c r="G11" s="92"/>
    </row>
    <row r="12" spans="1:7" ht="36.75" customHeight="1">
      <c r="A12" s="91"/>
      <c r="B12" s="347"/>
      <c r="C12" s="348"/>
      <c r="D12" s="4"/>
      <c r="E12" s="349"/>
      <c r="F12" s="350"/>
      <c r="G12" s="92"/>
    </row>
    <row r="13" spans="1:7" ht="36.75" customHeight="1">
      <c r="A13" s="91"/>
      <c r="B13" s="347"/>
      <c r="C13" s="348"/>
      <c r="D13" s="4"/>
      <c r="E13" s="349"/>
      <c r="F13" s="350"/>
      <c r="G13" s="92"/>
    </row>
    <row r="14" spans="1:7" ht="36.75" customHeight="1">
      <c r="A14" s="91"/>
      <c r="B14" s="347"/>
      <c r="C14" s="348"/>
      <c r="D14" s="4"/>
      <c r="E14" s="349"/>
      <c r="F14" s="350"/>
      <c r="G14" s="92"/>
    </row>
    <row r="15" spans="1:7" ht="36.75" customHeight="1">
      <c r="A15" s="91"/>
      <c r="B15" s="347"/>
      <c r="C15" s="348"/>
      <c r="D15" s="4"/>
      <c r="E15" s="349"/>
      <c r="F15" s="350"/>
      <c r="G15" s="92"/>
    </row>
    <row r="16" spans="1:7" ht="36.75" customHeight="1">
      <c r="A16" s="91"/>
      <c r="B16" s="347"/>
      <c r="C16" s="348"/>
      <c r="D16" s="4"/>
      <c r="E16" s="349"/>
      <c r="F16" s="350"/>
      <c r="G16" s="92"/>
    </row>
    <row r="17" spans="1:7" ht="36.75" customHeight="1">
      <c r="A17" s="91"/>
      <c r="B17" s="347"/>
      <c r="C17" s="348"/>
      <c r="D17" s="4"/>
      <c r="E17" s="349"/>
      <c r="F17" s="350"/>
      <c r="G17" s="92"/>
    </row>
    <row r="18" spans="1:7" ht="36.75" customHeight="1">
      <c r="A18" s="91"/>
      <c r="B18" s="347"/>
      <c r="C18" s="348"/>
      <c r="D18" s="4"/>
      <c r="E18" s="349"/>
      <c r="F18" s="350"/>
      <c r="G18" s="92"/>
    </row>
    <row r="19" spans="1:7" ht="36.75" customHeight="1">
      <c r="A19" s="91"/>
      <c r="B19" s="347"/>
      <c r="C19" s="348"/>
      <c r="D19" s="4"/>
      <c r="E19" s="349"/>
      <c r="F19" s="350"/>
      <c r="G19" s="92"/>
    </row>
    <row r="20" spans="1:7" ht="36.75" customHeight="1">
      <c r="A20" s="91"/>
      <c r="B20" s="347"/>
      <c r="C20" s="348"/>
      <c r="D20" s="4"/>
      <c r="E20" s="349"/>
      <c r="F20" s="350"/>
      <c r="G20" s="92"/>
    </row>
    <row r="21" spans="1:7" ht="36.75" customHeight="1">
      <c r="A21" s="91"/>
      <c r="B21" s="347"/>
      <c r="C21" s="348"/>
      <c r="D21" s="4"/>
      <c r="E21" s="349"/>
      <c r="F21" s="350"/>
      <c r="G21" s="92"/>
    </row>
    <row r="22" spans="1:7" ht="36.75" customHeight="1">
      <c r="A22" s="91"/>
      <c r="B22" s="347"/>
      <c r="C22" s="348"/>
      <c r="D22" s="4"/>
      <c r="E22" s="349"/>
      <c r="F22" s="350"/>
      <c r="G22" s="92"/>
    </row>
    <row r="23" spans="1:7" ht="36.75" customHeight="1">
      <c r="A23" s="91"/>
      <c r="B23" s="347"/>
      <c r="C23" s="348"/>
      <c r="D23" s="4"/>
      <c r="E23" s="349"/>
      <c r="F23" s="350"/>
      <c r="G23" s="92"/>
    </row>
    <row r="24" spans="1:7" ht="5.25" customHeight="1" thickBot="1">
      <c r="A24" s="91"/>
      <c r="B24" s="351"/>
      <c r="C24" s="352"/>
      <c r="D24" s="353"/>
      <c r="E24" s="354"/>
      <c r="F24" s="355"/>
      <c r="G24" s="9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0" customWidth="1"/>
    <col min="20" max="20" width="1.5703125" style="6" customWidth="1"/>
    <col min="21" max="21" width="2.140625" style="39" hidden="1" customWidth="1"/>
    <col min="22" max="22" width="3" style="39" hidden="1" customWidth="1"/>
    <col min="23" max="255" width="0" style="1" hidden="1" customWidth="1"/>
    <col min="256" max="16384" width="3.140625" style="1" hidden="1"/>
  </cols>
  <sheetData>
    <row r="1" spans="1:22" ht="8.25" customHeight="1" thickBot="1">
      <c r="A1" s="96"/>
      <c r="B1" s="96"/>
      <c r="C1" s="91"/>
      <c r="D1" s="91"/>
      <c r="E1" s="91"/>
      <c r="F1" s="91"/>
      <c r="G1" s="91"/>
      <c r="H1" s="91"/>
      <c r="I1" s="91"/>
      <c r="J1" s="91"/>
      <c r="K1" s="91"/>
      <c r="L1" s="91"/>
      <c r="M1" s="91"/>
      <c r="N1" s="91"/>
      <c r="O1" s="91"/>
      <c r="P1" s="91"/>
      <c r="Q1" s="91"/>
      <c r="R1" s="91"/>
      <c r="S1" s="97"/>
      <c r="T1" s="91"/>
    </row>
    <row r="2" spans="1:22" ht="42" customHeight="1" thickTop="1">
      <c r="A2" s="96"/>
      <c r="B2" s="1112" t="s">
        <v>1238</v>
      </c>
      <c r="C2" s="1113"/>
      <c r="D2" s="1113"/>
      <c r="E2" s="1113"/>
      <c r="F2" s="1113"/>
      <c r="G2" s="1113"/>
      <c r="H2" s="1113"/>
      <c r="I2" s="1113"/>
      <c r="J2" s="1113"/>
      <c r="K2" s="1113"/>
      <c r="L2" s="1113"/>
      <c r="M2" s="1113"/>
      <c r="N2" s="1113"/>
      <c r="O2" s="1113"/>
      <c r="P2" s="1113"/>
      <c r="Q2" s="1113"/>
      <c r="R2" s="1113"/>
      <c r="S2" s="1114"/>
      <c r="T2" s="91"/>
    </row>
    <row r="3" spans="1:22" ht="8.25" customHeight="1" thickBot="1">
      <c r="A3" s="96"/>
      <c r="B3" s="322"/>
      <c r="C3" s="356"/>
      <c r="D3" s="356"/>
      <c r="E3" s="356"/>
      <c r="F3" s="356"/>
      <c r="S3" s="323"/>
      <c r="T3" s="91"/>
    </row>
    <row r="4" spans="1:22" s="41" customFormat="1" ht="79.5" customHeight="1" thickBot="1">
      <c r="A4" s="828"/>
      <c r="B4" s="904"/>
      <c r="C4" s="1216" t="s">
        <v>1239</v>
      </c>
      <c r="D4" s="1217"/>
      <c r="E4" s="1217"/>
      <c r="F4" s="1217"/>
      <c r="G4" s="1217"/>
      <c r="H4" s="1217"/>
      <c r="I4" s="1217"/>
      <c r="J4" s="1217"/>
      <c r="K4" s="1217"/>
      <c r="L4" s="1217"/>
      <c r="M4" s="1217"/>
      <c r="N4" s="1217"/>
      <c r="O4" s="1217"/>
      <c r="P4" s="1217"/>
      <c r="Q4" s="1217"/>
      <c r="R4" s="1218"/>
      <c r="S4" s="893"/>
      <c r="T4" s="828"/>
      <c r="U4" s="907"/>
      <c r="V4" s="907"/>
    </row>
    <row r="5" spans="1:22" s="41" customFormat="1" ht="7.5" customHeight="1" thickBot="1">
      <c r="A5" s="828"/>
      <c r="B5" s="904"/>
      <c r="C5" s="357"/>
      <c r="D5" s="118"/>
      <c r="E5" s="118"/>
      <c r="F5" s="118"/>
      <c r="G5" s="118"/>
      <c r="H5" s="118"/>
      <c r="I5" s="118"/>
      <c r="J5" s="118"/>
      <c r="K5" s="118"/>
      <c r="L5" s="118"/>
      <c r="M5" s="118"/>
      <c r="N5" s="118"/>
      <c r="O5" s="118"/>
      <c r="P5" s="118"/>
      <c r="Q5" s="118"/>
      <c r="R5" s="118"/>
      <c r="S5" s="893"/>
      <c r="T5" s="828"/>
      <c r="U5" s="907"/>
      <c r="V5" s="907"/>
    </row>
    <row r="6" spans="1:22" s="41" customFormat="1" ht="62.1" customHeight="1" thickBot="1">
      <c r="A6" s="828"/>
      <c r="B6" s="904"/>
      <c r="C6" s="1219" t="s">
        <v>1240</v>
      </c>
      <c r="D6" s="1220"/>
      <c r="E6" s="1220"/>
      <c r="F6" s="1220"/>
      <c r="G6" s="1220"/>
      <c r="H6" s="1220"/>
      <c r="I6" s="1220"/>
      <c r="J6" s="1220"/>
      <c r="K6" s="1220"/>
      <c r="L6" s="1220"/>
      <c r="M6" s="1220"/>
      <c r="N6" s="1220"/>
      <c r="O6" s="1220"/>
      <c r="P6" s="1220"/>
      <c r="Q6" s="1220"/>
      <c r="R6" s="1221"/>
      <c r="S6" s="893"/>
      <c r="T6" s="828"/>
      <c r="U6" s="907"/>
      <c r="V6" s="907"/>
    </row>
    <row r="7" spans="1:22" s="41" customFormat="1" ht="8.25" customHeight="1" thickBot="1">
      <c r="A7" s="828"/>
      <c r="B7" s="904"/>
      <c r="C7" s="205"/>
      <c r="D7" s="205"/>
      <c r="E7" s="205"/>
      <c r="F7" s="205"/>
      <c r="G7" s="118"/>
      <c r="H7" s="118"/>
      <c r="I7" s="118"/>
      <c r="J7" s="118"/>
      <c r="K7" s="118"/>
      <c r="L7" s="118"/>
      <c r="M7" s="118"/>
      <c r="N7" s="118"/>
      <c r="O7" s="118"/>
      <c r="P7" s="118"/>
      <c r="Q7" s="118"/>
      <c r="R7" s="118"/>
      <c r="S7" s="893"/>
      <c r="T7" s="828"/>
      <c r="U7" s="907"/>
      <c r="V7" s="907"/>
    </row>
    <row r="8" spans="1:22" s="41" customFormat="1" ht="15">
      <c r="A8" s="828"/>
      <c r="B8" s="904"/>
      <c r="C8" s="738" t="s">
        <v>1241</v>
      </c>
      <c r="D8" s="739" t="s">
        <v>1242</v>
      </c>
      <c r="E8" s="358"/>
      <c r="F8" s="358" t="s">
        <v>1243</v>
      </c>
      <c r="G8" s="834"/>
      <c r="H8" s="739" t="s">
        <v>1244</v>
      </c>
      <c r="I8" s="834"/>
      <c r="J8" s="834"/>
      <c r="K8" s="834"/>
      <c r="L8" s="834"/>
      <c r="M8" s="834"/>
      <c r="N8" s="834"/>
      <c r="O8" s="834"/>
      <c r="P8" s="834"/>
      <c r="Q8" s="834"/>
      <c r="R8" s="846"/>
      <c r="S8" s="893"/>
      <c r="T8" s="828"/>
      <c r="U8" s="907"/>
      <c r="V8" s="907"/>
    </row>
    <row r="9" spans="1:22" s="41" customFormat="1" ht="15">
      <c r="A9" s="828"/>
      <c r="B9" s="904"/>
      <c r="C9" s="740"/>
      <c r="D9" s="193" t="s">
        <v>1245</v>
      </c>
      <c r="E9" s="193"/>
      <c r="F9" s="118"/>
      <c r="G9" s="118"/>
      <c r="H9" s="193" t="s">
        <v>1246</v>
      </c>
      <c r="I9" s="193"/>
      <c r="J9" s="118"/>
      <c r="K9" s="118"/>
      <c r="L9" s="118"/>
      <c r="M9" s="118"/>
      <c r="N9" s="118"/>
      <c r="O9" s="118"/>
      <c r="P9" s="118"/>
      <c r="Q9" s="118"/>
      <c r="R9" s="836"/>
      <c r="S9" s="893"/>
      <c r="T9" s="828"/>
      <c r="U9" s="907"/>
      <c r="V9" s="907"/>
    </row>
    <row r="10" spans="1:22" s="41" customFormat="1" ht="15">
      <c r="A10" s="828"/>
      <c r="B10" s="904"/>
      <c r="C10" s="740"/>
      <c r="D10" s="193" t="s">
        <v>1247</v>
      </c>
      <c r="E10" s="193"/>
      <c r="F10" s="118"/>
      <c r="G10" s="118"/>
      <c r="H10" s="193" t="s">
        <v>1248</v>
      </c>
      <c r="I10" s="193"/>
      <c r="J10" s="118"/>
      <c r="K10" s="118"/>
      <c r="L10" s="118"/>
      <c r="M10" s="118"/>
      <c r="N10" s="118"/>
      <c r="O10" s="118"/>
      <c r="P10" s="118"/>
      <c r="Q10" s="118"/>
      <c r="R10" s="836"/>
      <c r="S10" s="893"/>
      <c r="T10" s="828"/>
      <c r="U10" s="907"/>
      <c r="V10" s="907"/>
    </row>
    <row r="11" spans="1:22" s="41" customFormat="1" ht="15">
      <c r="A11" s="828"/>
      <c r="B11" s="904"/>
      <c r="C11" s="740"/>
      <c r="D11" s="193" t="s">
        <v>1249</v>
      </c>
      <c r="E11" s="193"/>
      <c r="F11" s="118"/>
      <c r="G11" s="118"/>
      <c r="H11" s="193" t="s">
        <v>1250</v>
      </c>
      <c r="I11" s="193"/>
      <c r="J11" s="118"/>
      <c r="K11" s="118"/>
      <c r="L11" s="118"/>
      <c r="M11" s="118"/>
      <c r="N11" s="118"/>
      <c r="O11" s="118"/>
      <c r="P11" s="118"/>
      <c r="Q11" s="118"/>
      <c r="R11" s="836"/>
      <c r="S11" s="893"/>
      <c r="T11" s="828"/>
      <c r="U11" s="907"/>
      <c r="V11" s="907"/>
    </row>
    <row r="12" spans="1:22" s="41" customFormat="1" ht="15">
      <c r="A12" s="828"/>
      <c r="B12" s="904"/>
      <c r="C12" s="740"/>
      <c r="D12" s="193" t="s">
        <v>1251</v>
      </c>
      <c r="E12" s="193"/>
      <c r="F12" s="118"/>
      <c r="G12" s="118"/>
      <c r="H12" s="193" t="s">
        <v>1246</v>
      </c>
      <c r="I12" s="193"/>
      <c r="J12" s="118"/>
      <c r="K12" s="118"/>
      <c r="L12" s="118"/>
      <c r="M12" s="118"/>
      <c r="N12" s="118"/>
      <c r="O12" s="118"/>
      <c r="P12" s="118"/>
      <c r="Q12" s="118"/>
      <c r="R12" s="836"/>
      <c r="S12" s="893"/>
      <c r="T12" s="828"/>
      <c r="U12" s="907"/>
      <c r="V12" s="907"/>
    </row>
    <row r="13" spans="1:22" s="41" customFormat="1" ht="6.6" customHeight="1">
      <c r="A13" s="828"/>
      <c r="B13" s="904"/>
      <c r="C13" s="359"/>
      <c r="D13" s="558"/>
      <c r="E13" s="558"/>
      <c r="F13" s="558"/>
      <c r="G13" s="558"/>
      <c r="H13" s="558"/>
      <c r="I13" s="193"/>
      <c r="J13" s="118"/>
      <c r="K13" s="118"/>
      <c r="L13" s="118"/>
      <c r="M13" s="118"/>
      <c r="N13" s="118"/>
      <c r="O13" s="118"/>
      <c r="P13" s="118"/>
      <c r="Q13" s="118"/>
      <c r="R13" s="836"/>
      <c r="S13" s="893"/>
      <c r="T13" s="828"/>
      <c r="U13" s="907"/>
      <c r="V13" s="907"/>
    </row>
    <row r="14" spans="1:22" s="41" customFormat="1" ht="6" customHeight="1">
      <c r="A14" s="828"/>
      <c r="B14" s="904"/>
      <c r="C14" s="359"/>
      <c r="D14" s="118"/>
      <c r="E14" s="118"/>
      <c r="F14" s="118"/>
      <c r="G14" s="118"/>
      <c r="H14" s="118"/>
      <c r="I14" s="118"/>
      <c r="J14" s="118"/>
      <c r="K14" s="118"/>
      <c r="L14" s="118"/>
      <c r="M14" s="118"/>
      <c r="N14" s="118"/>
      <c r="O14" s="118"/>
      <c r="P14" s="118"/>
      <c r="Q14" s="118"/>
      <c r="R14" s="836"/>
      <c r="S14" s="893"/>
      <c r="T14" s="828"/>
      <c r="U14" s="907"/>
      <c r="V14" s="907"/>
    </row>
    <row r="15" spans="1:22" s="41" customFormat="1" ht="13.5" customHeight="1">
      <c r="A15" s="828"/>
      <c r="B15" s="904"/>
      <c r="C15" s="359"/>
      <c r="D15" s="1200" t="s">
        <v>1252</v>
      </c>
      <c r="E15" s="1200"/>
      <c r="F15" s="1200"/>
      <c r="G15" s="1200"/>
      <c r="H15" s="1200"/>
      <c r="I15" s="1200"/>
      <c r="J15" s="1200"/>
      <c r="K15" s="1200"/>
      <c r="L15" s="1200"/>
      <c r="M15" s="1200"/>
      <c r="N15" s="1200"/>
      <c r="O15" s="1200"/>
      <c r="P15" s="1200"/>
      <c r="Q15" s="1200"/>
      <c r="R15" s="836"/>
      <c r="S15" s="893"/>
      <c r="T15" s="828"/>
      <c r="U15" s="907"/>
      <c r="V15" s="907"/>
    </row>
    <row r="16" spans="1:22" s="41" customFormat="1" ht="12.75" hidden="1" customHeight="1">
      <c r="A16" s="828"/>
      <c r="B16" s="904"/>
      <c r="C16" s="359"/>
      <c r="D16" s="1200"/>
      <c r="E16" s="1200"/>
      <c r="F16" s="1200"/>
      <c r="G16" s="1200"/>
      <c r="H16" s="1200"/>
      <c r="I16" s="1200"/>
      <c r="J16" s="1200"/>
      <c r="K16" s="1200"/>
      <c r="L16" s="1200"/>
      <c r="M16" s="1200"/>
      <c r="N16" s="1200"/>
      <c r="O16" s="1200"/>
      <c r="P16" s="1200"/>
      <c r="Q16" s="1200"/>
      <c r="R16" s="836"/>
      <c r="S16" s="893"/>
      <c r="T16" s="828"/>
      <c r="U16" s="907"/>
      <c r="V16" s="907"/>
    </row>
    <row r="17" spans="1:22" s="41" customFormat="1" ht="23.45" customHeight="1" thickBot="1">
      <c r="A17" s="828"/>
      <c r="B17" s="904"/>
      <c r="C17" s="360"/>
      <c r="D17" s="1201"/>
      <c r="E17" s="1201"/>
      <c r="F17" s="1201"/>
      <c r="G17" s="1201"/>
      <c r="H17" s="1201"/>
      <c r="I17" s="1201"/>
      <c r="J17" s="1201"/>
      <c r="K17" s="1201"/>
      <c r="L17" s="1201"/>
      <c r="M17" s="1201"/>
      <c r="N17" s="1201"/>
      <c r="O17" s="1201"/>
      <c r="P17" s="1201"/>
      <c r="Q17" s="1201"/>
      <c r="R17" s="908"/>
      <c r="S17" s="893"/>
      <c r="T17" s="828"/>
      <c r="U17" s="907"/>
      <c r="V17" s="907"/>
    </row>
    <row r="18" spans="1:22" s="41" customFormat="1" ht="8.25" customHeight="1" thickBot="1">
      <c r="A18" s="828"/>
      <c r="B18" s="904"/>
      <c r="C18" s="118"/>
      <c r="D18" s="118"/>
      <c r="E18" s="118"/>
      <c r="F18" s="118"/>
      <c r="G18" s="118"/>
      <c r="H18" s="118"/>
      <c r="I18" s="118"/>
      <c r="J18" s="118"/>
      <c r="K18" s="118"/>
      <c r="L18" s="118"/>
      <c r="M18" s="118"/>
      <c r="N18" s="118"/>
      <c r="O18" s="118"/>
      <c r="P18" s="118"/>
      <c r="Q18" s="118"/>
      <c r="R18" s="118"/>
      <c r="S18" s="893"/>
      <c r="T18" s="828"/>
      <c r="U18" s="907"/>
      <c r="V18" s="907"/>
    </row>
    <row r="19" spans="1:22" s="41" customFormat="1" ht="13.5" customHeight="1">
      <c r="A19" s="828"/>
      <c r="B19" s="904"/>
      <c r="C19" s="725" t="s">
        <v>1253</v>
      </c>
      <c r="D19" s="1214"/>
      <c r="E19" s="1214"/>
      <c r="F19" s="1214"/>
      <c r="G19" s="1214"/>
      <c r="H19" s="1214"/>
      <c r="I19" s="1214"/>
      <c r="J19" s="1214"/>
      <c r="K19" s="1214"/>
      <c r="L19" s="1214"/>
      <c r="M19" s="1214"/>
      <c r="N19" s="1214"/>
      <c r="O19" s="1214"/>
      <c r="P19" s="1214"/>
      <c r="Q19" s="1214"/>
      <c r="R19" s="1215"/>
      <c r="S19" s="893"/>
      <c r="T19" s="828"/>
      <c r="U19" s="907"/>
      <c r="V19" s="907"/>
    </row>
    <row r="20" spans="1:22" s="87" customFormat="1" ht="36.4" customHeight="1">
      <c r="A20" s="909"/>
      <c r="B20" s="910"/>
      <c r="C20" s="1202" t="s">
        <v>1254</v>
      </c>
      <c r="D20" s="1203"/>
      <c r="E20" s="1203"/>
      <c r="F20" s="1203"/>
      <c r="G20" s="1203"/>
      <c r="H20" s="1203"/>
      <c r="I20" s="1203"/>
      <c r="J20" s="1203"/>
      <c r="K20" s="1203"/>
      <c r="L20" s="1203"/>
      <c r="M20" s="1203"/>
      <c r="N20" s="1203"/>
      <c r="O20" s="1203"/>
      <c r="P20" s="1203"/>
      <c r="Q20" s="1203"/>
      <c r="R20" s="1204"/>
      <c r="S20" s="894"/>
      <c r="T20" s="909"/>
      <c r="U20" s="911"/>
      <c r="V20" s="911"/>
    </row>
    <row r="21" spans="1:22" s="87" customFormat="1" ht="15" customHeight="1">
      <c r="A21" s="909"/>
      <c r="B21" s="910"/>
      <c r="C21" s="1202" t="s">
        <v>1255</v>
      </c>
      <c r="D21" s="1203"/>
      <c r="E21" s="1203"/>
      <c r="F21" s="1203"/>
      <c r="G21" s="1203"/>
      <c r="H21" s="1203"/>
      <c r="I21" s="1203"/>
      <c r="J21" s="1203"/>
      <c r="K21" s="1203"/>
      <c r="L21" s="1203"/>
      <c r="M21" s="1203"/>
      <c r="N21" s="1203"/>
      <c r="O21" s="1203"/>
      <c r="P21" s="1203"/>
      <c r="Q21" s="1203"/>
      <c r="R21" s="1204"/>
      <c r="S21" s="894"/>
      <c r="T21" s="909"/>
      <c r="U21" s="911"/>
      <c r="V21" s="911"/>
    </row>
    <row r="22" spans="1:22" s="87" customFormat="1" ht="15" customHeight="1">
      <c r="A22" s="909"/>
      <c r="B22" s="910"/>
      <c r="C22" s="1202" t="s">
        <v>1256</v>
      </c>
      <c r="D22" s="1203"/>
      <c r="E22" s="1203"/>
      <c r="F22" s="1203"/>
      <c r="G22" s="1203"/>
      <c r="H22" s="1203"/>
      <c r="I22" s="1203"/>
      <c r="J22" s="1203"/>
      <c r="K22" s="1203"/>
      <c r="L22" s="1203"/>
      <c r="M22" s="1203"/>
      <c r="N22" s="1203"/>
      <c r="O22" s="1203"/>
      <c r="P22" s="1203"/>
      <c r="Q22" s="1203"/>
      <c r="R22" s="1204"/>
      <c r="S22" s="894"/>
      <c r="T22" s="909"/>
      <c r="U22" s="911"/>
      <c r="V22" s="911"/>
    </row>
    <row r="23" spans="1:22" s="87" customFormat="1" ht="15" customHeight="1">
      <c r="A23" s="909"/>
      <c r="B23" s="910"/>
      <c r="C23" s="1202" t="s">
        <v>1257</v>
      </c>
      <c r="D23" s="1203"/>
      <c r="E23" s="1203"/>
      <c r="F23" s="1203"/>
      <c r="G23" s="1203"/>
      <c r="H23" s="1203"/>
      <c r="I23" s="1203"/>
      <c r="J23" s="1203"/>
      <c r="K23" s="1203"/>
      <c r="L23" s="1203"/>
      <c r="M23" s="1203"/>
      <c r="N23" s="1203"/>
      <c r="O23" s="1203"/>
      <c r="P23" s="1203"/>
      <c r="Q23" s="1203"/>
      <c r="R23" s="1204"/>
      <c r="S23" s="894"/>
      <c r="T23" s="909"/>
      <c r="U23" s="911"/>
      <c r="V23" s="911"/>
    </row>
    <row r="24" spans="1:22" s="87" customFormat="1" ht="15" customHeight="1">
      <c r="A24" s="909"/>
      <c r="B24" s="910"/>
      <c r="C24" s="1202" t="s">
        <v>1258</v>
      </c>
      <c r="D24" s="1203"/>
      <c r="E24" s="1203"/>
      <c r="F24" s="1203"/>
      <c r="G24" s="1203"/>
      <c r="H24" s="1203"/>
      <c r="I24" s="1203"/>
      <c r="J24" s="1203"/>
      <c r="K24" s="1203"/>
      <c r="L24" s="1203"/>
      <c r="M24" s="1203"/>
      <c r="N24" s="1203"/>
      <c r="O24" s="1203"/>
      <c r="P24" s="1203"/>
      <c r="Q24" s="1203"/>
      <c r="R24" s="1204"/>
      <c r="S24" s="894"/>
      <c r="T24" s="909"/>
      <c r="U24" s="911"/>
      <c r="V24" s="911"/>
    </row>
    <row r="25" spans="1:22" s="87" customFormat="1" ht="15" customHeight="1">
      <c r="A25" s="909"/>
      <c r="B25" s="910"/>
      <c r="C25" s="1202" t="s">
        <v>1259</v>
      </c>
      <c r="D25" s="1203"/>
      <c r="E25" s="1203"/>
      <c r="F25" s="1203"/>
      <c r="G25" s="1203"/>
      <c r="H25" s="1203"/>
      <c r="I25" s="1203"/>
      <c r="J25" s="1203"/>
      <c r="K25" s="1203"/>
      <c r="L25" s="1203"/>
      <c r="M25" s="1203"/>
      <c r="N25" s="1203"/>
      <c r="O25" s="1203"/>
      <c r="P25" s="1203"/>
      <c r="Q25" s="1203"/>
      <c r="R25" s="1204"/>
      <c r="S25" s="894"/>
      <c r="T25" s="909"/>
      <c r="U25" s="911"/>
      <c r="V25" s="911"/>
    </row>
    <row r="26" spans="1:22" s="87" customFormat="1" ht="15" customHeight="1">
      <c r="A26" s="909"/>
      <c r="B26" s="910"/>
      <c r="C26" s="1202" t="s">
        <v>1260</v>
      </c>
      <c r="D26" s="1203"/>
      <c r="E26" s="1203"/>
      <c r="F26" s="1203"/>
      <c r="G26" s="1203"/>
      <c r="H26" s="1203"/>
      <c r="I26" s="1203"/>
      <c r="J26" s="1203"/>
      <c r="K26" s="1203"/>
      <c r="L26" s="1203"/>
      <c r="M26" s="1203"/>
      <c r="N26" s="1203"/>
      <c r="O26" s="1203"/>
      <c r="P26" s="1203"/>
      <c r="Q26" s="1203"/>
      <c r="R26" s="1204"/>
      <c r="S26" s="894"/>
      <c r="T26" s="909"/>
      <c r="U26" s="911"/>
      <c r="V26" s="911"/>
    </row>
    <row r="27" spans="1:22" s="87" customFormat="1" ht="15" customHeight="1">
      <c r="A27" s="909"/>
      <c r="B27" s="910"/>
      <c r="C27" s="1202" t="s">
        <v>1261</v>
      </c>
      <c r="D27" s="1203"/>
      <c r="E27" s="1203"/>
      <c r="F27" s="1203"/>
      <c r="G27" s="1203"/>
      <c r="H27" s="1203"/>
      <c r="I27" s="1203"/>
      <c r="J27" s="1203"/>
      <c r="K27" s="1203"/>
      <c r="L27" s="1203"/>
      <c r="M27" s="1203"/>
      <c r="N27" s="1203"/>
      <c r="O27" s="1203"/>
      <c r="P27" s="1203"/>
      <c r="Q27" s="1203"/>
      <c r="R27" s="1204"/>
      <c r="S27" s="894"/>
      <c r="T27" s="909"/>
      <c r="U27" s="911"/>
      <c r="V27" s="911"/>
    </row>
    <row r="28" spans="1:22" s="87" customFormat="1" ht="15" customHeight="1">
      <c r="A28" s="909"/>
      <c r="B28" s="910"/>
      <c r="C28" s="1202" t="s">
        <v>1262</v>
      </c>
      <c r="D28" s="1203"/>
      <c r="E28" s="1203"/>
      <c r="F28" s="1203"/>
      <c r="G28" s="1203"/>
      <c r="H28" s="1203"/>
      <c r="I28" s="1203"/>
      <c r="J28" s="1203"/>
      <c r="K28" s="1203"/>
      <c r="L28" s="1203"/>
      <c r="M28" s="1203"/>
      <c r="N28" s="1203"/>
      <c r="O28" s="1203"/>
      <c r="P28" s="1203"/>
      <c r="Q28" s="1203"/>
      <c r="R28" s="1204"/>
      <c r="S28" s="894"/>
      <c r="T28" s="909"/>
      <c r="U28" s="911"/>
      <c r="V28" s="911"/>
    </row>
    <row r="29" spans="1:22" s="87" customFormat="1" ht="15" customHeight="1">
      <c r="A29" s="909"/>
      <c r="B29" s="910"/>
      <c r="C29" s="1202" t="s">
        <v>1263</v>
      </c>
      <c r="D29" s="1203"/>
      <c r="E29" s="1203"/>
      <c r="F29" s="1203"/>
      <c r="G29" s="1203"/>
      <c r="H29" s="1203"/>
      <c r="I29" s="1203"/>
      <c r="J29" s="1203"/>
      <c r="K29" s="1203"/>
      <c r="L29" s="1203"/>
      <c r="M29" s="1203"/>
      <c r="N29" s="1203"/>
      <c r="O29" s="1203"/>
      <c r="P29" s="1203"/>
      <c r="Q29" s="1203"/>
      <c r="R29" s="1204"/>
      <c r="S29" s="894"/>
      <c r="T29" s="909"/>
      <c r="U29" s="911"/>
      <c r="V29" s="911"/>
    </row>
    <row r="30" spans="1:22" s="87" customFormat="1" ht="27.4" customHeight="1" thickBot="1">
      <c r="A30" s="909"/>
      <c r="B30" s="910"/>
      <c r="C30" s="1222" t="s">
        <v>1264</v>
      </c>
      <c r="D30" s="1223"/>
      <c r="E30" s="1223"/>
      <c r="F30" s="1223"/>
      <c r="G30" s="1223"/>
      <c r="H30" s="1223"/>
      <c r="I30" s="1223"/>
      <c r="J30" s="1223"/>
      <c r="K30" s="1223"/>
      <c r="L30" s="1223"/>
      <c r="M30" s="1223"/>
      <c r="N30" s="1223"/>
      <c r="O30" s="1223"/>
      <c r="P30" s="1223"/>
      <c r="Q30" s="1223"/>
      <c r="R30" s="1224"/>
      <c r="S30" s="894"/>
      <c r="T30" s="909"/>
      <c r="U30" s="911"/>
      <c r="V30" s="911"/>
    </row>
    <row r="31" spans="1:22" s="41" customFormat="1" ht="8.25" customHeight="1" thickBot="1">
      <c r="A31" s="828"/>
      <c r="B31" s="904"/>
      <c r="C31" s="118"/>
      <c r="D31" s="118"/>
      <c r="E31" s="118"/>
      <c r="F31" s="118"/>
      <c r="G31" s="118"/>
      <c r="H31" s="118"/>
      <c r="I31" s="118"/>
      <c r="J31" s="118"/>
      <c r="K31" s="118"/>
      <c r="L31" s="118"/>
      <c r="M31" s="118"/>
      <c r="N31" s="118"/>
      <c r="O31" s="118"/>
      <c r="P31" s="118"/>
      <c r="Q31" s="118"/>
      <c r="R31" s="118"/>
      <c r="S31" s="893"/>
      <c r="T31" s="828"/>
      <c r="U31" s="907"/>
      <c r="V31" s="907"/>
    </row>
    <row r="32" spans="1:22" s="41" customFormat="1" ht="24" customHeight="1">
      <c r="A32" s="828"/>
      <c r="B32" s="904"/>
      <c r="C32" s="726" t="s">
        <v>1265</v>
      </c>
      <c r="D32" s="818"/>
      <c r="E32" s="818"/>
      <c r="F32" s="818"/>
      <c r="G32" s="818"/>
      <c r="H32" s="818"/>
      <c r="I32" s="818"/>
      <c r="J32" s="818"/>
      <c r="K32" s="818"/>
      <c r="L32" s="818"/>
      <c r="M32" s="818"/>
      <c r="N32" s="818"/>
      <c r="O32" s="818"/>
      <c r="P32" s="818"/>
      <c r="Q32" s="818"/>
      <c r="R32" s="819"/>
      <c r="S32" s="893"/>
      <c r="T32" s="828"/>
      <c r="U32" s="907"/>
      <c r="V32" s="907"/>
    </row>
    <row r="33" spans="1:22" s="41" customFormat="1" ht="38.1" customHeight="1">
      <c r="A33" s="828"/>
      <c r="B33" s="904"/>
      <c r="C33" s="361" t="s">
        <v>1266</v>
      </c>
      <c r="D33" s="362" t="s">
        <v>1267</v>
      </c>
      <c r="E33" s="362" t="s">
        <v>1268</v>
      </c>
      <c r="F33" s="1208" t="s">
        <v>1269</v>
      </c>
      <c r="G33" s="1209"/>
      <c r="H33" s="1209"/>
      <c r="I33" s="1209"/>
      <c r="J33" s="1209"/>
      <c r="K33" s="1209"/>
      <c r="L33" s="1209"/>
      <c r="M33" s="1209"/>
      <c r="N33" s="1209"/>
      <c r="O33" s="1209"/>
      <c r="P33" s="1209"/>
      <c r="Q33" s="1209"/>
      <c r="R33" s="1210"/>
      <c r="S33" s="893"/>
      <c r="T33" s="828"/>
      <c r="U33" s="907"/>
      <c r="V33" s="907"/>
    </row>
    <row r="34" spans="1:22" s="41" customFormat="1" ht="35.1" customHeight="1">
      <c r="A34" s="828"/>
      <c r="B34" s="904"/>
      <c r="C34" s="363" t="s">
        <v>1270</v>
      </c>
      <c r="D34" s="912" t="s">
        <v>1271</v>
      </c>
      <c r="E34" s="913">
        <v>5</v>
      </c>
      <c r="F34" s="1211" t="s">
        <v>1272</v>
      </c>
      <c r="G34" s="1212"/>
      <c r="H34" s="1212"/>
      <c r="I34" s="1212"/>
      <c r="J34" s="1212"/>
      <c r="K34" s="1212"/>
      <c r="L34" s="1212"/>
      <c r="M34" s="1212"/>
      <c r="N34" s="1212"/>
      <c r="O34" s="1212"/>
      <c r="P34" s="1212"/>
      <c r="Q34" s="1212"/>
      <c r="R34" s="1213"/>
      <c r="S34" s="893"/>
      <c r="T34" s="828"/>
      <c r="U34" s="907"/>
      <c r="V34" s="907"/>
    </row>
    <row r="35" spans="1:22" s="41" customFormat="1" ht="47.45" customHeight="1">
      <c r="A35" s="828"/>
      <c r="B35" s="904"/>
      <c r="C35" s="363" t="s">
        <v>1273</v>
      </c>
      <c r="D35" s="913">
        <v>2006</v>
      </c>
      <c r="E35" s="913">
        <v>5</v>
      </c>
      <c r="F35" s="1211" t="s">
        <v>1274</v>
      </c>
      <c r="G35" s="1212"/>
      <c r="H35" s="1212"/>
      <c r="I35" s="1212"/>
      <c r="J35" s="1212"/>
      <c r="K35" s="1212"/>
      <c r="L35" s="1212"/>
      <c r="M35" s="1212"/>
      <c r="N35" s="1212"/>
      <c r="O35" s="1212"/>
      <c r="P35" s="1212"/>
      <c r="Q35" s="1212"/>
      <c r="R35" s="1213"/>
      <c r="S35" s="893"/>
      <c r="T35" s="828"/>
      <c r="U35" s="907"/>
      <c r="V35" s="907"/>
    </row>
    <row r="36" spans="1:22" s="41" customFormat="1" ht="59.45" customHeight="1">
      <c r="A36" s="828"/>
      <c r="B36" s="904"/>
      <c r="C36" s="363" t="s">
        <v>1275</v>
      </c>
      <c r="D36" s="913">
        <v>2007</v>
      </c>
      <c r="E36" s="913">
        <v>7</v>
      </c>
      <c r="F36" s="1211" t="s">
        <v>1276</v>
      </c>
      <c r="G36" s="1212"/>
      <c r="H36" s="1212"/>
      <c r="I36" s="1212"/>
      <c r="J36" s="1212"/>
      <c r="K36" s="1212"/>
      <c r="L36" s="1212"/>
      <c r="M36" s="1212"/>
      <c r="N36" s="1212"/>
      <c r="O36" s="1212"/>
      <c r="P36" s="1212"/>
      <c r="Q36" s="1212"/>
      <c r="R36" s="1213"/>
      <c r="S36" s="893"/>
      <c r="T36" s="828"/>
      <c r="U36" s="907"/>
      <c r="V36" s="907"/>
    </row>
    <row r="37" spans="1:22" s="41" customFormat="1" ht="137.44999999999999" customHeight="1">
      <c r="A37" s="828"/>
      <c r="B37" s="904"/>
      <c r="C37" s="363" t="s">
        <v>1277</v>
      </c>
      <c r="D37" s="913">
        <v>2010</v>
      </c>
      <c r="E37" s="913">
        <v>10</v>
      </c>
      <c r="F37" s="1211" t="s">
        <v>1278</v>
      </c>
      <c r="G37" s="1212"/>
      <c r="H37" s="1212"/>
      <c r="I37" s="1212"/>
      <c r="J37" s="1212"/>
      <c r="K37" s="1212"/>
      <c r="L37" s="1212"/>
      <c r="M37" s="1212"/>
      <c r="N37" s="1212"/>
      <c r="O37" s="1212"/>
      <c r="P37" s="1212"/>
      <c r="Q37" s="1212"/>
      <c r="R37" s="1213"/>
      <c r="S37" s="893"/>
      <c r="T37" s="828"/>
      <c r="U37" s="907"/>
      <c r="V37" s="907"/>
    </row>
    <row r="38" spans="1:22" s="41" customFormat="1" ht="110.45" customHeight="1" thickBot="1">
      <c r="A38" s="828"/>
      <c r="B38" s="904"/>
      <c r="C38" s="364" t="s">
        <v>1279</v>
      </c>
      <c r="D38" s="365">
        <v>2014</v>
      </c>
      <c r="E38" s="365">
        <v>12</v>
      </c>
      <c r="F38" s="1205" t="s">
        <v>1280</v>
      </c>
      <c r="G38" s="1206"/>
      <c r="H38" s="1206"/>
      <c r="I38" s="1206"/>
      <c r="J38" s="1206"/>
      <c r="K38" s="1206"/>
      <c r="L38" s="1206"/>
      <c r="M38" s="1206"/>
      <c r="N38" s="1206"/>
      <c r="O38" s="1206"/>
      <c r="P38" s="1206"/>
      <c r="Q38" s="1206"/>
      <c r="R38" s="1207"/>
      <c r="S38" s="893"/>
      <c r="T38" s="828"/>
      <c r="U38" s="907"/>
      <c r="V38" s="907"/>
    </row>
    <row r="39" spans="1:22" s="41" customFormat="1" ht="180.6" customHeight="1" thickBot="1">
      <c r="A39" s="828"/>
      <c r="B39" s="904"/>
      <c r="C39" s="364" t="s">
        <v>1281</v>
      </c>
      <c r="D39" s="365">
        <v>2020</v>
      </c>
      <c r="E39" s="366">
        <v>11</v>
      </c>
      <c r="F39" s="1205" t="s">
        <v>1282</v>
      </c>
      <c r="G39" s="1206"/>
      <c r="H39" s="1206"/>
      <c r="I39" s="1206"/>
      <c r="J39" s="1206"/>
      <c r="K39" s="1206"/>
      <c r="L39" s="1206"/>
      <c r="M39" s="1206"/>
      <c r="N39" s="1206"/>
      <c r="O39" s="1206"/>
      <c r="P39" s="1206"/>
      <c r="Q39" s="1206"/>
      <c r="R39" s="1207"/>
      <c r="S39" s="893"/>
      <c r="T39" s="828"/>
      <c r="U39" s="907"/>
      <c r="V39" s="907"/>
    </row>
    <row r="40" spans="1:22" s="41" customFormat="1" ht="17.45" customHeight="1">
      <c r="A40" s="828"/>
      <c r="B40" s="904"/>
      <c r="C40" s="477"/>
      <c r="D40" s="477"/>
      <c r="E40" s="477"/>
      <c r="F40" s="477"/>
      <c r="G40" s="477"/>
      <c r="H40" s="477"/>
      <c r="I40" s="477"/>
      <c r="J40" s="477"/>
      <c r="K40" s="477"/>
      <c r="L40" s="477" t="s">
        <v>1283</v>
      </c>
      <c r="M40" s="196" t="s">
        <v>624</v>
      </c>
      <c r="N40" s="477"/>
      <c r="O40" s="477"/>
      <c r="P40" s="477"/>
      <c r="Q40" s="477"/>
      <c r="R40" s="477"/>
      <c r="S40" s="893"/>
      <c r="T40" s="828"/>
      <c r="U40" s="907"/>
      <c r="V40" s="907"/>
    </row>
    <row r="41" spans="1:22" ht="6" customHeight="1" thickBot="1">
      <c r="A41" s="96"/>
      <c r="B41" s="332"/>
      <c r="C41" s="333"/>
      <c r="D41" s="333"/>
      <c r="E41" s="333"/>
      <c r="F41" s="333"/>
      <c r="G41" s="333"/>
      <c r="H41" s="333"/>
      <c r="I41" s="333"/>
      <c r="J41" s="333"/>
      <c r="K41" s="333"/>
      <c r="L41" s="333"/>
      <c r="M41" s="333"/>
      <c r="N41" s="333"/>
      <c r="O41" s="333"/>
      <c r="P41" s="333"/>
      <c r="Q41" s="333"/>
      <c r="R41" s="333"/>
      <c r="S41" s="334"/>
      <c r="T41" s="91"/>
    </row>
    <row r="42" spans="1:22" ht="6" customHeight="1" thickTop="1">
      <c r="A42" s="96"/>
      <c r="B42" s="96"/>
      <c r="C42" s="91"/>
      <c r="D42" s="91"/>
      <c r="E42" s="91"/>
      <c r="F42" s="91"/>
      <c r="G42" s="91"/>
      <c r="H42" s="91"/>
      <c r="I42" s="91"/>
      <c r="J42" s="91"/>
      <c r="K42" s="91"/>
      <c r="L42" s="91"/>
      <c r="M42" s="91"/>
      <c r="N42" s="91"/>
      <c r="O42" s="91"/>
      <c r="P42" s="91"/>
      <c r="Q42" s="91"/>
      <c r="R42" s="91"/>
      <c r="S42" s="97"/>
      <c r="T42" s="9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120</v>
      </c>
      <c r="E1" s="135" t="s">
        <v>2</v>
      </c>
      <c r="F1" s="135"/>
    </row>
    <row r="2" spans="2:7">
      <c r="B2" s="134" t="s">
        <v>3</v>
      </c>
      <c r="C2" s="134" t="s">
        <v>121</v>
      </c>
    </row>
    <row r="3" spans="2:7">
      <c r="B3" s="134" t="s">
        <v>5</v>
      </c>
      <c r="C3" s="439" t="s">
        <v>122</v>
      </c>
      <c r="D3" s="439" t="s">
        <v>123</v>
      </c>
      <c r="E3" s="439" t="s">
        <v>124</v>
      </c>
      <c r="F3" s="439" t="s">
        <v>125</v>
      </c>
    </row>
    <row r="4" spans="2:7" ht="25.5">
      <c r="B4" s="134" t="s">
        <v>16</v>
      </c>
      <c r="C4" s="134" t="s">
        <v>126</v>
      </c>
      <c r="D4" s="134" t="s">
        <v>127</v>
      </c>
      <c r="E4" s="134" t="s">
        <v>82</v>
      </c>
      <c r="F4" s="134" t="s">
        <v>128</v>
      </c>
    </row>
    <row r="5" spans="2:7" ht="38.25">
      <c r="B5" s="134" t="s">
        <v>27</v>
      </c>
      <c r="C5" s="134" t="s">
        <v>129</v>
      </c>
      <c r="D5" s="439" t="s">
        <v>130</v>
      </c>
      <c r="E5" s="439" t="s">
        <v>131</v>
      </c>
      <c r="F5" s="134" t="s">
        <v>132</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129</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32.8554687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141</v>
      </c>
      <c r="C1" s="107"/>
      <c r="D1" s="126" t="s">
        <v>1</v>
      </c>
      <c r="E1" s="126"/>
      <c r="F1" s="120"/>
      <c r="G1" s="107"/>
      <c r="H1" s="107"/>
      <c r="I1" s="132" t="s">
        <v>2</v>
      </c>
      <c r="J1" s="107"/>
      <c r="K1" s="107"/>
      <c r="L1" s="107"/>
      <c r="M1" s="107"/>
      <c r="N1" s="107"/>
      <c r="O1" s="107"/>
      <c r="P1" s="107"/>
      <c r="Q1" s="107"/>
      <c r="R1" s="107"/>
    </row>
    <row r="2" spans="2:18">
      <c r="B2" s="119" t="s">
        <v>3</v>
      </c>
      <c r="C2" s="107" t="s">
        <v>142</v>
      </c>
      <c r="D2" s="107"/>
      <c r="E2" s="107"/>
      <c r="F2" s="107"/>
      <c r="G2" s="107"/>
      <c r="H2" s="107"/>
      <c r="I2" s="107"/>
      <c r="J2" s="107"/>
      <c r="K2" s="107"/>
      <c r="L2" s="107"/>
      <c r="M2" s="107"/>
      <c r="N2" s="107"/>
      <c r="O2" s="107"/>
      <c r="P2" s="107"/>
      <c r="Q2" s="107"/>
      <c r="R2" s="107"/>
    </row>
    <row r="3" spans="2:18">
      <c r="B3" s="108" t="s">
        <v>5</v>
      </c>
      <c r="C3" s="108" t="s">
        <v>143</v>
      </c>
      <c r="D3" s="108" t="s">
        <v>144</v>
      </c>
      <c r="E3" s="108" t="s">
        <v>145</v>
      </c>
      <c r="F3" s="108" t="s">
        <v>146</v>
      </c>
      <c r="G3" s="108" t="s">
        <v>147</v>
      </c>
      <c r="H3" s="108" t="s">
        <v>148</v>
      </c>
      <c r="I3" s="108" t="s">
        <v>149</v>
      </c>
      <c r="J3" s="108" t="s">
        <v>150</v>
      </c>
      <c r="K3" s="108" t="s">
        <v>151</v>
      </c>
      <c r="L3" s="108" t="s">
        <v>152</v>
      </c>
      <c r="M3" s="108"/>
      <c r="N3" s="108"/>
      <c r="O3" s="108"/>
      <c r="P3" s="108"/>
      <c r="Q3" s="108"/>
      <c r="R3" s="108"/>
    </row>
    <row r="4" spans="2:18" ht="38.25">
      <c r="B4" s="130" t="s">
        <v>16</v>
      </c>
      <c r="C4" s="130" t="s">
        <v>153</v>
      </c>
      <c r="D4" s="130" t="s">
        <v>108</v>
      </c>
      <c r="E4" s="130"/>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154</v>
      </c>
      <c r="D5" s="109" t="s">
        <v>29</v>
      </c>
      <c r="E5" s="109" t="s">
        <v>30</v>
      </c>
      <c r="F5" s="109" t="s">
        <v>113</v>
      </c>
      <c r="G5" s="109" t="s">
        <v>32</v>
      </c>
      <c r="H5" s="109" t="s">
        <v>114</v>
      </c>
      <c r="I5" s="109" t="s">
        <v>34</v>
      </c>
      <c r="J5" s="109" t="s">
        <v>35</v>
      </c>
      <c r="K5" s="109" t="s">
        <v>115</v>
      </c>
      <c r="L5" s="109" t="s">
        <v>155</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142</v>
      </c>
      <c r="C34" s="124"/>
      <c r="D34" s="124"/>
      <c r="E34" s="124"/>
      <c r="F34" s="124"/>
      <c r="G34" s="124"/>
      <c r="H34" s="124"/>
      <c r="I34" s="124"/>
      <c r="J34" s="124"/>
      <c r="K34" s="124"/>
      <c r="L34" s="124"/>
      <c r="M34" s="124"/>
      <c r="N34" s="124"/>
      <c r="O34" s="124"/>
      <c r="P34" s="124"/>
      <c r="Q34" s="124"/>
      <c r="R34" s="124"/>
    </row>
    <row r="35" spans="1:18">
      <c r="B35" s="136" t="s">
        <v>154</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B47" s="125"/>
      <c r="C47" s="124"/>
      <c r="F47" s="124"/>
      <c r="H47" s="124"/>
      <c r="I47" s="124"/>
      <c r="J47" s="124"/>
      <c r="K47" s="124"/>
      <c r="L47" s="124"/>
      <c r="M47" s="124"/>
      <c r="N47" s="124"/>
      <c r="O47" s="124"/>
      <c r="P47" s="124"/>
      <c r="Q47" s="124"/>
      <c r="R47" s="124"/>
    </row>
    <row r="48" spans="1:18">
      <c r="A48" s="128"/>
      <c r="B48" s="125"/>
      <c r="C48" s="124"/>
      <c r="D48" s="124"/>
      <c r="E48" s="124"/>
      <c r="F48" s="124"/>
      <c r="G48" s="124"/>
      <c r="H48" s="124"/>
      <c r="I48" s="124"/>
      <c r="J48" s="124"/>
      <c r="K48" s="124"/>
      <c r="L48" s="124"/>
      <c r="M48" s="124"/>
      <c r="N48" s="124"/>
      <c r="O48" s="124"/>
      <c r="P48" s="124"/>
      <c r="Q48" s="124"/>
      <c r="R48" s="124"/>
    </row>
    <row r="49" spans="1:18">
      <c r="A49" s="128"/>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156</v>
      </c>
      <c r="E1" s="135" t="s">
        <v>2</v>
      </c>
      <c r="F1" s="135"/>
    </row>
    <row r="2" spans="2:7">
      <c r="B2" s="134" t="s">
        <v>3</v>
      </c>
      <c r="C2" s="134" t="s">
        <v>157</v>
      </c>
    </row>
    <row r="3" spans="2:7">
      <c r="B3" s="88" t="s">
        <v>5</v>
      </c>
      <c r="C3" s="88" t="s">
        <v>158</v>
      </c>
      <c r="D3" s="88" t="s">
        <v>159</v>
      </c>
      <c r="E3" s="88" t="s">
        <v>160</v>
      </c>
      <c r="F3" s="88" t="s">
        <v>161</v>
      </c>
    </row>
    <row r="4" spans="2:7" ht="25.5">
      <c r="B4" s="88" t="s">
        <v>16</v>
      </c>
      <c r="C4" s="88" t="s">
        <v>126</v>
      </c>
      <c r="D4" s="134" t="s">
        <v>127</v>
      </c>
      <c r="E4" s="88" t="s">
        <v>82</v>
      </c>
      <c r="F4" s="88" t="s">
        <v>128</v>
      </c>
    </row>
    <row r="5" spans="2:7" ht="38.25">
      <c r="B5" s="134" t="s">
        <v>27</v>
      </c>
      <c r="C5" s="134" t="s">
        <v>162</v>
      </c>
      <c r="D5" s="439" t="s">
        <v>130</v>
      </c>
      <c r="E5" s="439" t="s">
        <v>131</v>
      </c>
      <c r="F5" s="439" t="s">
        <v>163</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162</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47" t="s">
        <v>164</v>
      </c>
      <c r="C1" s="138"/>
      <c r="D1" s="139"/>
      <c r="E1" s="139"/>
      <c r="F1" s="118"/>
      <c r="G1" s="118"/>
      <c r="H1" s="118"/>
      <c r="I1" s="118"/>
    </row>
    <row r="2" spans="1:10">
      <c r="A2" s="118" t="s">
        <v>49</v>
      </c>
      <c r="B2" s="47" t="s">
        <v>3</v>
      </c>
      <c r="C2" s="634" t="s">
        <v>165</v>
      </c>
      <c r="D2" s="139"/>
      <c r="E2" s="139"/>
      <c r="F2" s="118"/>
      <c r="G2" s="118"/>
      <c r="H2" s="118"/>
      <c r="I2" s="118"/>
    </row>
    <row r="3" spans="1:10">
      <c r="A3" s="118" t="s">
        <v>62</v>
      </c>
      <c r="B3" s="439" t="s">
        <v>5</v>
      </c>
      <c r="C3" s="817" t="s">
        <v>166</v>
      </c>
      <c r="D3" s="817" t="s">
        <v>167</v>
      </c>
      <c r="E3" s="817" t="s">
        <v>168</v>
      </c>
      <c r="F3" s="817" t="s">
        <v>169</v>
      </c>
      <c r="G3" s="817" t="s">
        <v>170</v>
      </c>
      <c r="H3" s="817" t="s">
        <v>171</v>
      </c>
      <c r="I3" s="817" t="s">
        <v>172</v>
      </c>
    </row>
    <row r="4" spans="1:10" ht="25.5">
      <c r="B4" s="148" t="s">
        <v>16</v>
      </c>
      <c r="C4" s="639" t="s">
        <v>173</v>
      </c>
      <c r="D4" s="639" t="s">
        <v>174</v>
      </c>
      <c r="E4" s="639" t="s">
        <v>175</v>
      </c>
      <c r="F4" s="639" t="s">
        <v>176</v>
      </c>
      <c r="G4" s="639"/>
      <c r="H4" s="639" t="s">
        <v>177</v>
      </c>
      <c r="I4" s="639"/>
    </row>
    <row r="5" spans="1:10" ht="76.5">
      <c r="B5" s="635" t="s">
        <v>27</v>
      </c>
      <c r="C5" s="636" t="s">
        <v>178</v>
      </c>
      <c r="D5" s="636" t="s">
        <v>179</v>
      </c>
      <c r="E5" s="636" t="s">
        <v>180</v>
      </c>
      <c r="F5" s="636" t="s">
        <v>181</v>
      </c>
      <c r="G5" s="636" t="s">
        <v>182</v>
      </c>
      <c r="H5" s="636" t="s">
        <v>183</v>
      </c>
      <c r="I5" s="636" t="s">
        <v>184</v>
      </c>
    </row>
    <row r="6" spans="1:10">
      <c r="B6" s="343">
        <v>1</v>
      </c>
      <c r="C6" s="637" t="s">
        <v>185</v>
      </c>
      <c r="D6" s="637"/>
      <c r="E6" s="637"/>
      <c r="F6" s="637" t="s">
        <v>186</v>
      </c>
      <c r="G6" s="637" t="s">
        <v>186</v>
      </c>
      <c r="H6" s="637"/>
      <c r="I6" s="637"/>
      <c r="J6">
        <v>1</v>
      </c>
    </row>
    <row r="7" spans="1:10">
      <c r="B7" s="343">
        <v>2</v>
      </c>
      <c r="C7" s="637"/>
      <c r="D7" s="637"/>
      <c r="E7" s="637"/>
      <c r="F7" s="637"/>
      <c r="G7" s="637"/>
      <c r="H7" s="637"/>
      <c r="I7" s="637"/>
      <c r="J7">
        <v>2</v>
      </c>
    </row>
    <row r="8" spans="1:10">
      <c r="B8" s="343">
        <v>3</v>
      </c>
      <c r="C8" s="637" t="s">
        <v>187</v>
      </c>
      <c r="D8" s="637"/>
      <c r="E8" s="637"/>
      <c r="F8" s="637"/>
      <c r="G8" s="637"/>
      <c r="H8" s="637"/>
      <c r="I8" s="637"/>
      <c r="J8">
        <v>3</v>
      </c>
    </row>
    <row r="9" spans="1:10" ht="25.5" customHeight="1">
      <c r="B9" s="343">
        <v>4</v>
      </c>
      <c r="C9" s="637"/>
      <c r="D9" s="637"/>
      <c r="E9" s="637"/>
      <c r="F9" s="637"/>
      <c r="G9" s="637"/>
      <c r="H9" s="637"/>
      <c r="I9" s="637"/>
      <c r="J9">
        <v>4</v>
      </c>
    </row>
    <row r="10" spans="1:10" ht="25.5">
      <c r="B10" s="343">
        <v>5</v>
      </c>
      <c r="C10" s="637" t="s">
        <v>188</v>
      </c>
      <c r="D10" s="637"/>
      <c r="E10" s="637"/>
      <c r="F10" s="637" t="s">
        <v>189</v>
      </c>
      <c r="G10" s="637"/>
      <c r="H10" s="637"/>
      <c r="I10" s="637" t="s">
        <v>39</v>
      </c>
      <c r="J10">
        <v>5</v>
      </c>
    </row>
    <row r="11" spans="1:10">
      <c r="B11" s="343">
        <v>6</v>
      </c>
      <c r="C11" s="637"/>
      <c r="D11" s="637" t="s">
        <v>190</v>
      </c>
      <c r="E11" s="637"/>
      <c r="F11" s="637"/>
      <c r="G11" s="638"/>
      <c r="H11" s="637"/>
      <c r="I11" s="637"/>
      <c r="J11">
        <v>6</v>
      </c>
    </row>
    <row r="12" spans="1:10">
      <c r="B12" s="343">
        <v>7</v>
      </c>
      <c r="C12" s="637" t="s">
        <v>191</v>
      </c>
      <c r="D12" s="637" t="s">
        <v>192</v>
      </c>
      <c r="E12" s="637"/>
      <c r="G12" s="637" t="s">
        <v>193</v>
      </c>
      <c r="H12" s="637"/>
      <c r="I12" s="637"/>
      <c r="J12">
        <v>7</v>
      </c>
    </row>
    <row r="13" spans="1:10" ht="25.5">
      <c r="B13" s="343">
        <v>8</v>
      </c>
      <c r="C13" s="637"/>
      <c r="D13" s="637" t="s">
        <v>194</v>
      </c>
      <c r="E13" s="637" t="s">
        <v>49</v>
      </c>
      <c r="F13" s="637" t="s">
        <v>52</v>
      </c>
      <c r="G13" s="820"/>
      <c r="H13" s="637" t="s">
        <v>195</v>
      </c>
      <c r="J13">
        <v>8</v>
      </c>
    </row>
    <row r="14" spans="1:10" ht="38.25">
      <c r="B14" s="343">
        <v>9</v>
      </c>
      <c r="C14" s="637"/>
      <c r="D14" s="637" t="s">
        <v>196</v>
      </c>
      <c r="E14" s="637"/>
      <c r="F14" s="637" t="s">
        <v>197</v>
      </c>
      <c r="G14" s="638" t="s">
        <v>198</v>
      </c>
      <c r="H14" s="637" t="s">
        <v>199</v>
      </c>
      <c r="I14" s="637" t="s">
        <v>200</v>
      </c>
      <c r="J14">
        <v>9</v>
      </c>
    </row>
    <row r="15" spans="1:10" ht="63.75">
      <c r="B15" s="343">
        <v>10</v>
      </c>
      <c r="C15" s="637" t="s">
        <v>201</v>
      </c>
      <c r="D15" s="637" t="s">
        <v>202</v>
      </c>
      <c r="E15" s="637" t="s">
        <v>62</v>
      </c>
      <c r="F15" s="637" t="s">
        <v>203</v>
      </c>
      <c r="G15" s="638" t="s">
        <v>204</v>
      </c>
      <c r="H15" s="637" t="s">
        <v>205</v>
      </c>
      <c r="I15" s="637" t="s">
        <v>206</v>
      </c>
      <c r="J15">
        <v>10</v>
      </c>
    </row>
    <row r="16" spans="1:10">
      <c r="B16" s="88"/>
      <c r="C16" s="439"/>
      <c r="D16" s="439"/>
      <c r="E16" s="439"/>
      <c r="F16" s="439"/>
      <c r="G16" s="439"/>
      <c r="H16" s="439"/>
      <c r="I16" s="439"/>
    </row>
    <row r="17" spans="2:15">
      <c r="B17" s="88"/>
      <c r="C17" s="439"/>
      <c r="D17" s="439"/>
      <c r="E17" s="439"/>
      <c r="F17" s="439"/>
      <c r="G17" s="439"/>
      <c r="H17" s="439"/>
      <c r="I17" s="439"/>
    </row>
    <row r="18" spans="2:15">
      <c r="B18" s="88"/>
      <c r="C18" s="439"/>
      <c r="D18" s="439"/>
      <c r="E18" s="439"/>
      <c r="F18" s="439"/>
      <c r="G18" s="439"/>
      <c r="H18" s="439"/>
      <c r="I18" s="439"/>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C6</f>
        <v>&gt;50%</v>
      </c>
      <c r="D23" s="118" t="str">
        <f>D11</f>
        <v>Less frequenty than quarterly</v>
      </c>
      <c r="E23" s="118" t="s">
        <v>49</v>
      </c>
      <c r="F23" s="118" t="str">
        <f>F6</f>
        <v>No review</v>
      </c>
      <c r="G23" s="118" t="str">
        <f>G6</f>
        <v>No review</v>
      </c>
      <c r="H23" t="s">
        <v>195</v>
      </c>
      <c r="I23" s="118" t="s">
        <v>39</v>
      </c>
    </row>
    <row r="24" spans="2:15">
      <c r="B24" s="125"/>
      <c r="C24" s="118" t="str">
        <f>C8</f>
        <v>&gt;20% up to 50%</v>
      </c>
      <c r="D24" s="118" t="str">
        <f>D12</f>
        <v>Quarterly</v>
      </c>
      <c r="E24" s="118" t="s">
        <v>62</v>
      </c>
      <c r="F24" s="118" t="str">
        <f>F10</f>
        <v>Less frequently than annually</v>
      </c>
      <c r="G24" s="118" t="str">
        <f>G12</f>
        <v>Sum total only</v>
      </c>
      <c r="H24" t="s">
        <v>199</v>
      </c>
      <c r="I24" t="s">
        <v>200</v>
      </c>
    </row>
    <row r="25" spans="2:15">
      <c r="B25" s="125"/>
      <c r="C25" s="118" t="str">
        <f>C10</f>
        <v>&gt;10% up to 20%</v>
      </c>
      <c r="D25" s="118" t="str">
        <f>D13</f>
        <v>Bi-Monthly</v>
      </c>
      <c r="E25" s="118"/>
      <c r="F25" s="118" t="str">
        <f>F13</f>
        <v>Annually</v>
      </c>
      <c r="G25" t="str">
        <f>G14</f>
        <v>Totals grouped by use type or customer class</v>
      </c>
      <c r="H25" t="s">
        <v>205</v>
      </c>
      <c r="I25" t="s">
        <v>206</v>
      </c>
    </row>
    <row r="26" spans="2:15">
      <c r="B26" s="125"/>
      <c r="C26" s="118" t="str">
        <f>C12</f>
        <v>&gt;5% up to 10%</v>
      </c>
      <c r="D26" s="118" t="str">
        <f>D14</f>
        <v>Monthly</v>
      </c>
      <c r="E26" s="118"/>
      <c r="F26" s="118" t="str">
        <f>F14</f>
        <v>More frequently than annually but less than every billing cycle</v>
      </c>
      <c r="G26" t="str">
        <f>G15</f>
        <v>Totals grouped by use type or customer class and specific accounts flagged for anomalous consumption</v>
      </c>
      <c r="H26" s="118"/>
      <c r="I26" s="118"/>
      <c r="M26" s="118"/>
      <c r="O26" s="118"/>
    </row>
    <row r="27" spans="2:15">
      <c r="B27" s="125"/>
      <c r="C27" s="118" t="str">
        <f>C15</f>
        <v>5% or less</v>
      </c>
      <c r="D27" s="118" t="str">
        <f>D15</f>
        <v>More frequently than monthly</v>
      </c>
      <c r="E27" s="118"/>
      <c r="F27" s="118" t="str">
        <f>F15</f>
        <v>Every billing cycle</v>
      </c>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t="s">
        <v>165</v>
      </c>
      <c r="C34" s="439"/>
      <c r="D34" s="439"/>
      <c r="E34" s="439"/>
      <c r="F34" s="439"/>
      <c r="G34" s="439"/>
      <c r="H34" s="439"/>
      <c r="I34" s="439"/>
    </row>
    <row r="35" spans="2:9">
      <c r="B35" s="136" t="s">
        <v>178</v>
      </c>
      <c r="C35" s="439"/>
      <c r="D35" s="439"/>
      <c r="E35" s="439"/>
      <c r="F35" s="439"/>
      <c r="G35" s="439"/>
      <c r="H35" s="439"/>
      <c r="I35" s="439"/>
    </row>
    <row r="36" spans="2:9">
      <c r="B36" s="136" t="s">
        <v>179</v>
      </c>
      <c r="C36" s="439"/>
      <c r="D36" s="439"/>
      <c r="E36" s="439"/>
      <c r="F36" s="439"/>
      <c r="G36" s="439"/>
      <c r="H36" s="439"/>
      <c r="I36" s="439"/>
    </row>
    <row r="37" spans="2:9">
      <c r="B37" s="136" t="s">
        <v>180</v>
      </c>
      <c r="C37" s="439"/>
      <c r="D37" s="439"/>
      <c r="E37" s="439"/>
      <c r="F37" s="439"/>
      <c r="G37" s="439"/>
      <c r="H37" s="439"/>
      <c r="I37" s="439"/>
    </row>
    <row r="38" spans="2:9">
      <c r="B38" s="136" t="s">
        <v>181</v>
      </c>
      <c r="C38" s="439"/>
      <c r="D38" s="439"/>
      <c r="E38" s="439"/>
      <c r="F38" s="439"/>
      <c r="G38" s="439"/>
      <c r="H38" s="439"/>
      <c r="I38" s="439"/>
    </row>
    <row r="39" spans="2:9">
      <c r="B39" s="136" t="s">
        <v>182</v>
      </c>
      <c r="C39" s="439"/>
      <c r="D39" s="439"/>
      <c r="E39" s="439"/>
      <c r="F39" s="439"/>
      <c r="G39" s="439"/>
      <c r="H39" s="439"/>
      <c r="I39" s="439"/>
    </row>
    <row r="40" spans="2:9">
      <c r="B40" s="136" t="s">
        <v>183</v>
      </c>
      <c r="C40" s="439"/>
      <c r="D40" s="439"/>
      <c r="E40" s="439"/>
      <c r="F40" s="439"/>
      <c r="G40" s="439"/>
      <c r="H40" s="439"/>
      <c r="I40" s="439"/>
    </row>
    <row r="41" spans="2:9">
      <c r="B41" s="136" t="s">
        <v>184</v>
      </c>
      <c r="C41" s="439"/>
      <c r="D41" s="439"/>
      <c r="E41" s="439"/>
      <c r="F41" s="439"/>
      <c r="G41" s="439"/>
      <c r="H41" s="439"/>
      <c r="I41" s="439"/>
    </row>
    <row r="42" spans="2:9">
      <c r="B42" s="88"/>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47" t="s">
        <v>207</v>
      </c>
      <c r="C1" s="147"/>
      <c r="D1" s="141"/>
      <c r="E1" s="147"/>
      <c r="F1" s="118"/>
      <c r="G1" s="118"/>
      <c r="H1" s="118"/>
      <c r="I1" s="118"/>
    </row>
    <row r="2" spans="2:9">
      <c r="B2" s="47" t="s">
        <v>3</v>
      </c>
      <c r="C2" s="118" t="s">
        <v>208</v>
      </c>
      <c r="D2" s="118"/>
      <c r="E2" s="118"/>
      <c r="F2" s="118"/>
      <c r="G2" s="118"/>
      <c r="H2" s="118"/>
      <c r="I2" s="118"/>
    </row>
    <row r="3" spans="2:9">
      <c r="B3" s="817" t="s">
        <v>5</v>
      </c>
      <c r="C3" s="817" t="s">
        <v>209</v>
      </c>
      <c r="D3" s="817" t="s">
        <v>210</v>
      </c>
      <c r="E3" s="817" t="s">
        <v>211</v>
      </c>
      <c r="F3" s="817"/>
      <c r="G3" s="817"/>
      <c r="H3" s="817"/>
      <c r="I3" s="817"/>
    </row>
    <row r="4" spans="2:9" ht="25.5">
      <c r="B4" s="148" t="s">
        <v>16</v>
      </c>
      <c r="C4" s="639" t="s">
        <v>212</v>
      </c>
      <c r="D4" s="639" t="s">
        <v>213</v>
      </c>
      <c r="E4" s="639" t="s">
        <v>214</v>
      </c>
      <c r="F4" s="148"/>
      <c r="H4" s="148"/>
    </row>
    <row r="5" spans="2:9" ht="51">
      <c r="B5" s="148" t="s">
        <v>27</v>
      </c>
      <c r="C5" s="470" t="s">
        <v>215</v>
      </c>
      <c r="D5" s="470" t="s">
        <v>216</v>
      </c>
      <c r="E5" s="470" t="s">
        <v>217</v>
      </c>
      <c r="F5" s="817"/>
      <c r="G5" s="817"/>
      <c r="H5" s="817"/>
      <c r="I5" s="817"/>
    </row>
    <row r="6" spans="2:9">
      <c r="B6" s="343">
        <v>1</v>
      </c>
      <c r="C6" s="637"/>
      <c r="D6" s="637" t="s">
        <v>218</v>
      </c>
      <c r="E6" s="637"/>
      <c r="F6" s="343">
        <v>1</v>
      </c>
      <c r="H6" s="148"/>
    </row>
    <row r="7" spans="2:9" ht="89.25">
      <c r="B7" s="343">
        <v>2</v>
      </c>
      <c r="C7" s="637"/>
      <c r="D7" s="637" t="s">
        <v>219</v>
      </c>
      <c r="E7" s="637" t="s">
        <v>52</v>
      </c>
      <c r="F7" s="343">
        <v>2</v>
      </c>
      <c r="G7" s="817"/>
      <c r="H7" s="817"/>
      <c r="I7" s="817"/>
    </row>
    <row r="8" spans="2:9">
      <c r="B8" s="343">
        <v>3</v>
      </c>
      <c r="C8" s="637"/>
      <c r="D8" s="817"/>
      <c r="E8" s="637"/>
      <c r="F8" s="343">
        <v>3</v>
      </c>
      <c r="H8" s="148"/>
    </row>
    <row r="9" spans="2:9">
      <c r="B9" s="343">
        <v>4</v>
      </c>
      <c r="C9" s="637"/>
      <c r="D9" s="637"/>
      <c r="E9" s="637" t="s">
        <v>220</v>
      </c>
      <c r="F9" s="343">
        <v>4</v>
      </c>
      <c r="G9" s="817"/>
      <c r="H9" s="817"/>
      <c r="I9" s="817"/>
    </row>
    <row r="10" spans="2:9" ht="76.5">
      <c r="B10" s="343">
        <v>5</v>
      </c>
      <c r="C10" s="637" t="s">
        <v>185</v>
      </c>
      <c r="D10" s="637" t="s">
        <v>221</v>
      </c>
      <c r="E10" s="641"/>
      <c r="F10" s="343">
        <v>5</v>
      </c>
      <c r="H10" s="148"/>
    </row>
    <row r="11" spans="2:9">
      <c r="B11" s="343">
        <v>6</v>
      </c>
      <c r="C11" s="637" t="s">
        <v>187</v>
      </c>
      <c r="D11" s="817"/>
      <c r="E11" s="637" t="s">
        <v>192</v>
      </c>
      <c r="F11" s="343">
        <v>6</v>
      </c>
      <c r="G11" s="817"/>
      <c r="H11" s="817"/>
      <c r="I11" s="817"/>
    </row>
    <row r="12" spans="2:9">
      <c r="B12" s="343">
        <v>7</v>
      </c>
      <c r="C12" s="637"/>
      <c r="D12" s="637"/>
      <c r="E12" s="641"/>
      <c r="F12" s="343">
        <v>7</v>
      </c>
      <c r="H12" s="148"/>
    </row>
    <row r="13" spans="2:9">
      <c r="B13" s="343">
        <v>8</v>
      </c>
      <c r="C13" s="637" t="s">
        <v>188</v>
      </c>
      <c r="D13" s="637"/>
      <c r="E13" s="637" t="s">
        <v>222</v>
      </c>
      <c r="F13" s="343">
        <v>8</v>
      </c>
      <c r="G13" s="817"/>
      <c r="H13" s="817"/>
      <c r="I13" s="817"/>
    </row>
    <row r="14" spans="2:9">
      <c r="B14" s="343">
        <v>9</v>
      </c>
      <c r="C14" s="637" t="s">
        <v>191</v>
      </c>
      <c r="D14" s="637"/>
      <c r="E14" s="637"/>
      <c r="F14" s="343">
        <v>9</v>
      </c>
      <c r="H14" s="148"/>
    </row>
    <row r="15" spans="2:9" ht="76.5">
      <c r="B15" s="343">
        <v>10</v>
      </c>
      <c r="C15" s="637" t="s">
        <v>201</v>
      </c>
      <c r="D15" s="637" t="s">
        <v>223</v>
      </c>
      <c r="E15" s="637" t="s">
        <v>196</v>
      </c>
      <c r="F15" s="343">
        <v>10</v>
      </c>
      <c r="G15" s="817"/>
      <c r="H15" s="817"/>
      <c r="I15" s="817"/>
    </row>
    <row r="16" spans="2:9">
      <c r="B16" s="88"/>
      <c r="C16" s="439"/>
      <c r="D16" s="439"/>
      <c r="E16" s="439"/>
      <c r="F16" s="148"/>
      <c r="H16" s="148"/>
    </row>
    <row r="17" spans="2:15">
      <c r="B17" s="88"/>
      <c r="C17" s="439"/>
      <c r="D17" s="439"/>
      <c r="E17" s="439"/>
      <c r="F17" s="817"/>
      <c r="G17" s="817"/>
      <c r="H17" s="817"/>
      <c r="I17" s="817"/>
    </row>
    <row r="18" spans="2:15">
      <c r="B18" s="88"/>
      <c r="C18" s="439"/>
      <c r="D18" s="439"/>
      <c r="E18" s="439"/>
      <c r="F18" s="148"/>
      <c r="H18" s="148"/>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C10</f>
        <v>&gt;50%</v>
      </c>
      <c r="D23" s="118" t="str">
        <f>D6</f>
        <v>Guesstimated</v>
      </c>
      <c r="E23" s="118" t="str">
        <f>E7</f>
        <v>Annually</v>
      </c>
      <c r="F23" s="118"/>
      <c r="G23" s="118"/>
      <c r="H23" s="118"/>
      <c r="I23" s="118"/>
    </row>
    <row r="24" spans="2:15">
      <c r="B24" s="125"/>
      <c r="C24" s="118" t="str">
        <f t="shared" ref="C24" si="0">C11</f>
        <v>&gt;20% up to 50%</v>
      </c>
      <c r="D24" s="118" t="str">
        <f>D7</f>
        <v>Estimated based on assumptions of consumption by customer characteristics (i.e. customer type or meter size)</v>
      </c>
      <c r="E24" s="118" t="str">
        <f>E9</f>
        <v>Semi-Annually</v>
      </c>
      <c r="F24" s="118"/>
      <c r="G24" s="118"/>
      <c r="H24" s="118"/>
      <c r="I24" s="118"/>
    </row>
    <row r="25" spans="2:15">
      <c r="B25" s="125"/>
      <c r="C25" s="118" t="str">
        <f>C13</f>
        <v>&gt;10% up to 20%</v>
      </c>
      <c r="D25" s="118" t="str">
        <f>D10</f>
        <v>Extrapolated from similar customer groups in the utility's metered population, but limited is sample sizes</v>
      </c>
      <c r="E25" s="118" t="str">
        <f>E11</f>
        <v>Quarterly</v>
      </c>
      <c r="F25" s="118"/>
      <c r="G25" s="118"/>
      <c r="H25" s="118"/>
      <c r="I25" s="118"/>
    </row>
    <row r="26" spans="2:15">
      <c r="B26" s="125"/>
      <c r="C26" s="118" t="str">
        <f t="shared" ref="C26:C27" si="1">C14</f>
        <v>&gt;5% up to 10%</v>
      </c>
      <c r="D26" s="118" t="str">
        <f>D15</f>
        <v>Estimated for each unmetered customer OR derived from representative statistical samples of the system</v>
      </c>
      <c r="E26" s="118" t="str">
        <f>E13</f>
        <v>Bi-monthly</v>
      </c>
      <c r="F26" s="118"/>
      <c r="I26" s="118"/>
      <c r="M26" s="118"/>
      <c r="O26" s="118"/>
    </row>
    <row r="27" spans="2:15">
      <c r="B27" s="125"/>
      <c r="C27" s="118" t="str">
        <f t="shared" si="1"/>
        <v>5% or less</v>
      </c>
      <c r="D27" s="118"/>
      <c r="E27" s="118" t="str">
        <f>E15</f>
        <v>Monthly</v>
      </c>
      <c r="F27" s="118"/>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s="136" t="s">
        <v>208</v>
      </c>
      <c r="C34" s="439"/>
      <c r="D34" s="439"/>
      <c r="E34" s="439"/>
      <c r="F34" s="439"/>
      <c r="G34" s="439"/>
      <c r="H34" s="439"/>
      <c r="I34" s="439"/>
    </row>
    <row r="35" spans="2:9">
      <c r="B35" s="136" t="s">
        <v>215</v>
      </c>
      <c r="C35" s="439"/>
      <c r="D35" s="439"/>
      <c r="E35" s="439"/>
      <c r="F35" s="439"/>
      <c r="G35" s="439"/>
      <c r="H35" s="439"/>
      <c r="I35" s="439"/>
    </row>
    <row r="36" spans="2:9">
      <c r="B36" s="136" t="s">
        <v>216</v>
      </c>
      <c r="C36" s="439"/>
      <c r="D36" s="439"/>
      <c r="E36" s="439"/>
      <c r="F36" s="439"/>
      <c r="G36" s="439"/>
      <c r="H36" s="439"/>
      <c r="I36" s="439"/>
    </row>
    <row r="37" spans="2:9">
      <c r="B37" s="136" t="s">
        <v>217</v>
      </c>
      <c r="C37" s="439"/>
      <c r="D37" s="439"/>
      <c r="E37" s="439"/>
      <c r="F37" s="439"/>
      <c r="G37" s="439"/>
      <c r="H37" s="439"/>
      <c r="I37" s="439"/>
    </row>
    <row r="38" spans="2:9">
      <c r="B38" s="136"/>
      <c r="C38" s="439"/>
      <c r="D38" s="439"/>
      <c r="E38" s="439"/>
      <c r="F38" s="439"/>
      <c r="G38" s="439"/>
      <c r="H38" s="439"/>
      <c r="I38" s="439"/>
    </row>
    <row r="39" spans="2:9">
      <c r="B39" s="136"/>
      <c r="C39" s="439"/>
      <c r="D39" s="439"/>
      <c r="E39" s="439"/>
      <c r="F39" s="439"/>
      <c r="G39" s="439"/>
      <c r="H39" s="439"/>
      <c r="I39" s="439"/>
    </row>
    <row r="40" spans="2:9">
      <c r="B40" s="136"/>
      <c r="C40" s="439"/>
      <c r="D40" s="439"/>
      <c r="E40" s="439"/>
      <c r="F40" s="439"/>
      <c r="G40" s="439"/>
      <c r="H40" s="439"/>
      <c r="I40" s="439"/>
    </row>
    <row r="41" spans="2:9">
      <c r="B41" s="136"/>
      <c r="C41" s="439"/>
      <c r="D41" s="439"/>
      <c r="E41" s="439"/>
      <c r="F41" s="439"/>
      <c r="G41" s="439"/>
      <c r="H41" s="439"/>
      <c r="I41" s="439"/>
    </row>
    <row r="42" spans="2:9">
      <c r="B42" s="136"/>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row r="1002" spans="2:9">
      <c r="B1002" s="88"/>
      <c r="C1002" s="439"/>
      <c r="D1002" s="439"/>
      <c r="E1002" s="439"/>
      <c r="F1002" s="439"/>
      <c r="G1002" s="439"/>
      <c r="H1002" s="439"/>
      <c r="I1002" s="439"/>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47" t="s">
        <v>224</v>
      </c>
      <c r="C1" s="141"/>
      <c r="D1" s="147"/>
      <c r="E1" s="118"/>
      <c r="F1" s="118"/>
      <c r="G1" s="118"/>
      <c r="H1" s="118"/>
    </row>
    <row r="2" spans="2:8">
      <c r="B2" s="47" t="s">
        <v>3</v>
      </c>
      <c r="C2" s="118" t="s">
        <v>225</v>
      </c>
      <c r="D2" s="118"/>
      <c r="E2" s="118"/>
      <c r="F2" s="118"/>
      <c r="G2" s="118"/>
      <c r="H2" s="118"/>
    </row>
    <row r="3" spans="2:8">
      <c r="B3" s="144" t="s">
        <v>5</v>
      </c>
      <c r="C3" s="144" t="s">
        <v>226</v>
      </c>
      <c r="D3" s="144" t="s">
        <v>227</v>
      </c>
      <c r="E3" s="144" t="s">
        <v>228</v>
      </c>
      <c r="F3" s="144" t="s">
        <v>229</v>
      </c>
      <c r="G3" s="144"/>
      <c r="H3" s="144"/>
    </row>
    <row r="4" spans="2:8" ht="25.5">
      <c r="B4" s="148" t="s">
        <v>16</v>
      </c>
      <c r="C4" s="639" t="s">
        <v>230</v>
      </c>
      <c r="D4" s="639" t="s">
        <v>231</v>
      </c>
      <c r="E4" s="148" t="s">
        <v>174</v>
      </c>
      <c r="F4" s="88" t="s">
        <v>232</v>
      </c>
      <c r="G4" s="150"/>
    </row>
    <row r="5" spans="2:8" ht="76.5">
      <c r="B5" s="148" t="s">
        <v>233</v>
      </c>
      <c r="C5" s="470" t="s">
        <v>234</v>
      </c>
      <c r="D5" s="470" t="s">
        <v>235</v>
      </c>
      <c r="E5" s="817" t="s">
        <v>236</v>
      </c>
      <c r="F5" s="817" t="s">
        <v>237</v>
      </c>
      <c r="G5" s="144"/>
      <c r="H5" s="144"/>
    </row>
    <row r="6" spans="2:8">
      <c r="B6" s="149">
        <v>1</v>
      </c>
      <c r="C6" s="637"/>
      <c r="D6" s="637"/>
      <c r="F6" s="134"/>
      <c r="G6" s="149">
        <v>1</v>
      </c>
    </row>
    <row r="7" spans="2:8">
      <c r="B7" s="149">
        <v>2</v>
      </c>
      <c r="C7" s="637" t="s">
        <v>49</v>
      </c>
      <c r="D7" s="637" t="s">
        <v>238</v>
      </c>
      <c r="E7" s="637"/>
      <c r="F7" s="817" t="s">
        <v>239</v>
      </c>
      <c r="G7" s="149">
        <v>2</v>
      </c>
      <c r="H7" s="144"/>
    </row>
    <row r="8" spans="2:8">
      <c r="B8" s="149">
        <v>3</v>
      </c>
      <c r="C8" s="817"/>
      <c r="D8" s="637"/>
      <c r="E8" s="637"/>
      <c r="F8" s="134"/>
      <c r="G8" s="149">
        <v>3</v>
      </c>
    </row>
    <row r="9" spans="2:8" ht="51">
      <c r="B9" s="149">
        <v>4</v>
      </c>
      <c r="C9" s="637" t="s">
        <v>240</v>
      </c>
      <c r="D9" s="637"/>
      <c r="G9" s="149">
        <v>4</v>
      </c>
      <c r="H9" s="144"/>
    </row>
    <row r="10" spans="2:8">
      <c r="B10" s="149">
        <v>5</v>
      </c>
      <c r="C10" s="820"/>
      <c r="D10" s="641"/>
      <c r="E10" s="637" t="s">
        <v>241</v>
      </c>
      <c r="F10" s="817" t="s">
        <v>241</v>
      </c>
      <c r="G10" s="149">
        <v>5</v>
      </c>
    </row>
    <row r="11" spans="2:8" ht="25.5">
      <c r="B11" s="149">
        <v>6</v>
      </c>
      <c r="C11" s="817"/>
      <c r="D11" s="637" t="s">
        <v>242</v>
      </c>
      <c r="G11" s="149">
        <v>6</v>
      </c>
      <c r="H11" s="144"/>
    </row>
    <row r="12" spans="2:8">
      <c r="B12" s="149">
        <v>7</v>
      </c>
      <c r="C12" s="820"/>
      <c r="D12" s="642"/>
      <c r="E12" s="637" t="s">
        <v>52</v>
      </c>
      <c r="F12" s="817" t="s">
        <v>52</v>
      </c>
      <c r="G12" s="149">
        <v>7</v>
      </c>
    </row>
    <row r="13" spans="2:8" ht="38.25">
      <c r="B13" s="149">
        <v>8</v>
      </c>
      <c r="C13" s="637"/>
      <c r="D13" s="637"/>
      <c r="E13" s="637" t="s">
        <v>192</v>
      </c>
      <c r="F13" s="817" t="s">
        <v>243</v>
      </c>
      <c r="G13" s="149">
        <v>8</v>
      </c>
      <c r="H13" s="144"/>
    </row>
    <row r="14" spans="2:8">
      <c r="B14" s="149">
        <v>9</v>
      </c>
      <c r="C14" s="637"/>
      <c r="D14" s="637"/>
      <c r="E14" s="637" t="s">
        <v>194</v>
      </c>
      <c r="F14" s="134"/>
      <c r="G14" s="149">
        <v>9</v>
      </c>
    </row>
    <row r="15" spans="2:8" ht="25.5">
      <c r="B15" s="149">
        <v>10</v>
      </c>
      <c r="C15" s="637" t="s">
        <v>244</v>
      </c>
      <c r="D15" s="637" t="s">
        <v>245</v>
      </c>
      <c r="E15" s="637" t="s">
        <v>246</v>
      </c>
      <c r="F15" s="817" t="s">
        <v>247</v>
      </c>
      <c r="G15" s="149">
        <v>10</v>
      </c>
      <c r="H15" s="144"/>
    </row>
    <row r="16" spans="2:8">
      <c r="B16" s="47"/>
      <c r="C16" s="118"/>
      <c r="D16" s="118"/>
      <c r="E16" s="150"/>
      <c r="G16" s="150"/>
    </row>
    <row r="17" spans="2:14">
      <c r="B17" s="47"/>
      <c r="C17" s="118"/>
      <c r="D17" s="118"/>
      <c r="E17" s="144"/>
      <c r="F17" s="144"/>
      <c r="G17" s="144"/>
      <c r="H17" s="144"/>
    </row>
    <row r="18" spans="2:14">
      <c r="B18" s="47"/>
      <c r="C18" s="118"/>
      <c r="D18" s="118"/>
      <c r="E18" s="150"/>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No</v>
      </c>
      <c r="D23" s="118" t="str">
        <f>D7</f>
        <v>Unknown</v>
      </c>
      <c r="E23" s="118" t="str">
        <f>E10</f>
        <v>Less than annually</v>
      </c>
      <c r="F23" s="118" t="str">
        <f>F7</f>
        <v>No review conducted</v>
      </c>
      <c r="G23" s="118"/>
      <c r="H23" s="118"/>
    </row>
    <row r="24" spans="2:14">
      <c r="B24" s="119"/>
      <c r="C24" s="118" t="str">
        <f>C9</f>
        <v>Policy broadly addresses and there exists a collective understanding</v>
      </c>
      <c r="D24" s="118" t="str">
        <f>D11</f>
        <v>Estimated total available</v>
      </c>
      <c r="E24" s="118" t="str">
        <f>E12</f>
        <v>Annually</v>
      </c>
      <c r="F24" s="118" t="str">
        <f>F10</f>
        <v>Less than annually</v>
      </c>
      <c r="G24" s="118"/>
      <c r="H24" s="118"/>
    </row>
    <row r="25" spans="2:14">
      <c r="B25" s="119"/>
      <c r="C25" s="118" t="str">
        <f>C15</f>
        <v>Policy includes specific exemptions</v>
      </c>
      <c r="D25" s="118" t="str">
        <f>D15</f>
        <v>Monitored, count available</v>
      </c>
      <c r="E25" s="118" t="str">
        <f>E13</f>
        <v>Quarterly</v>
      </c>
      <c r="F25" s="118" t="str">
        <f>F12</f>
        <v>Annually</v>
      </c>
      <c r="G25" s="118"/>
      <c r="H25" s="118"/>
    </row>
    <row r="26" spans="2:14">
      <c r="B26" s="119"/>
      <c r="C26" s="118"/>
      <c r="D26" s="118"/>
      <c r="E26" t="str">
        <f>E14</f>
        <v>Bi-Monthly</v>
      </c>
      <c r="F26" t="str">
        <f>F13</f>
        <v>More than annually, but less than every billing cycle</v>
      </c>
      <c r="H26" s="118"/>
      <c r="L26" s="118"/>
      <c r="N26" s="118"/>
    </row>
    <row r="27" spans="2:14">
      <c r="B27" s="119"/>
      <c r="C27" s="118"/>
      <c r="D27" s="118"/>
      <c r="E27" t="str">
        <f>E15</f>
        <v>Monthly or more frequently</v>
      </c>
      <c r="F27" t="str">
        <f>F15</f>
        <v>Each billing cycle</v>
      </c>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225</v>
      </c>
      <c r="C34" s="118"/>
      <c r="D34" s="118"/>
      <c r="E34" s="118"/>
      <c r="F34" s="118"/>
      <c r="G34" s="118"/>
      <c r="H34" s="118"/>
    </row>
    <row r="35" spans="2:8">
      <c r="B35" s="136" t="s">
        <v>234</v>
      </c>
      <c r="C35" s="118"/>
      <c r="D35" s="118"/>
      <c r="E35" s="118"/>
      <c r="F35" s="118"/>
      <c r="G35" s="118"/>
      <c r="H35" s="118"/>
    </row>
    <row r="36" spans="2:8">
      <c r="B36" s="136" t="s">
        <v>235</v>
      </c>
      <c r="C36" s="118"/>
      <c r="D36" s="118"/>
      <c r="E36" s="118"/>
      <c r="F36" s="118"/>
      <c r="G36" s="118"/>
      <c r="H36" s="118"/>
    </row>
    <row r="37" spans="2:8">
      <c r="B37" s="136" t="s">
        <v>236</v>
      </c>
      <c r="C37" s="118"/>
      <c r="D37" s="118"/>
      <c r="E37" s="118"/>
      <c r="F37" s="118"/>
      <c r="G37" s="118"/>
      <c r="H37" s="118"/>
    </row>
    <row r="38" spans="2:8">
      <c r="B38" s="136" t="s">
        <v>237</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2" ma:contentTypeDescription="Create a new document." ma:contentTypeScope="" ma:versionID="52cdfb817a76800e334c8912980b4bae">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dcfab41d74b8c7efeff17712b7a2da63"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FB882FA-77C4-4ADF-83E4-EDB6508007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11c9e6-3ed6-44a7-bb50-2b402fc6d82e"/>
    <ds:schemaRef ds:uri="823c690f-1428-4b7b-913c-f8e8cae1aa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0D6EF31-FCB6-44C0-92E1-66E420FB322F}">
  <ds:schemaRefs>
    <ds:schemaRef ds:uri="http://schemas.microsoft.com/office/2006/metadata/properties"/>
    <ds:schemaRef ds:uri="http://schemas.microsoft.com/office/infopath/2007/PartnerControls"/>
    <ds:schemaRef ds:uri="823c690f-1428-4b7b-913c-f8e8cae1aa4a"/>
  </ds:schemaRefs>
</ds:datastoreItem>
</file>

<file path=customXml/itemProps3.xml><?xml version="1.0" encoding="utf-8"?>
<ds:datastoreItem xmlns:ds="http://schemas.openxmlformats.org/officeDocument/2006/customXml" ds:itemID="{3053A951-8A5B-40E5-9EBC-259314F3CEC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subject/>
  <dc:creator>Will Jernigan, David Sayers, Kate Gasner, George Kunkel, Andrew Chastain-Howley</dc:creator>
  <cp:keywords/>
  <dc:description/>
  <cp:lastModifiedBy>Leonard, Allyson</cp:lastModifiedBy>
  <cp:revision/>
  <dcterms:created xsi:type="dcterms:W3CDTF">2004-11-04T17:59:53Z</dcterms:created>
  <dcterms:modified xsi:type="dcterms:W3CDTF">2024-05-22T15:50:43Z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2022-01-21T19:13:31Z</vt:lpwstr>
  </property>
  <property fmtid="{D5CDD505-2E9C-101B-9397-08002B2CF9AE}" pid="5" name="MSIP_Label_846c87f6-c46e-48eb-b7ce-d3a4a7d30611_Method">
    <vt:lpwstr>Privileged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332c707b-5188-47d2-b811-11db1e3699fc</vt:lpwstr>
  </property>
  <property fmtid="{D5CDD505-2E9C-101B-9397-08002B2CF9AE}" pid="9" name="MSIP_Label_846c87f6-c46e-48eb-b7ce-d3a4a7d30611_ContentBits">
    <vt:lpwstr>0</vt:lpwstr>
  </property>
</Properties>
</file>