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9CFDFC7C-CF1D-4903-BE20-A54A564832D7}" xr6:coauthVersionLast="47" xr6:coauthVersionMax="47" xr10:uidLastSave="{00000000-0000-0000-0000-000000000000}"/>
  <workbookProtection workbookPassword="FDB7" lockStructure="1"/>
  <bookViews>
    <workbookView xWindow="-28920" yWindow="-120" windowWidth="29040" windowHeight="1584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<sst xmlns="http://schemas.openxmlformats.org/spreadsheetml/2006/main" count="2541" uniqueCount="1284">
  <si>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</si>
  <si>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</si>
  <si>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</si>
  <si>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</si>
  <si>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</si>
  <si>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</si>
  <si>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</si>
  <si>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</si>
  <si>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</si>
  <si>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</si>
  <si>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</si>
  <si>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</si>
  <si>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</si>
  <si>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</si>
  <si>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</si>
  <si>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</si>
  <si>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</si>
  <si>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</si>
  <si>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</si>
  <si>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</si>
  <si>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</si>
  <si>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</si>
  <si>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</si>
  <si>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</si>
  <si>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</si>
  <si>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</si>
  <si>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</si>
  <si>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</si>
  <si>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</si>
  <si>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</si>
  <si>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</si>
  <si>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</si>
  <si>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</si>
  <si>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</si>
  <si>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</si>
  <si>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</si>
  <si>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</si>
  <si>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</si>
  <si>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</si>
  <si>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</si>
  <si>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</si>
  <si>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</si>
  <si>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</si>
  <si>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</si>
  <si>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</si>
  <si>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</si>
  <si>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</si>
  <si>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</si>
  <si>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</si>
  <si>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</si>
  <si>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</si>
  <si>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</si>
  <si>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</si>
  <si>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</si>
  <si>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</si>
  <si>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</si>
  <si>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</si>
  <si>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</si>
  <si>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</si>
  <si>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</si>
  <si>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</si>
  <si>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</si>
  <si>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</si>
  <si>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</si>
  <si>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</si>
  <si>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</si>
  <si>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</si>
  <si>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</si>
  <si>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</si>
  <si>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</si>
  <si>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</si>
  <si>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</si>
  <si>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</si>
  <si>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</si>
  <si>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</si>
  <si>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</si>
  <si>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</si>
  <si>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</si>
  <si>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</si>
  <si>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</si>
  <si>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</si>
  <si>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</si>
  <si>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</si>
  <si>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</si>
  <si>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</si>
  <si>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</si>
  <si>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</si>
  <si>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</si>
  <si>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</si>
  <si>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</si>
  <si>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</si>
  <si>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</si>
  <si>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</si>
  <si>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</si>
  <si>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</si>
  <si>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</si>
  <si>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</si>
  <si>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</si>
  <si>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</si>
  <si>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</si>
  <si>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</si>
  <si>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</si>
  <si>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</si>
  <si>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</si>
  <si>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</si>
  <si>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</si>
  <si>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</si>
  <si>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</si>
  <si>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</si>
  <si>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</si>
  <si>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</si>
  <si>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</si>
  <si>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</si>
  <si>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</si>
  <si>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</si>
  <si>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</si>
  <si>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</si>
  <si>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</si>
  <si>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</si>
  <si>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</si>
  <si>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</si>
  <si>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</si>
  <si>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</si>
  <si>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</si>
  <si>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</si>
  <si>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</si>
  <si>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</si>
  <si>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</si>
  <si>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</si>
  <si>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</si>
  <si>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</si>
  <si>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</si>
  <si>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</si>
  <si>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</si>
  <si>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</si>
  <si>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</si>
  <si>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</si>
  <si>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</si>
  <si>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</si>
  <si>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</si>
  <si>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</si>
  <si>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</si>
  <si>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</si>
  <si>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</si>
  <si>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</si>
  <si>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</si>
  <si>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</si>
  <si>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</si>
  <si>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</si>
  <si>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</si>
  <si>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</si>
  <si>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</si>
  <si>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</si>
  <si>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</si>
  <si>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</si>
  <si>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</si>
  <si>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</si>
  <si>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</si>
  <si>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</si>
  <si>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</si>
  <si>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</si>
  <si>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</si>
  <si>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</si>
  <si>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</si>
  <si>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</si>
  <si>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</si>
  <si>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</si>
  <si>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</si>
  <si>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</si>
  <si>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</si>
  <si>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</si>
  <si>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</si>
  <si>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</si>
  <si>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</si>
  <si>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</si>
  <si>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</si>
  <si>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</si>
  <si>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</si>
  <si>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</si>
  <si>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</si>
  <si>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</si>
  <si>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</si>
  <si>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</si>
  <si>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</si>
  <si>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</si>
  <si>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</si>
  <si>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</si>
  <si>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</si>
  <si>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</si>
  <si>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</si>
  <si>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</si>
  <si>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</si>
  <si>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</si>
  <si>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</si>
  <si>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</si>
  <si>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</si>
  <si>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</si>
  <si>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</si>
  <si>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</si>
  <si>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</si>
  <si>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</si>
  <si>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</si>
  <si>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</si>
  <si>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</si>
  <si>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</si>
  <si>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</si>
  <si>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</si>
  <si>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</si>
  <si>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</si>
  <si>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</si>
  <si>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</si>
  <si>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</si>
  <si>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</si>
  <si>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</si>
  <si>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</si>
  <si>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</si>
  <si>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</si>
  <si>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</si>
  <si>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</si>
  <si>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</si>
  <si>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</si>
  <si>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</si>
  <si>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</si>
  <si>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</si>
  <si>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</si>
  <si>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</si>
  <si>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</si>
  <si>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</si>
  <si>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</si>
  <si>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</si>
  <si>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</si>
  <si>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</si>
  <si>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</si>
  <si>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</si>
  <si>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</si>
  <si>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</si>
  <si>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</si>
  <si>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</si>
  <si>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</si>
  <si>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</si>
  <si>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</si>
  <si>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</si>
  <si>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</si>
  <si>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</si>
  <si>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</si>
  <si>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</si>
  <si>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</si>
  <si>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</si>
  <si>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</si>
  <si>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</si>
  <si>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</si>
  <si>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</si>
  <si>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</si>
  <si>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</si>
  <si>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</si>
  <si>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</si>
  <si>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</si>
  <si>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</si>
  <si>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</si>
  <si>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</si>
  <si>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</si>
  <si>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</si>
  <si>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</si>
  <si>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</si>
  <si>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</si>
  <si>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</si>
  <si>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</si>
  <si>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</si>
  <si>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</si>
  <si>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</si>
  <si>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</si>
  <si>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</si>
  <si>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</si>
  <si>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</si>
  <si>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</si>
  <si>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</si>
  <si>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</si>
  <si>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</si>
  <si>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</si>
  <si>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</si>
  <si>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</si>
  <si>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</si>
  <si>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</si>
  <si>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</si>
  <si>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</si>
  <si>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</si>
  <si>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</si>
  <si>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</si>
  <si>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</si>
  <si>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</si>
  <si>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</si>
  <si>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</si>
  <si>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</si>
  <si>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</si>
  <si>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</si>
  <si>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</si>
  <si>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</si>
  <si>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</si>
  <si>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</si>
  <si>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</si>
  <si>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</si>
  <si>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</si>
  <si>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</si>
  <si>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</si>
  <si>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</si>
  <si>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</si>
  <si>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</si>
  <si>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</si>
  <si>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</si>
  <si>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</si>
  <si>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</si>
  <si>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</si>
  <si>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</si>
  <si>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</si>
  <si>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</si>
  <si>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</si>
  <si>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</si>
  <si>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</si>
  <si>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</si>
  <si>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</si>
  <si>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</si>
  <si>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</si>
  <si>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</si>
  <si>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</si>
  <si>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</si>
  <si>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</si>
  <si>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</si>
  <si>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</si>
  <si>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</si>
  <si>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</si>
  <si>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</si>
  <si>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</si>
  <si>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</si>
  <si>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</si>
  <si>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</si>
  <si>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</si>
  <si>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</si>
  <si>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</si>
  <si>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</si>
  <si>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</si>
  <si>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</si>
  <si>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</si>
  <si>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</si>
  <si>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</si>
  <si>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</si>
  <si>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</si>
  <si>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</si>
  <si>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</si>
  <si>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</si>
  <si>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</si>
  <si>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</si>
  <si>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</si>
  <si>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</si>
  <si>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</si>
  <si>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</si>
  <si>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</si>
  <si>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</si>
  <si>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</si>
  <si>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</si>
  <si>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</si>
  <si>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</si>
  <si>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</si>
  <si>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</si>
  <si>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</si>
  <si>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</si>
  <si>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</si>
  <si>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</si>
  <si>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</si>
  <si>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</si>
  <si>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</si>
  <si>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</si>
  <si>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</si>
  <si>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</si>
  <si>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</si>
  <si>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</si>
  <si>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</si>
  <si>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</si>
  <si>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</si>
  <si>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</si>
  <si>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</si>
  <si>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</si>
  <si>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</si>
  <si>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</si>
  <si>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</si>
  <si>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</si>
  <si>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</si>
  <si>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</si>
  <si>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</si>
  <si>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</si>
  <si>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</si>
  <si>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</si>
  <si>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</si>
  <si>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</si>
  <si>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</si>
  <si>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</si>
  <si>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</si>
  <si>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</si>
  <si>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</si>
  <si>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</si>
  <si>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</si>
  <si>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</si>
  <si>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</si>
  <si>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</si>
  <si>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</si>
  <si>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</si>
  <si>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</si>
  <si>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</si>
  <si>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</si>
  <si>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</si>
  <si>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</si>
  <si>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</si>
  <si>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</si>
  <si>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</si>
  <si>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</si>
  <si>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</si>
  <si>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</si>
  <si>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</si>
  <si>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</si>
  <si>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</si>
  <si>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</si>
  <si>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</si>
  <si>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</si>
  <si>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</si>
  <si>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</si>
  <si>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</si>
  <si>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</si>
  <si>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</si>
  <si>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</si>
  <si>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</si>
  <si>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</si>
  <si>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</si>
  <si>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</si>
  <si>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</si>
  <si>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</si>
  <si>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</si>
  <si>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</si>
  <si>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</si>
  <si>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</si>
  <si>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</si>
  <si>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</si>
  <si>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</si>
  <si>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</si>
  <si>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</si>
  <si>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</si>
  <si>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</si>
  <si>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</si>
  <si>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</si>
  <si>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</si>
  <si>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</si>
  <si>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</si>
  <si>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</si>
  <si>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</si>
  <si>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</si>
  <si>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</si>
  <si>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</si>
  <si>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</si>
  <si>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</si>
  <si>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</si>
  <si>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</si>
  <si>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</si>
  <si>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</si>
  <si>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</si>
  <si>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</si>
  <si>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</si>
  <si>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</si>
  <si>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</si>
  <si>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</si>
  <si>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</si>
  <si>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</si>
  <si>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</si>
  <si>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</si>
  <si>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</si>
  <si>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</si>
  <si>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</si>
  <si>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</si>
  <si>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</si>
  <si>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</si>
  <si>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</si>
  <si>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</si>
  <si>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</si>
  <si>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</si>
  <si>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</si>
  <si>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</si>
  <si>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</si>
  <si>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</si>
  <si>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</si>
  <si>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</si>
  <si>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</si>
  <si>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</si>
  <si>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</si>
  <si>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</si>
  <si>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</si>
  <si>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</si>
  <si>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</si>
  <si>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</si>
  <si>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</si>
  <si>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</si>
  <si>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</si>
  <si>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</si>
  <si>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</si>
  <si>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</si>
  <si>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</si>
  <si>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</si>
  <si>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</si>
  <si>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</si>
  <si>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</si>
  <si>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</si>
  <si>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</si>
  <si>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</si>
  <si>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</si>
  <si>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</si>
  <si>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</si>
  <si>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</si>
  <si>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</si>
  <si>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</si>
  <si>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</si>
  <si>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- 530 Abington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</si>
  <si>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</si>
  <si>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</si>
  <si>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</si>
  <si>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</si>
  <si>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</si>
  <si>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</si>
  <si>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</si>
  <si>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</si>
  <si>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</si>
  <si>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</si>
  <si>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</si>
  <si>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</si>
  <si>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</si>
  <si>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</si>
  <si>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</si>
  <si>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Clarks Summit</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</si>
  <si>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</si>
  <si>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</si>
  <si>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</si>
  <si>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</si>
  <si>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</si>
  <si>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</si>
  <si>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</si>
  <si>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</si>
  <si>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</si>
  <si>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</si>
  <si>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</si>
  <si>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</si>
  <si>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</si>
  <si>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</si>
  <si>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</si>
  <si>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</si>
  <si>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</si>
  <si>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</si>
  <si>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</si>
  <si>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</si>
  <si>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</si>
  <si>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</si>
  <si>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</si>
  <si>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</si>
  <si>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</si>
  <si>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</si>
  <si>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</si>
  <si>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</si>
  <si>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</si>
  <si>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</si>
  <si>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</si>
  <si>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</si>
  <si>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</si>
  <si>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</si>
  <si>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</si>
  <si>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</si>
  <si>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</si>
  <si>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</si>
  <si>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</si>
  <si>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</si>
  <si>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</si>
  <si>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</si>
  <si>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</si>
  <si>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2359008 , 2660004</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</si>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</sst>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69.490288675022043</c:v>
                </c:pt>
                <c:pt idx="1">
                  <c:v>2.0024160337996988</c:v>
                </c:pt>
                <c:pt idx="2">
                  <c:v>178.80929951614058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3.7504119276982166</c:v>
                </c:pt>
                <c:pt idx="1">
                  <c:v>0.26113598867139654</c:v>
                </c:pt>
                <c:pt idx="2">
                  <c:v>28.630450667554953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27.104496914900938</c:v>
                </c:pt>
                <c:pt idx="1">
                  <c:v>0.92482240795754933</c:v>
                </c:pt>
                <c:pt idx="2">
                  <c:v>87.573481671835182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18.922903007195664</c:v>
                </c:pt>
                <c:pt idx="1">
                  <c:v>0.38772920688421864</c:v>
                </c:pt>
                <c:pt idx="2">
                  <c:v>29.155518646447444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8.1815939077052757</c:v>
                </c:pt>
                <c:pt idx="1">
                  <c:v>0.56875750335916142</c:v>
                </c:pt>
                <c:pt idx="2">
                  <c:v>62.344336508830743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90</c:v>
                </c:pt>
                <c:pt idx="1">
                  <c:v>1.2666666666666666</c:v>
                </c:pt>
                <c:pt idx="2" formatCode="General">
                  <c:v>108.73333333333333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196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1.5269999999999999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26.638999999999999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0.88778000000000012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7.2783469387755302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0.88778000000000012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158.7032938544819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$188,873/Yr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520.66119000000003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9083.099830000001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12313.508600000001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100529.06328959212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12313.508600000001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54113.062105562698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2.3286418050207702</c:v>
                </c:pt>
                <c:pt idx="1">
                  <c:v>9.0856271993300333E-2</c:v>
                </c:pt>
                <c:pt idx="2">
                  <c:v>8.9375359221484718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65.739876747323819</c:v>
                </c:pt>
                <c:pt idx="1">
                  <c:v>1.8469276802355887</c:v>
                </c:pt>
                <c:pt idx="2">
                  <c:v>163.27915560188916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3023.6686008817783</c:v>
                </c:pt>
                <c:pt idx="1">
                  <c:v>97.186039594358903</c:v>
                </c:pt>
                <c:pt idx="2" formatCode="_(* #,##0_);_(* \(#,##0\);_(* &quot;-&quot;??_);_(@_)">
                  <c:v>9027.4003088187237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4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4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4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4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4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5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5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5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5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5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5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5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57"/>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5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5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6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6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62"/>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6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20" sqref="AB20:AL20"/>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45352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23613</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P73" sqref="P7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- 530 Abington</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555.71900000000005</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8.5000000000000006E-3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4.7236115000000005</v>
      </c>
      <c r="Y15" s="84">
        <f>$Y$19/$Y$18*H15</f>
        <v>34.705007436787312</v>
      </c>
      <c r="Z15" s="114">
        <f>$Y$19/$Y$18*ABS(X15)</f>
        <v>0.29499256321269213</v>
      </c>
      <c r="AA15" s="754">
        <f>IF(W15=1,input_VOS-input_VOS/(1+O15*AB15),Q15*AB15)</f>
        <v>4.6837992067426057</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551.03520079325745</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560.4426115</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551.03520079325745</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355.11200000000002</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13.940057032461398</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5.994296753860346E-2</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1.5269999999999999</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356.63900000000001</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26.638999999999999</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26.638999999999999</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383.27800000000002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167.75720079325743</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3</v>
      </c>
      <c r="G39" s="152"/>
      <c r="H39" s="847">
        <f>IF(OR(W39=1,AND(W39=2,Q39=0)),O39*SUM(H23:H24),Q39)</f>
        <v>0.88778000000000012</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7</v>
      </c>
      <c r="G41" s="152"/>
      <c r="H41" s="848">
        <f>IF(OR(T41="Select…..",T41=""),"Select under/over",IF(W41=1,((H23+H25)/(1-(O41*X41)))-(H23+H25),Q41*X41))</f>
        <v>7.2783469387755417</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747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723</v>
      </c>
      <c r="E43" s="463" t="s">
        <v>724</v>
      </c>
      <c r="F43" s="390">
        <f>'Interactive Data Grading'!D322</f>
        <v>3</v>
      </c>
      <c r="G43" s="152"/>
      <c r="H43" s="727">
        <f>IF(OR(W43=1,AND(W43=2,Q43=0)),O43*SUM(H23:H24),Q43)</f>
        <v>0.88778000000000012</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9.0539069387755404</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7.2471836734694079</v>
      </c>
      <c r="Y50" s="854">
        <f>IFERROR(IF(W41=1,((H25)/(1-(O41*X41)))-(H25),Q41*H25/(H23+H25)),0)</f>
        <v>3.1163265306122456E-2</v>
      </c>
      <c r="Z50" s="855">
        <f>SUM(X50:Y50)</f>
        <v>7.2783469387755302</v>
      </c>
      <c r="AA50" s="1029"/>
      <c r="AB50" s="1029"/>
      <c r="AC50" s="1029"/>
    </row>
    <row r="51" spans="1:29">
      <c r="A51" s="827"/>
      <c r="B51" s="448"/>
      <c r="C51" s="1009" t="s">
        <v>754</v>
      </c>
      <c r="D51" s="1009"/>
      <c r="E51" s="1009"/>
      <c r="F51" s="1009"/>
      <c r="G51" s="728"/>
      <c r="H51" s="727">
        <f>IFERROR(H35-H46,"")</f>
        <v>158.7032938544819</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100518.43755102069</v>
      </c>
      <c r="Y51" s="856">
        <f>Y50*input_VPC</f>
        <v>10.625738571428574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167.75720079325743</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195.92320079325742</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723</v>
      </c>
      <c r="E61" s="463" t="s">
        <v>724</v>
      </c>
      <c r="F61" s="390">
        <f>'Interactive Data Grading'!D350</f>
        <v>10</v>
      </c>
      <c r="G61" s="47"/>
      <c r="H61" s="256">
        <v>143.80000000000001</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723</v>
      </c>
      <c r="E62" s="463" t="s">
        <v>724</v>
      </c>
      <c r="F62" s="390">
        <f>'Interactive Data Grading'!D374</f>
        <v>10</v>
      </c>
      <c r="G62" s="47"/>
      <c r="H62" s="396">
        <v>6614</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45.994436717663419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723</v>
      </c>
      <c r="E66" s="463" t="s">
        <v>724</v>
      </c>
      <c r="F66" s="390">
        <f>'Interactive Data Grading'!D398</f>
        <v>10</v>
      </c>
      <c r="G66" s="47"/>
      <c r="H66" s="256">
        <v>20.8</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20.8</v>
      </c>
      <c r="X67" s="171" t="s">
        <v>769</v>
      </c>
      <c r="Y67" s="171"/>
      <c r="Z67" s="171"/>
    </row>
    <row r="68" spans="1:26">
      <c r="A68" s="827"/>
      <c r="B68" s="448" t="s">
        <v>577</v>
      </c>
      <c r="C68" s="805" t="s">
        <v>770</v>
      </c>
      <c r="D68" s="700" t="s">
        <v>723</v>
      </c>
      <c r="E68" s="463" t="s">
        <v>724</v>
      </c>
      <c r="F68" s="390">
        <f>'Interactive Data Grading'!D422</f>
        <v>8</v>
      </c>
      <c r="G68" s="47"/>
      <c r="H68" s="256">
        <v>95</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774</v>
      </c>
      <c r="D76" s="700" t="s">
        <v>723</v>
      </c>
      <c r="E76" s="425" t="s">
        <v>724</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583</v>
      </c>
      <c r="C77" s="805" t="s">
        <v>777</v>
      </c>
      <c r="D77" s="700" t="s">
        <v>723</v>
      </c>
      <c r="E77" s="463" t="s">
        <v>724</v>
      </c>
      <c r="F77" s="390">
        <f>'Interactive Data Grading'!D469</f>
        <v>10</v>
      </c>
      <c r="G77" s="118"/>
      <c r="H77" s="864">
        <v>340.97</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2279387</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87" activePane="bottomLeft" state="frozen"/>
      <selection activeCell="B15" sqref="B15:F17"/>
      <selection pane="bottomLeft" activeCell="D296" sqref="D29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- 530 Abington</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- 530 Abington</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90</v>
      </c>
      <c r="BS6" s="585"/>
      <c r="BT6" s="584"/>
      <c r="BU6" s="586"/>
      <c r="BV6" s="586"/>
      <c r="BW6" s="586"/>
      <c r="BX6" s="50"/>
      <c r="BY6" s="50"/>
    </row>
    <row r="7" spans="1:77" s="190" customFormat="1" ht="12.95" customHeight="1">
      <c r="A7" s="189"/>
      <c r="B7" s="265"/>
      <c r="C7" s="50"/>
      <c r="D7" s="193"/>
      <c r="E7" s="711"/>
      <c r="F7" s="193"/>
      <c r="G7" s="193"/>
      <c r="H7" s="553"/>
      <c r="I7" s="654" t="s">
        <v>887</v>
      </c>
      <c r="J7" s="1049">
        <f>BR6</f>
        <v>90</v>
      </c>
      <c r="K7" s="1049"/>
      <c r="L7" s="655"/>
      <c r="M7" s="655"/>
      <c r="N7" s="655"/>
      <c r="O7" s="655"/>
      <c r="P7" s="655"/>
      <c r="Q7" s="654" t="s">
        <v>888</v>
      </c>
      <c r="R7" s="1048" t="str">
        <f>IF(BO2&gt;0,"",BR4)</f>
        <v>Tier IV (71-90)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585</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90</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108.73333333333333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27.104496914900938</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27.104496914900938</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27.104496914900938</v>
      </c>
      <c r="AB18" s="1059"/>
      <c r="AC18" s="1059"/>
      <c r="AD18" s="730" t="str">
        <f>BD13</f>
        <v>$/conn/year</v>
      </c>
      <c r="AE18" s="731"/>
      <c r="AF18" s="732"/>
      <c r="AG18" s="732"/>
      <c r="AH18" s="733"/>
      <c r="AI18" s="733"/>
      <c r="AJ18" s="731"/>
      <c r="AK18" s="1059">
        <f>BS22</f>
        <v>18.922903007195664</v>
      </c>
      <c r="AL18" s="1059"/>
      <c r="AM18" s="1059"/>
      <c r="AN18" s="730" t="str">
        <f>BD13</f>
        <v>$/conn/year</v>
      </c>
      <c r="AO18" s="731"/>
      <c r="AP18" s="731"/>
      <c r="AQ18" s="731"/>
      <c r="AR18" s="731"/>
      <c r="AS18" s="731"/>
      <c r="AT18" s="731"/>
      <c r="AU18" s="1059">
        <f>BS29</f>
        <v>8.1815939077052757</v>
      </c>
      <c r="AV18" s="1059"/>
      <c r="AW18" s="1059"/>
      <c r="AX18" s="730" t="str">
        <f>BD13</f>
        <v>$/conn/year</v>
      </c>
      <c r="AY18" s="576"/>
      <c r="AZ18" s="193"/>
      <c r="BA18" s="193"/>
      <c r="BB18" s="272"/>
      <c r="BC18" s="89"/>
      <c r="BD18" s="50" t="s">
        <v>911</v>
      </c>
      <c r="BE18" s="182">
        <f>(((5.41*Worksheet!H61)+(0.15*Worksheet!H62)+(7.5*(Worksheet!H62*Worksheet!W67/5280)))*Worksheet!H68)/1000000*365</f>
        <v>68.152728990909083</v>
      </c>
      <c r="BN18" s="535"/>
      <c r="BO18" s="591" t="s">
        <v>928</v>
      </c>
      <c r="BP18" s="593">
        <f>BQ18-BQ17</f>
        <v>8.9525318444022357</v>
      </c>
      <c r="BQ18" s="758">
        <f t="shared" si="0"/>
        <v>18.283980813778896</v>
      </c>
      <c r="BR18" s="591" t="s">
        <v>900</v>
      </c>
      <c r="BS18" s="595">
        <f>SUM(BP16:BP20)-SUM(BS16,BS17)</f>
        <v>87.573481671835182</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209.15277115019083</v>
      </c>
      <c r="BF19" s="181">
        <f>BE19*325851.427242/Worksheet!H62/365</f>
        <v>28.230995684086096</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392.48216400000007</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18.922903007195664</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18.922903007195664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29.155518646447444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69.490288675022043</v>
      </c>
      <c r="AB29" s="1063"/>
      <c r="AC29" s="1063"/>
      <c r="AD29" s="729" t="str">
        <f>BD10</f>
        <v>gal/conn/day</v>
      </c>
      <c r="AE29" s="729"/>
      <c r="AF29" s="734"/>
      <c r="AG29" s="734"/>
      <c r="AH29" s="575"/>
      <c r="AI29" s="575"/>
      <c r="AJ29" s="575"/>
      <c r="AK29" s="1063">
        <f>BS43</f>
        <v>3.7504119276982166</v>
      </c>
      <c r="AL29" s="1063"/>
      <c r="AM29" s="1063"/>
      <c r="AN29" s="730" t="str">
        <f>BD10</f>
        <v>gal/conn/day</v>
      </c>
      <c r="AO29" s="575"/>
      <c r="AP29" s="575"/>
      <c r="AQ29" s="575"/>
      <c r="AR29" s="575"/>
      <c r="AS29" s="575"/>
      <c r="AT29" s="575"/>
      <c r="AU29" s="1069">
        <f>BS55</f>
        <v>65.739876747323819</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8.1815939077052757</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8.1815939077052757</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95</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62.344336508830743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69.490288675022043</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69.490288675022043</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178.80929951614058</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2.3286418050207702</v>
      </c>
      <c r="AI41" s="1068"/>
      <c r="AJ41" s="1068"/>
      <c r="AK41" s="729" t="s">
        <v>949</v>
      </c>
      <c r="AL41" s="661"/>
      <c r="AM41" s="662"/>
      <c r="AN41" s="658"/>
      <c r="AO41" s="658"/>
      <c r="AP41" s="658"/>
      <c r="AQ41" s="658"/>
      <c r="AR41" s="658"/>
      <c r="AS41" s="1067">
        <f>BS69</f>
        <v>3023.6686008817783</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68.152728990909083</v>
      </c>
      <c r="AL43" s="1065"/>
      <c r="AM43" s="1065"/>
      <c r="AN43" s="1065"/>
      <c r="AO43" s="773" t="str">
        <f>BD7</f>
        <v>MG/Yr</v>
      </c>
      <c r="AP43" s="575"/>
      <c r="AQ43" s="575"/>
      <c r="AR43" s="575"/>
      <c r="AS43" s="1065">
        <f>IF(BG19=1,BF19,IFERROR(AK43*1000000/Worksheet!H62/365,""))</f>
        <v>28.230995684086096</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3.7504119276982166</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3.7504119276982166</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28.630450667554953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744</v>
      </c>
      <c r="I49" s="1074">
        <f>IF(ISBLANK('Start Page'!$AB$22),"",Worksheet!H46)</f>
        <v>9.0539069387755404</v>
      </c>
      <c r="J49" s="1074"/>
      <c r="K49" s="1074"/>
      <c r="L49" s="1074"/>
      <c r="M49" s="558"/>
      <c r="N49" s="1075">
        <f>IF(OR(ISBLANK('Start Page'!$AB$22),ISBLANK(Worksheet!J76)),"",(SUM(Worksheet!H43+Worksheet!H39+Worksheet!X50)*Worksheet!H76)*INDEX(Sheet1!B2:D4,MATCH('Start Page'!AB22,Sheet1!A2:A4,0),MATCH(Worksheet!J76,Sheet1!B1:D1,0))+Worksheet!Y50*Worksheet!H77)</f>
        <v>125156.08048959212</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158.7032938544819</v>
      </c>
      <c r="J50" s="1074"/>
      <c r="K50" s="1074"/>
      <c r="L50" s="1074"/>
      <c r="M50" s="558"/>
      <c r="N50" s="1075">
        <f>IFERROR(IF(Worksheet!H41="Select under/over","",IF(ISBLANK('Start Page'!AB22),"",Worksheet!H51*(IF(BD29=FALSE,Worksheet!H77,IF(BD29=TRUE,Worksheet!H76*INDEX(Sheet1!B2:D4,MATCH('Start Page'!AB22,Sheet1!A2:A4,0),MATCH(Worksheet!J76,Sheet1!B1:D1,0)),""))))),"")</f>
        <v>54113.062105562698</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28.166</v>
      </c>
      <c r="J51" s="1074"/>
      <c r="K51" s="1074"/>
      <c r="L51" s="1074"/>
      <c r="M51" s="558"/>
      <c r="N51" s="1075">
        <f>IFERROR(IF(SUM(Sheet1!D90:D91)=0,"",SUM(Sheet1!D90:D91)),"")</f>
        <v>9603.7610200000017</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195.92320079325742</v>
      </c>
      <c r="J52" s="1074"/>
      <c r="K52" s="1074"/>
      <c r="L52" s="1074"/>
      <c r="M52" s="558"/>
      <c r="N52" s="1075">
        <f>IF(SUM(N49:N51)=0,"",SUM(N49:N51))</f>
        <v>188872.90361515482</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65.739876747323819</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65.739876747323819</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163.27915560188916</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2.3286418050207702</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2.3286418050207702</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8.9375359221484718</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3023.6686008817783</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3023.6686008817783</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9027.4003088187237</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42.665808526427512</v>
      </c>
      <c r="BQ83" s="608">
        <f>BP83+BQ78</f>
        <v>95</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- 530 Abington</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196 MG/Yr</v>
      </c>
    </row>
    <row r="79" spans="1:6" ht="16.5">
      <c r="B79" s="46"/>
      <c r="C79" s="46"/>
      <c r="D79" s="46"/>
      <c r="E79" s="8" t="str">
        <f>IFERROR("Total Cost of NRW = $"&amp;TEXT(SUM(D90,D91,D94,D95,D96,D97,D99),"#,###")&amp;"/Yr","")</f>
        <v>Total Cost of NRW = $188,873/Yr</v>
      </c>
      <c r="F79" s="46"/>
    </row>
    <row r="80" spans="1:6">
      <c r="A80"/>
      <c r="B80"/>
      <c r="C80" s="47" t="str">
        <f>"Volume ("&amp;Worksheet!J15&amp;")"</f>
        <v>Volume (MG/Yr)</v>
      </c>
      <c r="D80" s="47" t="s">
        <v>1041</v>
      </c>
      <c r="E80" s="79" t="s">
        <v>1042</v>
      </c>
      <c r="F80"/>
    </row>
    <row r="81" spans="1:6">
      <c r="A81" s="118" t="s">
        <v>1043</v>
      </c>
      <c r="B81" s="118"/>
      <c r="C81" s="100">
        <f>IF(Dashboard!BO$2&gt;0,"",Worksheet!H15)</f>
        <v>555.71900000000005</v>
      </c>
      <c r="D81" s="872">
        <f>IF(Dashboard!BO$2&gt;0,"",C81*(Worksheet!$H$77))</f>
        <v>189483.50743000003</v>
      </c>
      <c r="E81" s="489">
        <f>D81</f>
        <v>189483.50743000003</v>
      </c>
      <c r="F81" s="75" t="s">
        <v>1044</v>
      </c>
    </row>
    <row r="82" spans="1:6">
      <c r="A82" s="118" t="str">
        <f>A81&amp;" MA"</f>
        <v>Vol. from own sources: MA</v>
      </c>
      <c r="B82" s="118"/>
      <c r="C82" s="100">
        <f>IF(Dashboard!BO$2&gt;0,"",Worksheet!X15)</f>
        <v>4.7236115000000005</v>
      </c>
      <c r="D82" s="872">
        <f>IF(Dashboard!BO$2&gt;0,"",C82*(Worksheet!$H$77))</f>
        <v>1610.6098131550002</v>
      </c>
      <c r="E82" s="489">
        <f t="shared" ref="E82:E100" si="0">D82</f>
        <v>1610.6098131550002</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551.03520079325745</v>
      </c>
      <c r="D87" s="872">
        <f>IF(Dashboard!BO$2&gt;0,"",C87*(Worksheet!$H$77))</f>
        <v>187886.472414477</v>
      </c>
      <c r="E87" s="489">
        <f t="shared" si="0"/>
        <v>187886.472414477</v>
      </c>
      <c r="F87"/>
    </row>
    <row r="88" spans="1:6">
      <c r="A88" s="118" t="s">
        <v>1047</v>
      </c>
      <c r="B88"/>
      <c r="C88" s="100">
        <f>IF(Dashboard!BO$2&gt;0,"",Worksheet!H23)</f>
        <v>355.11200000000002</v>
      </c>
      <c r="D88" s="872">
        <f>IF(Dashboard!BO$2&gt;0,"",C88*(Worksheet!$H$76*1000))</f>
        <v>4925403.4400000004</v>
      </c>
      <c r="E88" s="489">
        <f t="shared" si="0"/>
        <v>4925403.4400000004</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1.5269999999999999</v>
      </c>
      <c r="D90" s="873">
        <f>IF(Dashboard!BO$2&gt;0,"",IF(ISBLANK('Start Page'!AB22),"",IF(AND(ISBLANK(Worksheet!H77),Worksheet!Z77&lt;&gt;1),"",Worksheet!H25*(IF(Dashboard!BD29=FALSE,Worksheet!H77,IF(Dashboard!BD29=TRUE,Worksheet!H76*INDEX(Sheet1!B2:D4,MATCH('Start Page'!AB22,Sheet1!A2:A4,0),MATCH(Worksheet!J76,Sheet1!B1:D1,0)),""))))))</f>
        <v>520.66119000000003</v>
      </c>
      <c r="E90" s="796">
        <f t="shared" si="0"/>
        <v>520.66119000000003</v>
      </c>
      <c r="F90"/>
    </row>
    <row r="91" spans="1:6">
      <c r="A91" s="797" t="str">
        <f>"Unbilled Unmetered (UUAC) valued at "&amp;A76&amp;""</f>
        <v xml:space="preserve">Unbilled Unmetered (UUAC) valued at </v>
      </c>
      <c r="B91" s="794"/>
      <c r="C91" s="795">
        <f>IF(Dashboard!BO$2&gt;0,"",Worksheet!H26)</f>
        <v>26.638999999999999</v>
      </c>
      <c r="D91" s="873">
        <f>IF(Dashboard!BO$2&gt;0,"",IF(ISBLANK('Start Page'!AB22),"",IF(AND(ISBLANK(Worksheet!H77),Worksheet!Z77&lt;&gt;1),"",Worksheet!H26*(IF(Dashboard!BD29=FALSE,Worksheet!H77,IF(Dashboard!BD29=TRUE,Worksheet!H76*INDEX(Sheet1!B2:D4,MATCH('Start Page'!AB22,Sheet1!A2:A4,0),MATCH(Worksheet!J76,Sheet1!B1:D1,0)),""))))))</f>
        <v>9083.099830000001</v>
      </c>
      <c r="E91" s="796">
        <f t="shared" si="0"/>
        <v>9083.099830000001</v>
      </c>
      <c r="F91"/>
    </row>
    <row r="92" spans="1:6">
      <c r="A92" s="118" t="s">
        <v>1049</v>
      </c>
      <c r="B92" s="874" t="s">
        <v>1050</v>
      </c>
      <c r="C92" s="100">
        <f>IF(Dashboard!BO$2&gt;0,"",Worksheet!H30)</f>
        <v>383.27800000000002</v>
      </c>
      <c r="D92" s="872">
        <f>IF(Dashboard!BO$2&gt;0,"",C92*(Worksheet!$H$76*1000))</f>
        <v>5316065.8600000003</v>
      </c>
      <c r="E92" s="489">
        <f t="shared" si="0"/>
        <v>5316065.8600000003</v>
      </c>
      <c r="F92"/>
    </row>
    <row r="93" spans="1:6">
      <c r="A93" t="s">
        <v>1051</v>
      </c>
      <c r="B93"/>
      <c r="C93" s="100">
        <f>IF(Dashboard!BO$2&gt;0,"",Worksheet!H35)</f>
        <v>167.75720079325743</v>
      </c>
      <c r="D93" s="872"/>
      <c r="E93" s="489">
        <f t="shared" si="0"/>
        <v>0</v>
      </c>
      <c r="F93"/>
    </row>
    <row r="94" spans="1:6">
      <c r="A94" s="171" t="s">
        <v>1052</v>
      </c>
      <c r="B94" s="118"/>
      <c r="C94" s="102">
        <f>IF(Dashboard!BO$2&gt;0,"",Worksheet!H43)</f>
        <v>0.88778000000000012</v>
      </c>
      <c r="D94" s="875">
        <f>IF(Dashboard!BO$2&gt;0,"",IF(ISBLANK('Start Page'!AB22),"",IF(AND(ISBLANK(Worksheet!H77),Worksheet!Z77&lt;&gt;1),"",C94*Worksheet!H76*INDEX(Sheet1!B2:D4,MATCH('Start Page'!AB22,Sheet1!A2:A4,0),MATCH(Worksheet!J76,Sheet1!B1:D1,0)))))</f>
        <v>12313.508600000001</v>
      </c>
      <c r="E94" s="490">
        <f t="shared" si="0"/>
        <v>12313.508600000001</v>
      </c>
      <c r="F94" s="103"/>
    </row>
    <row r="95" spans="1:6">
      <c r="A95" s="785" t="s">
        <v>1053</v>
      </c>
      <c r="B95" s="785"/>
      <c r="C95" s="786">
        <f>Worksheet!X50</f>
        <v>7.2471836734694079</v>
      </c>
      <c r="D95" s="876">
        <f>IF(Dashboard!BO$2&gt;0,"",IF(ISBLANK('Start Page'!AB22),"",IF(AND(ISBLANK(Worksheet!H77),Worksheet!Z77&lt;&gt;1),"",C95*Worksheet!H76*INDEX(Sheet1!B2:D4,MATCH('Start Page'!AB22,Sheet1!A2:A4,0),MATCH(Worksheet!J76,Sheet1!B1:D1,0)))))</f>
        <v>100518.43755102069</v>
      </c>
      <c r="E95" s="787">
        <f t="shared" si="0"/>
        <v>100518.43755102069</v>
      </c>
      <c r="F95" s="103"/>
    </row>
    <row r="96" spans="1:6">
      <c r="A96" s="785" t="s">
        <v>1054</v>
      </c>
      <c r="B96" s="785"/>
      <c r="C96" s="786">
        <f>Worksheet!Y50</f>
        <v>3.1163265306122456E-2</v>
      </c>
      <c r="D96" s="876">
        <f>C96*input_VPC</f>
        <v>10.625738571428574</v>
      </c>
      <c r="E96" s="787">
        <f t="shared" si="0"/>
        <v>10.625738571428574</v>
      </c>
      <c r="F96" s="788" t="s">
        <v>1055</v>
      </c>
    </row>
    <row r="97" spans="1:7">
      <c r="A97" s="171" t="s">
        <v>1056</v>
      </c>
      <c r="B97" s="118"/>
      <c r="C97" s="102">
        <f>IF(Dashboard!BO$2&gt;0,"",Worksheet!H39)</f>
        <v>0.88778000000000012</v>
      </c>
      <c r="D97" s="875">
        <f>IF(Dashboard!BO$2&gt;0,"",IF(ISBLANK('Start Page'!AB22),"",IF(AND(ISBLANK(Worksheet!H77),Worksheet!Z77&lt;&gt;1),"",C97*Worksheet!H76*INDEX(Sheet1!B2:D4,MATCH('Start Page'!AB22,Sheet1!A2:A4,0),MATCH(Worksheet!J76,Sheet1!B1:D1,0)))))</f>
        <v>12313.508600000001</v>
      </c>
      <c r="E97" s="490">
        <f t="shared" si="0"/>
        <v>12313.508600000001</v>
      </c>
      <c r="F97" s="103"/>
    </row>
    <row r="98" spans="1:7">
      <c r="A98" s="792" t="s">
        <v>749</v>
      </c>
      <c r="B98" s="792"/>
      <c r="C98" s="793">
        <f>IF(Dashboard!BO$2&gt;0,"",Worksheet!H46)</f>
        <v>9.0539069387755404</v>
      </c>
      <c r="D98" s="877">
        <f>IF(Dashboard!BO$2&gt;0,"",SUM(D94:D97))</f>
        <v>125156.08048959212</v>
      </c>
      <c r="E98" s="489">
        <f t="shared" si="0"/>
        <v>125156.08048959212</v>
      </c>
      <c r="F98"/>
    </row>
    <row r="99" spans="1:7">
      <c r="A99" s="171" t="str">
        <f>"Real Losses valued at "&amp;A76&amp;""</f>
        <v xml:space="preserve">Real Losses valued at </v>
      </c>
      <c r="B99" s="118"/>
      <c r="C99" s="102">
        <f>IF(Dashboard!BO$2&gt;0,"",Worksheet!H51)</f>
        <v>158.7032938544819</v>
      </c>
      <c r="D99" s="878">
        <f>IF(Dashboard!BO$2&gt;0,"",Dashboard!N50)</f>
        <v>54113.062105562698</v>
      </c>
      <c r="E99" s="490">
        <f t="shared" si="0"/>
        <v>54113.062105562698</v>
      </c>
      <c r="F99" s="489"/>
    </row>
    <row r="100" spans="1:7">
      <c r="A100" t="s">
        <v>757</v>
      </c>
      <c r="B100"/>
      <c r="C100" s="100">
        <f>IF(Dashboard!BO$2&gt;0,"",Worksheet!H57)</f>
        <v>195.92320079325742</v>
      </c>
      <c r="D100" s="101">
        <f>IF(Dashboard!BO$2&gt;0,"",D98+D99+D90+D91)</f>
        <v>188872.90361515482</v>
      </c>
      <c r="E100" s="489">
        <f t="shared" si="0"/>
        <v>188872.90361515482</v>
      </c>
      <c r="F100"/>
      <c r="G100" s="104"/>
    </row>
    <row r="101" spans="1:7">
      <c r="A101" s="789"/>
    </row>
    <row r="102" spans="1:7">
      <c r="A102" s="789" t="s">
        <v>1057</v>
      </c>
      <c r="C102" s="790">
        <f>C95+C96</f>
        <v>7.2783469387755302</v>
      </c>
      <c r="D102" s="104">
        <f>D95+D96</f>
        <v>100529.06328959212</v>
      </c>
      <c r="E102" s="104">
        <f>E95+E96</f>
        <v>100529.06328959212</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- 530 Abington</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355.11200000000002</v>
      </c>
      <c r="H12" s="881"/>
      <c r="I12" s="4"/>
      <c r="K12" s="756"/>
    </row>
    <row r="13" spans="2:16" ht="22.5" customHeight="1">
      <c r="B13" s="1089"/>
      <c r="C13" s="288"/>
      <c r="D13" s="286"/>
      <c r="E13" s="1098"/>
      <c r="F13" s="290">
        <f>Worksheet!H23+Worksheet!H24</f>
        <v>355.11200000000002</v>
      </c>
      <c r="G13" s="485" t="s">
        <v>1069</v>
      </c>
      <c r="H13" s="291">
        <f>SUM(G12+G14)</f>
        <v>355.11200000000002</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383.27800000000002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1.5269999999999999</v>
      </c>
      <c r="H16" s="1097"/>
      <c r="I16" s="4"/>
      <c r="K16" s="118"/>
    </row>
    <row r="17" spans="2:16" ht="22.5" customHeight="1">
      <c r="B17" s="299">
        <f>Worksheet!AG15</f>
        <v>551.03520079325745</v>
      </c>
      <c r="C17" s="300"/>
      <c r="D17" s="301"/>
      <c r="E17" s="194"/>
      <c r="F17" s="302">
        <f>Worksheet!H25+Worksheet!H26</f>
        <v>28.166</v>
      </c>
      <c r="G17" s="289" t="s">
        <v>1074</v>
      </c>
      <c r="H17" s="881"/>
      <c r="I17" s="4"/>
      <c r="K17" s="118"/>
      <c r="L17" s="99"/>
      <c r="M17" s="99"/>
      <c r="N17" s="99"/>
      <c r="O17" s="99"/>
      <c r="P17" s="99"/>
    </row>
    <row r="18" spans="2:16" ht="15.75" customHeight="1">
      <c r="B18" s="297"/>
      <c r="C18" s="1110" t="s">
        <v>1075</v>
      </c>
      <c r="D18" s="286"/>
      <c r="E18" s="303"/>
      <c r="F18" s="294"/>
      <c r="G18" s="304">
        <f>Worksheet!H26</f>
        <v>26.638999999999999</v>
      </c>
      <c r="H18" s="881"/>
      <c r="I18" s="4"/>
      <c r="K18" s="118"/>
    </row>
    <row r="19" spans="2:16" ht="22.5" customHeight="1">
      <c r="B19" s="297"/>
      <c r="C19" s="1110"/>
      <c r="D19" s="815" t="s">
        <v>1076</v>
      </c>
      <c r="E19" s="282"/>
      <c r="F19" s="884"/>
      <c r="G19" s="485" t="s">
        <v>1077</v>
      </c>
      <c r="H19" s="305">
        <f>Worksheet!H25+Worksheet!H26+Worksheet!H46+Worksheet!H51</f>
        <v>195.92320079325742</v>
      </c>
      <c r="I19" s="4"/>
      <c r="K19" s="118"/>
      <c r="L19" s="99"/>
      <c r="M19" s="99"/>
      <c r="N19" s="99"/>
      <c r="O19" s="99"/>
      <c r="P19" s="99"/>
    </row>
    <row r="20" spans="2:16" ht="15.75" customHeight="1">
      <c r="B20" s="297"/>
      <c r="C20" s="306">
        <f>B17+B27</f>
        <v>551.03520079325745</v>
      </c>
      <c r="D20" s="286"/>
      <c r="E20" s="194"/>
      <c r="F20" s="307" t="s">
        <v>744</v>
      </c>
      <c r="G20" s="298">
        <f>Worksheet!H39</f>
        <v>0.88778000000000012</v>
      </c>
      <c r="H20" s="881"/>
      <c r="I20" s="4"/>
      <c r="K20" s="118"/>
    </row>
    <row r="21" spans="2:16" ht="14.25" customHeight="1">
      <c r="B21" s="308"/>
      <c r="C21" s="309"/>
      <c r="D21" s="306">
        <f>Worksheet!H19</f>
        <v>551.03520079325745</v>
      </c>
      <c r="E21" s="310"/>
      <c r="F21" s="302">
        <f>Worksheet!H46</f>
        <v>9.0539069387755404</v>
      </c>
      <c r="G21" s="289" t="s">
        <v>1078</v>
      </c>
      <c r="H21" s="881"/>
      <c r="I21" s="4"/>
      <c r="K21" s="118"/>
      <c r="L21" s="99"/>
      <c r="M21" s="99"/>
      <c r="N21" s="99"/>
      <c r="O21" s="99"/>
      <c r="P21" s="99"/>
    </row>
    <row r="22" spans="2:16" ht="15.75" customHeight="1">
      <c r="B22" s="297"/>
      <c r="C22" s="285"/>
      <c r="D22" s="286"/>
      <c r="E22" s="194"/>
      <c r="F22" s="310"/>
      <c r="G22" s="311">
        <f>Worksheet!H41</f>
        <v>7.2783469387755417</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0.88778000000000012</v>
      </c>
      <c r="H24" s="881"/>
      <c r="I24" s="4"/>
      <c r="K24" s="118"/>
    </row>
    <row r="25" spans="2:16" ht="26.25" customHeight="1">
      <c r="B25" s="1088" t="s">
        <v>1080</v>
      </c>
      <c r="C25" s="288"/>
      <c r="D25" s="286"/>
      <c r="E25" s="313">
        <f>Worksheet!H53</f>
        <v>167.75720079325743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158.7032938544819</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- 530 Abington</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34.705007436787312</v>
      </c>
      <c r="AF98" s="35">
        <f t="shared" ref="AF98:AF103" si="0">AE98</f>
        <v>34.705007436787312</v>
      </c>
      <c r="AG98" s="35">
        <f>IF(AE98&lt;&gt;0,AF98/10,0)</f>
        <v>3.4705007436787314</v>
      </c>
      <c r="AH98" s="35">
        <f>IFERROR(AD98*AG98,0)</f>
        <v>34.705007436787312</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0.29499256321269213</v>
      </c>
      <c r="AF99" s="35">
        <f t="shared" si="0"/>
        <v>0.29499256321269213</v>
      </c>
      <c r="AG99" s="35">
        <f t="shared" ref="AG99:AG117" si="3">IF(AE99&lt;&gt;0,AF99/10,0)</f>
        <v>2.9499256321269214E-2</v>
      </c>
      <c r="AH99" s="35">
        <f t="shared" ref="AH99:AH106" si="4">IFERROR(AD99*AG99,0)</f>
        <v>0.29499256321269213</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13.940057032461398</v>
      </c>
      <c r="AF104" s="67">
        <f t="shared" ref="AF104:AF117" si="8">AE104/$AE$120</f>
        <v>17.096296360565866</v>
      </c>
      <c r="AG104" s="67">
        <f t="shared" si="3"/>
        <v>1.7096296360565866</v>
      </c>
      <c r="AH104" s="67">
        <f t="shared" ref="AH104:AH117" si="9">AD104*AG104</f>
        <v>15.386666724509279</v>
      </c>
      <c r="AI104" s="67">
        <f t="shared" si="1"/>
        <v>1.7096296360565866</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5.994296753860346E-2</v>
      </c>
      <c r="AF106" s="71">
        <f t="shared" si="8"/>
        <v>7.3514960188853298E-2</v>
      </c>
      <c r="AG106" s="71">
        <f t="shared" si="3"/>
        <v>7.3514960188853298E-3</v>
      </c>
      <c r="AH106" s="35">
        <f t="shared" si="4"/>
        <v>7.3514960188853298E-2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89.582823194132104</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0" zoomScale="115" zoomScaleNormal="115" zoomScaleSheetLayoutView="100" workbookViewId="0">
      <selection activeCell="D20" sqref="D20:L20"/>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C6EFE6-F913-4570-993A-FA8B8047A3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2024-05-22T15:48:31Z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