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05CC54D2-B7E2-4810-A54B-3C29CE9A36C7}"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<sst xmlns="http://schemas.openxmlformats.org/spreadsheetml/2006/main" count="2542" uniqueCount="1284">
  <si>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</si>
  <si>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</si>
  <si>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</si>
  <si>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</si>
  <si>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</si>
  <si>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</si>
  <si>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</si>
  <si>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</si>
  <si>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</si>
  <si>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</si>
  <si>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</si>
  <si>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</si>
  <si>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</si>
  <si>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</si>
  <si>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</si>
  <si>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</si>
  <si>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</si>
  <si>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</si>
  <si>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</si>
  <si>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</si>
  <si>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</si>
  <si>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</si>
  <si>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</si>
  <si>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</si>
  <si>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</si>
  <si>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</si>
  <si>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</si>
  <si>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</si>
  <si>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</si>
  <si>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</si>
  <si>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</si>
  <si>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</si>
  <si>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</si>
  <si>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</si>
  <si>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</si>
  <si>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</si>
  <si>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</si>
  <si>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</si>
  <si>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</si>
  <si>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</si>
  <si>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</si>
  <si>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</si>
  <si>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</si>
  <si>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</si>
  <si>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</si>
  <si>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</si>
  <si>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</si>
  <si>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</si>
  <si>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</si>
  <si>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</si>
  <si>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</si>
  <si>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</si>
  <si>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</si>
  <si>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</si>
  <si>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</si>
  <si>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</si>
  <si>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</si>
  <si>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</si>
  <si>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</si>
  <si>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</si>
  <si>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</si>
  <si>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</si>
  <si>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</si>
  <si>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</si>
  <si>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</si>
  <si>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</si>
  <si>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</si>
  <si>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</si>
  <si>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</si>
  <si>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</si>
  <si>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</si>
  <si>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</si>
  <si>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</si>
  <si>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</si>
  <si>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</si>
  <si>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</si>
  <si>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</si>
  <si>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</si>
  <si>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</si>
  <si>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</si>
  <si>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</si>
  <si>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</si>
  <si>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</si>
  <si>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</si>
  <si>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</si>
  <si>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</si>
  <si>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</si>
  <si>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</si>
  <si>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</si>
  <si>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</si>
  <si>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</si>
  <si>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</si>
  <si>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</si>
  <si>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</si>
  <si>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</si>
  <si>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</si>
  <si>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</si>
  <si>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</si>
  <si>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</si>
  <si>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</si>
  <si>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</si>
  <si>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</si>
  <si>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</si>
  <si>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</si>
  <si>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</si>
  <si>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</si>
  <si>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</si>
  <si>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</si>
  <si>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</si>
  <si>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</si>
  <si>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</si>
  <si>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</si>
  <si>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</si>
  <si>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</si>
  <si>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</si>
  <si>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</si>
  <si>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</si>
  <si>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</si>
  <si>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</si>
  <si>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</si>
  <si>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</si>
  <si>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</si>
  <si>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</si>
  <si>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</si>
  <si>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</si>
  <si>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</si>
  <si>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</si>
  <si>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</si>
  <si>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</si>
  <si>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</si>
  <si>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</si>
  <si>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</si>
  <si>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</si>
  <si>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</si>
  <si>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</si>
  <si>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</si>
  <si>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</si>
  <si>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</si>
  <si>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</si>
  <si>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</si>
  <si>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</si>
  <si>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</si>
  <si>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</si>
  <si>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</si>
  <si>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</si>
  <si>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</si>
  <si>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</si>
  <si>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</si>
  <si>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</si>
  <si>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</si>
  <si>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</si>
  <si>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</si>
  <si>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</si>
  <si>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</si>
  <si>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</si>
  <si>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</si>
  <si>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</si>
  <si>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</si>
  <si>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</si>
  <si>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</si>
  <si>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</si>
  <si>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</si>
  <si>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</si>
  <si>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</si>
  <si>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</si>
  <si>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</si>
  <si>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</si>
  <si>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</si>
  <si>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</si>
  <si>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</si>
  <si>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</si>
  <si>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</si>
  <si>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</si>
  <si>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</si>
  <si>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</si>
  <si>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</si>
  <si>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</si>
  <si>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</si>
  <si>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</si>
  <si>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</si>
  <si>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</si>
  <si>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</si>
  <si>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</si>
  <si>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</si>
  <si>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</si>
  <si>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</si>
  <si>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</si>
  <si>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</si>
  <si>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</si>
  <si>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</si>
  <si>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</si>
  <si>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</si>
  <si>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</si>
  <si>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</si>
  <si>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</si>
  <si>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</si>
  <si>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</si>
  <si>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</si>
  <si>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</si>
  <si>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</si>
  <si>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</si>
  <si>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</si>
  <si>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</si>
  <si>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</si>
  <si>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</si>
  <si>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</si>
  <si>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</si>
  <si>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</si>
  <si>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</si>
  <si>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</si>
  <si>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</si>
  <si>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</si>
  <si>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</si>
  <si>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</si>
  <si>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</si>
  <si>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</si>
  <si>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</si>
  <si>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</si>
  <si>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</si>
  <si>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</si>
  <si>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</si>
  <si>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</si>
  <si>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</si>
  <si>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</si>
  <si>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</si>
  <si>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</si>
  <si>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</si>
  <si>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</si>
  <si>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</si>
  <si>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</si>
  <si>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</si>
  <si>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</si>
  <si>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</si>
  <si>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</si>
  <si>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</si>
  <si>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</si>
  <si>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</si>
  <si>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</si>
  <si>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</si>
  <si>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</si>
  <si>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</si>
  <si>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</si>
  <si>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</si>
  <si>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</si>
  <si>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</si>
  <si>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</si>
  <si>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</si>
  <si>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</si>
  <si>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</si>
  <si>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</si>
  <si>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</si>
  <si>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</si>
  <si>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</si>
  <si>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</si>
  <si>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</si>
  <si>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</si>
  <si>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</si>
  <si>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</si>
  <si>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</si>
  <si>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</si>
  <si>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</si>
  <si>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</si>
  <si>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</si>
  <si>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</si>
  <si>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</si>
  <si>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</si>
  <si>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</si>
  <si>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</si>
  <si>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</si>
  <si>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</si>
  <si>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</si>
  <si>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</si>
  <si>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</si>
  <si>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</si>
  <si>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</si>
  <si>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</si>
  <si>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</si>
  <si>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</si>
  <si>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</si>
  <si>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</si>
  <si>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</si>
  <si>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</si>
  <si>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</si>
  <si>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</si>
  <si>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</si>
  <si>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</si>
  <si>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</si>
  <si>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</si>
  <si>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</si>
  <si>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</si>
  <si>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</si>
  <si>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</si>
  <si>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</si>
  <si>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</si>
  <si>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</si>
  <si>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</si>
  <si>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</si>
  <si>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</si>
  <si>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</si>
  <si>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</si>
  <si>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</si>
  <si>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</si>
  <si>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</si>
  <si>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</si>
  <si>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</si>
  <si>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</si>
  <si>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</si>
  <si>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</si>
  <si>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</si>
  <si>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</si>
  <si>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</si>
  <si>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</si>
  <si>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</si>
  <si>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</si>
  <si>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</si>
  <si>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</si>
  <si>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</si>
  <si>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</si>
  <si>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</si>
  <si>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</si>
  <si>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</si>
  <si>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</si>
  <si>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</si>
  <si>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</si>
  <si>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</si>
  <si>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</si>
  <si>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</si>
  <si>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</si>
  <si>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</si>
  <si>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</si>
  <si>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</si>
  <si>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</si>
  <si>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</si>
  <si>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</si>
  <si>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</si>
  <si>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</si>
  <si>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</si>
  <si>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</si>
  <si>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</si>
  <si>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</si>
  <si>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</si>
  <si>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</si>
  <si>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</si>
  <si>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</si>
  <si>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</si>
  <si>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</si>
  <si>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</si>
  <si>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</si>
  <si>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</si>
  <si>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</si>
  <si>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</si>
  <si>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</si>
  <si>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</si>
  <si>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</si>
  <si>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</si>
  <si>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</si>
  <si>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</si>
  <si>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</si>
  <si>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</si>
  <si>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</si>
  <si>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</si>
  <si>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</si>
  <si>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</si>
  <si>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</si>
  <si>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</si>
  <si>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</si>
  <si>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</si>
  <si>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</si>
  <si>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</si>
  <si>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</si>
  <si>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</si>
  <si>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</si>
  <si>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</si>
  <si>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</si>
  <si>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</si>
  <si>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</si>
  <si>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</si>
  <si>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</si>
  <si>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</si>
  <si>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</si>
  <si>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</si>
  <si>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</si>
  <si>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</si>
  <si>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</si>
  <si>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</si>
  <si>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</si>
  <si>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</si>
  <si>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</si>
  <si>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</si>
  <si>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</si>
  <si>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</si>
  <si>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</si>
  <si>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</si>
  <si>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</si>
  <si>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</si>
  <si>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</si>
  <si>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</si>
  <si>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</si>
  <si>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</si>
  <si>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</si>
  <si>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</si>
  <si>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</si>
  <si>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</si>
  <si>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</si>
  <si>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</si>
  <si>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</si>
  <si>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</si>
  <si>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</si>
  <si>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</si>
  <si>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</si>
  <si>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</si>
  <si>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</si>
  <si>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</si>
  <si>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</si>
  <si>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</si>
  <si>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</si>
  <si>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</si>
  <si>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</si>
  <si>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</si>
  <si>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</si>
  <si>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</si>
  <si>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</si>
  <si>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</si>
  <si>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</si>
  <si>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</si>
  <si>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</si>
  <si>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</si>
  <si>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</si>
  <si>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</si>
  <si>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</si>
  <si>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</si>
  <si>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</si>
  <si>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</si>
  <si>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</si>
  <si>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</si>
  <si>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</si>
  <si>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</si>
  <si>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</si>
  <si>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</si>
  <si>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</si>
  <si>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</si>
  <si>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</si>
  <si>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</si>
  <si>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</si>
  <si>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</si>
  <si>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</si>
  <si>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</si>
  <si>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</si>
  <si>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</si>
  <si>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</si>
  <si>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</si>
  <si>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</si>
  <si>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</si>
  <si>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</si>
  <si>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</si>
  <si>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</si>
  <si>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</si>
  <si>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</si>
  <si>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</si>
  <si>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</si>
  <si>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</si>
  <si>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</si>
  <si>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</si>
  <si>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</si>
  <si>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</si>
  <si>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</si>
  <si>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</si>
  <si>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</si>
  <si>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</si>
  <si>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</si>
  <si>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</si>
  <si>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</si>
  <si>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</si>
  <si>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</si>
  <si>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</si>
  <si>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</si>
  <si>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</si>
  <si>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</si>
  <si>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</si>
  <si>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</si>
  <si>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</si>
  <si>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</si>
  <si>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</si>
  <si>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</si>
  <si>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</si>
  <si>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</si>
  <si>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</si>
  <si>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</si>
  <si>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</si>
  <si>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</si>
  <si>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</si>
  <si>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</si>
  <si>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</si>
  <si>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</si>
  <si>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</si>
  <si>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</si>
  <si>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</si>
  <si>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</si>
  <si>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</si>
  <si>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</si>
  <si>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</si>
  <si>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</si>
  <si>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</si>
  <si>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</si>
  <si>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</si>
  <si>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</si>
  <si>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</si>
  <si>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</si>
  <si>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</si>
  <si>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</si>
  <si>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</si>
  <si>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</si>
  <si>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</si>
  <si>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</si>
  <si>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</si>
  <si>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</si>
  <si>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- 540 Susquehanna</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</si>
  <si>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</si>
  <si>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</si>
  <si>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</si>
  <si>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</si>
  <si>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</si>
  <si>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</si>
  <si>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</si>
  <si>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</si>
  <si>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</si>
  <si>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</si>
  <si>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</si>
  <si>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</si>
  <si>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</si>
  <si>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</si>
  <si>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</si>
  <si>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Susquehanna</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</si>
  <si>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</si>
  <si>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</si>
  <si>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</si>
  <si>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</si>
  <si>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</si>
  <si>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</si>
  <si>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</si>
  <si>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</si>
  <si>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</si>
  <si>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</si>
  <si>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</si>
  <si>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</si>
  <si>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</si>
  <si>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</si>
  <si>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</si>
  <si>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</si>
  <si>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</si>
  <si>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</si>
  <si>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</si>
  <si>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</si>
  <si>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</si>
  <si>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</si>
  <si>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</si>
  <si>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</si>
  <si>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</si>
  <si>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</si>
  <si>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</si>
  <si>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</si>
  <si>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</si>
  <si>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</si>
  <si>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</si>
  <si>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</si>
  <si>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</si>
  <si>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</si>
  <si>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 xml:space="preserve">  </t>
  </si>
  <si>
    <t>Nc</t>
  </si>
  <si>
    <t>Number of service connections</t>
  </si>
  <si>
    <t>Blank Sheet</t>
  </si>
  <si>
    <t>By popular demand! A blank sheet.  
The world is your canvas.</t>
  </si>
  <si>
    <t>Water Type:</t>
  </si>
  <si>
    <t>Potable Water</t>
  </si>
  <si>
    <t>Lp</t>
  </si>
  <si>
    <t>Average length of (private) customer service line</t>
  </si>
  <si>
    <t>System ID Number:</t>
  </si>
  <si>
    <t>2580024, 2580026, 2580023</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</si>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</sst>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73.532898959375345</c:v>
                </c:pt>
                <c:pt idx="1">
                  <c:v>2.0024160337996988</c:v>
                </c:pt>
                <c:pt idx="2">
                  <c:v>174.76668923178727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3.1515634231763472</c:v>
                </c:pt>
                <c:pt idx="1">
                  <c:v>0.26113598867139654</c:v>
                </c:pt>
                <c:pt idx="2">
                  <c:v>29.229299172076825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49.710645794366371</c:v>
                </c:pt>
                <c:pt idx="1">
                  <c:v>0.92482240795754933</c:v>
                </c:pt>
                <c:pt idx="2">
                  <c:v>64.967332792369746</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15.842277924853533</c:v>
                </c:pt>
                <c:pt idx="1">
                  <c:v>0.38772920688421864</c:v>
                </c:pt>
                <c:pt idx="2">
                  <c:v>32.236143728789571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33.868367869512838</c:v>
                </c:pt>
                <c:pt idx="1">
                  <c:v>0.56875750335916142</c:v>
                </c:pt>
                <c:pt idx="2">
                  <c:v>36.657562547023183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87</c:v>
                </c:pt>
                <c:pt idx="1">
                  <c:v>1.2666666666666666</c:v>
                </c:pt>
                <c:pt idx="2" formatCode="General">
                  <c:v>111.73333333333333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84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1.276</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5.1989999999999998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0.32578499999999999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2.6855102040816403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0.32578499999999999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74.524332852537356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$152,747/Yr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1682.2656400000001</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6854.3096100000002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4518.6379499999994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36921.172360000099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4518.6379499999994</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98252.135189456734</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26.865808526427514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3.0549668788452995</c:v>
                </c:pt>
                <c:pt idx="1">
                  <c:v>9.0856271993300333E-2</c:v>
                </c:pt>
                <c:pt idx="2">
                  <c:v>8.2112108483239421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70.381335536199003</c:v>
                </c:pt>
                <c:pt idx="1">
                  <c:v>1.8469276802355887</c:v>
                </c:pt>
                <c:pt idx="2">
                  <c:v>158.63769681301397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3347.1517113198902</c:v>
                </c:pt>
                <c:pt idx="1">
                  <c:v>97.186039594358903</c:v>
                </c:pt>
                <c:pt idx="2" formatCode="_(* #,##0_);_(* \(#,##0\);_(* &quot;-&quot;??_);_(@_)">
                  <c:v>8703.9171983806118</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44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44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447"/>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448"/>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449"/>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450"/>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451"/>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452"/>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453"/>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454"/>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455"/>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456"/>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457"/>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458"/>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459"/>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460"/>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461"/>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462"/>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463"/>
                  </a:ext>
                </a:extLst>
              </xdr:cNvPicPr>
            </xdr:nvPicPr>
            <xdr:blipFill rotWithShape="1">
              <a:blip xmlns:r="http://schemas.openxmlformats.org/officeDocument/2006/relationships" r:embed="rId1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G24" sqref="AG24:AL24"/>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45352</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t="s">
        <v>567</v>
      </c>
      <c r="AH23" s="916"/>
      <c r="AI23" s="916"/>
      <c r="AJ23" s="916"/>
      <c r="AK23" s="916"/>
      <c r="AL23" s="916"/>
      <c r="AM23" s="118"/>
      <c r="AN23" s="118"/>
      <c r="AO23"/>
      <c r="AP23" s="473" t="s">
        <v>568</v>
      </c>
      <c r="AQ23" s="205" t="s">
        <v>569</v>
      </c>
      <c r="AR23" s="118"/>
      <c r="AS23" s="118"/>
      <c r="AT23" s="118"/>
      <c r="AU23" s="118"/>
      <c r="AV23" s="118"/>
      <c r="AW23" s="118"/>
      <c r="AX23" s="118"/>
      <c r="AY23" s="118"/>
      <c r="AZ23" s="118"/>
      <c r="BA23" s="118"/>
      <c r="BB23" s="469"/>
      <c r="BC23" s="827"/>
    </row>
    <row r="24" spans="1:55" s="41" customFormat="1" ht="12.95" customHeight="1">
      <c r="A24" s="827"/>
      <c r="B24" s="945" t="s">
        <v>570</v>
      </c>
      <c r="C24" s="946"/>
      <c r="D24" s="946"/>
      <c r="E24" s="946"/>
      <c r="F24" s="946"/>
      <c r="G24" s="947" t="s">
        <v>571</v>
      </c>
      <c r="H24" s="947"/>
      <c r="I24" s="947"/>
      <c r="J24" s="947"/>
      <c r="K24" s="947"/>
      <c r="L24" s="947"/>
      <c r="M24" s="947"/>
      <c r="N24" s="947"/>
      <c r="O24" s="947"/>
      <c r="P24" s="947"/>
      <c r="Q24" s="947"/>
      <c r="R24" s="947"/>
      <c r="S24" s="947"/>
      <c r="T24" s="947"/>
      <c r="U24" s="472"/>
      <c r="V24" s="118"/>
      <c r="W24" s="118"/>
      <c r="X24" s="118"/>
      <c r="Y24" s="118"/>
      <c r="Z24" s="118"/>
      <c r="AA24" s="164" t="s">
        <v>572</v>
      </c>
      <c r="AB24" s="917" t="s">
        <v>573</v>
      </c>
      <c r="AC24" s="918"/>
      <c r="AD24" s="918"/>
      <c r="AE24" s="918"/>
      <c r="AF24" s="919"/>
      <c r="AG24" s="920"/>
      <c r="AH24" s="921"/>
      <c r="AI24" s="921"/>
      <c r="AJ24" s="921"/>
      <c r="AK24" s="921"/>
      <c r="AL24" s="921"/>
      <c r="AM24" s="118"/>
      <c r="AN24" s="118"/>
      <c r="AO24"/>
      <c r="AP24" s="473" t="s">
        <v>574</v>
      </c>
      <c r="AQ24" s="205" t="s">
        <v>575</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576</v>
      </c>
      <c r="AB25" s="917" t="s">
        <v>577</v>
      </c>
      <c r="AC25" s="918"/>
      <c r="AD25" s="918"/>
      <c r="AE25" s="918"/>
      <c r="AF25" s="918"/>
      <c r="AG25" s="918"/>
      <c r="AH25" s="918"/>
      <c r="AI25" s="918"/>
      <c r="AJ25" s="918"/>
      <c r="AK25" s="918"/>
      <c r="AL25" s="927"/>
      <c r="AM25" s="118"/>
      <c r="AN25" s="118"/>
      <c r="AO25"/>
      <c r="AP25" s="473" t="s">
        <v>578</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579</v>
      </c>
      <c r="AB26" s="917" t="s">
        <v>3</v>
      </c>
      <c r="AC26" s="918"/>
      <c r="AD26" s="918"/>
      <c r="AE26" s="918"/>
      <c r="AF26" s="918"/>
      <c r="AG26" s="918"/>
      <c r="AH26" s="918"/>
      <c r="AI26" s="918"/>
      <c r="AJ26" s="918"/>
      <c r="AK26" s="918"/>
      <c r="AL26" s="927"/>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45" t="s">
        <v>581</v>
      </c>
      <c r="C27" s="946"/>
      <c r="D27" s="946"/>
      <c r="E27" s="946"/>
      <c r="F27" s="946"/>
      <c r="G27" s="947" t="s">
        <v>582</v>
      </c>
      <c r="H27" s="947"/>
      <c r="I27" s="947"/>
      <c r="J27" s="947"/>
      <c r="K27" s="947"/>
      <c r="L27" s="947"/>
      <c r="M27" s="947"/>
      <c r="N27" s="947"/>
      <c r="O27" s="947"/>
      <c r="P27" s="947"/>
      <c r="Q27" s="947"/>
      <c r="R27" s="947"/>
      <c r="S27" s="947"/>
      <c r="T27" s="947"/>
      <c r="U27" s="472"/>
      <c r="V27" s="118"/>
      <c r="W27" s="118"/>
      <c r="X27" s="118"/>
      <c r="Y27" s="118"/>
      <c r="Z27" s="118"/>
      <c r="AA27" s="477" t="s">
        <v>583</v>
      </c>
      <c r="AB27" s="917" t="s">
        <v>3</v>
      </c>
      <c r="AC27" s="918"/>
      <c r="AD27" s="918"/>
      <c r="AE27" s="918"/>
      <c r="AF27" s="918"/>
      <c r="AG27" s="918"/>
      <c r="AH27" s="918"/>
      <c r="AI27" s="918"/>
      <c r="AJ27" s="918"/>
      <c r="AK27" s="918"/>
      <c r="AL27" s="927"/>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585</v>
      </c>
      <c r="AI28" s="929">
        <v>9391</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586</v>
      </c>
      <c r="C30" s="946"/>
      <c r="D30" s="946"/>
      <c r="E30" s="946"/>
      <c r="F30" s="946"/>
      <c r="G30" s="947" t="s">
        <v>587</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592</v>
      </c>
      <c r="C33" s="946"/>
      <c r="D33" s="946"/>
      <c r="E33" s="946"/>
      <c r="F33" s="946"/>
      <c r="G33" s="947" t="s">
        <v>593</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594</v>
      </c>
      <c r="AB34" s="933" t="s">
        <v>525</v>
      </c>
      <c r="AC34" s="933"/>
      <c r="AD34" s="933"/>
      <c r="AE34" s="933"/>
      <c r="AF34" s="494"/>
      <c r="AG34" s="494"/>
      <c r="AH34" s="494"/>
      <c r="AI34" s="494"/>
      <c r="AJ34" s="501"/>
      <c r="AK34" s="501"/>
      <c r="AL34" s="118"/>
      <c r="AM34" s="526"/>
      <c r="AN34" s="526"/>
      <c r="AO34" s="526"/>
      <c r="AP34" s="118"/>
      <c r="AQ34" s="118"/>
      <c r="AR34" s="766" t="s">
        <v>594</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595</v>
      </c>
      <c r="C36" s="946"/>
      <c r="D36" s="946"/>
      <c r="E36" s="946"/>
      <c r="F36" s="946"/>
      <c r="G36" s="947" t="s">
        <v>596</v>
      </c>
      <c r="H36" s="947"/>
      <c r="I36" s="947"/>
      <c r="J36" s="947"/>
      <c r="K36" s="947"/>
      <c r="L36" s="947"/>
      <c r="M36" s="947"/>
      <c r="N36" s="947"/>
      <c r="O36" s="947"/>
      <c r="P36" s="947"/>
      <c r="Q36" s="947"/>
      <c r="R36" s="947"/>
      <c r="S36" s="947"/>
      <c r="T36" s="947"/>
      <c r="U36" s="801"/>
      <c r="V36" s="934" t="s">
        <v>597</v>
      </c>
      <c r="W36" s="934"/>
      <c r="X36" s="934"/>
      <c r="Y36" s="934"/>
      <c r="Z36" s="934"/>
      <c r="AA36" s="934"/>
      <c r="AB36" s="934"/>
      <c r="AC36" s="934"/>
      <c r="AD36" s="934"/>
      <c r="AE36" s="934"/>
      <c r="AF36" s="934"/>
      <c r="AG36" s="798"/>
      <c r="AH36" s="928" t="s">
        <v>598</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599</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600</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601</v>
      </c>
      <c r="C39" s="946"/>
      <c r="D39" s="946"/>
      <c r="E39" s="946"/>
      <c r="F39" s="946"/>
      <c r="G39" s="947" t="s">
        <v>602</v>
      </c>
      <c r="H39" s="947"/>
      <c r="I39" s="947"/>
      <c r="J39" s="947"/>
      <c r="K39" s="947"/>
      <c r="L39" s="947"/>
      <c r="M39" s="947"/>
      <c r="N39" s="947"/>
      <c r="O39" s="947"/>
      <c r="P39" s="947"/>
      <c r="Q39" s="947"/>
      <c r="R39" s="947"/>
      <c r="S39" s="947"/>
      <c r="T39" s="947"/>
      <c r="U39" s="801"/>
      <c r="V39" s="510"/>
      <c r="W39" s="936">
        <v>0.01</v>
      </c>
      <c r="X39" s="936"/>
      <c r="Y39" s="936"/>
      <c r="Z39" s="922" t="s">
        <v>603</v>
      </c>
      <c r="AA39" s="923"/>
      <c r="AB39" s="924"/>
      <c r="AC39" s="508" t="s">
        <v>604</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605</v>
      </c>
      <c r="AA40" s="923"/>
      <c r="AB40" s="924"/>
      <c r="AC40" s="925" t="s">
        <v>606</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607</v>
      </c>
      <c r="W42" s="934"/>
      <c r="X42" s="934"/>
      <c r="Y42" s="934"/>
      <c r="Z42" s="934"/>
      <c r="AA42" s="934"/>
      <c r="AB42" s="934"/>
      <c r="AC42" s="934"/>
      <c r="AD42" s="934"/>
      <c r="AE42" s="934"/>
      <c r="AF42" s="934"/>
      <c r="AG42" s="510"/>
      <c r="AH42" s="935" t="s">
        <v>608</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609</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801"/>
      <c r="V44" s="510"/>
      <c r="W44" s="510"/>
      <c r="X44" s="932" t="s">
        <v>600</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612</v>
      </c>
      <c r="AA45" s="923"/>
      <c r="AB45" s="924"/>
      <c r="AC45" s="508" t="s">
        <v>604</v>
      </c>
      <c r="AD45" s="510"/>
      <c r="AE45" s="510"/>
      <c r="AF45" s="510"/>
      <c r="AG45" s="798"/>
      <c r="AH45" s="798"/>
      <c r="AI45" s="938" t="s">
        <v>613</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615</v>
      </c>
      <c r="AA46" s="923"/>
      <c r="AB46" s="924"/>
      <c r="AC46" s="925" t="s">
        <v>616</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619</v>
      </c>
      <c r="AE48" s="935"/>
      <c r="AF48" s="935"/>
      <c r="AG48" s="935"/>
      <c r="AH48" s="935"/>
      <c r="AI48" s="935"/>
      <c r="AJ48" s="935"/>
      <c r="AK48" s="935"/>
      <c r="AL48" s="935"/>
      <c r="AM48" s="935"/>
      <c r="AN48" s="935"/>
      <c r="AO48" s="935"/>
      <c r="AP48" s="935"/>
      <c r="AQ48" s="935"/>
      <c r="AR48" s="935"/>
      <c r="AS48" s="935"/>
      <c r="AT48" s="935"/>
      <c r="AU48" s="935"/>
      <c r="AV48" s="935"/>
      <c r="AW48" s="935"/>
      <c r="AX48" s="934" t="s">
        <v>620</v>
      </c>
      <c r="AY48" s="934"/>
      <c r="AZ48" s="934"/>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573</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P72" sqref="P72"/>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704</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1018" t="str">
        <f>IF(ISBLANK('Start Page'!AB9),"&lt;&lt; Please enter system details on the Start Page &gt;&gt;",'Start Page'!AB9&amp;IF(ISBLANK('Start Page'!AM28),"","  ("&amp;'Start Page'!AM28&amp;")"))</f>
        <v>PAW - 540 Susquehanna</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706</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707</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708</v>
      </c>
      <c r="L12" s="1028"/>
      <c r="M12" s="1028"/>
      <c r="N12" s="1028"/>
      <c r="O12" s="1028"/>
      <c r="P12" s="1028"/>
      <c r="Q12" s="1028"/>
      <c r="R12" s="1028"/>
      <c r="S12" s="1028"/>
      <c r="T12" s="1028"/>
      <c r="U12" s="1024"/>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4"/>
      <c r="O13" s="205"/>
      <c r="P13" s="493" t="s">
        <v>600</v>
      </c>
      <c r="Q13" s="205"/>
      <c r="R13" s="205"/>
      <c r="S13" s="388"/>
      <c r="T13" s="388"/>
      <c r="U13" s="1024"/>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723</v>
      </c>
      <c r="D15" s="700" t="s">
        <v>724</v>
      </c>
      <c r="E15" s="463" t="s">
        <v>725</v>
      </c>
      <c r="F15" s="390">
        <f>'Interactive Data Grading'!D20</f>
        <v>10</v>
      </c>
      <c r="G15" s="79"/>
      <c r="H15" s="424">
        <v>213.06200000000001</v>
      </c>
      <c r="I15" s="468"/>
      <c r="J15" s="805" t="str">
        <f>IF('Start Page'!$AB$22="million gallons (US)","MG/Yr",IF('Start Page'!$AB$22="Megalitres (thousand cubic metres)","ML/Yr",IF('Start Page'!$AB$22="acre-feet","Acre-ft/Yr","")))</f>
        <v>MG/Yr</v>
      </c>
      <c r="K15" s="703" t="s">
        <v>724</v>
      </c>
      <c r="L15" s="491" t="s">
        <v>725</v>
      </c>
      <c r="M15" s="390">
        <f>'Interactive Data Grading'!D43</f>
        <v>10</v>
      </c>
      <c r="N15" s="805"/>
      <c r="O15" s="386">
        <v>7.4000000000000003E-3</v>
      </c>
      <c r="P15" s="466" t="s">
        <v>603</v>
      </c>
      <c r="Q15" s="992"/>
      <c r="R15" s="1022"/>
      <c r="S15" s="389" t="str">
        <f>IF('Start Page'!$AB$22="million gallons (US)","MG/Yr",IF('Start Page'!$AB$22="Megalitres (thousand cubic metres)","ML/Yr",IF('Start Page'!$AB$22="acre-feet","acre-ft/yr","")))</f>
        <v>MG/Yr</v>
      </c>
      <c r="T15" s="807" t="s">
        <v>726</v>
      </c>
      <c r="U15" s="445" t="s">
        <v>520</v>
      </c>
      <c r="V15" s="827"/>
      <c r="W15" s="383">
        <f>IF(P15="percent",1,2)</f>
        <v>1</v>
      </c>
      <c r="X15" s="836">
        <f>IF(H15&gt;0,IF(W15=1,O15*H15,Q15),0)</f>
        <v>1.5766588000000001</v>
      </c>
      <c r="Y15" s="84">
        <f>$Y$19/$Y$18*H15</f>
        <v>34.742902521342067</v>
      </c>
      <c r="Z15" s="114">
        <f>$Y$19/$Y$18*ABS(X15)</f>
        <v>0.25709747865793131</v>
      </c>
      <c r="AA15" s="754">
        <f>IF(W15=1,input_VOS-input_VOS/(1+O15*AB15),Q15*AB15)</f>
        <v>-1.5884130566189754</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214.65041305661899</v>
      </c>
    </row>
    <row r="16" spans="1:33">
      <c r="A16" s="827"/>
      <c r="B16" s="448" t="s">
        <v>524</v>
      </c>
      <c r="C16" s="803" t="s">
        <v>727</v>
      </c>
      <c r="D16" s="700" t="s">
        <v>724</v>
      </c>
      <c r="E16" s="463" t="s">
        <v>725</v>
      </c>
      <c r="F16" s="390" t="str">
        <f>'Interactive Data Grading'!D74</f>
        <v>n/a</v>
      </c>
      <c r="G16" s="79"/>
      <c r="H16" s="423">
        <v>0</v>
      </c>
      <c r="I16" s="468"/>
      <c r="J16" s="805" t="str">
        <f>IF('Start Page'!$AB$22="million gallons (US)","MG/Yr",IF('Start Page'!$AB$22="Megalitres (thousand cubic metres)","ML/Yr",IF('Start Page'!$AB$22="acre-feet","Acre-ft/Yr","")))</f>
        <v>MG/Yr</v>
      </c>
      <c r="K16" s="703" t="s">
        <v>724</v>
      </c>
      <c r="L16" s="491" t="s">
        <v>725</v>
      </c>
      <c r="M16" s="390" t="str">
        <f>'Interactive Data Grading'!D96</f>
        <v>n/a</v>
      </c>
      <c r="N16" s="805"/>
      <c r="O16" s="386"/>
      <c r="P16" s="466" t="s">
        <v>603</v>
      </c>
      <c r="Q16" s="992"/>
      <c r="R16" s="1022"/>
      <c r="S16" s="389" t="str">
        <f>IF('Start Page'!$AB$22="million gallons (US)","MG/Yr",IF('Start Page'!$AB$22="Megalitres (thousand cubic metres)","ML/Yr",IF('Start Page'!$AB$22="acre-feet","acre-ft/yr","")))</f>
        <v>MG/Yr</v>
      </c>
      <c r="T16" s="807" t="s">
        <v>728</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3" t="s">
        <v>729</v>
      </c>
      <c r="D17" s="700" t="s">
        <v>724</v>
      </c>
      <c r="E17" s="463" t="s">
        <v>725</v>
      </c>
      <c r="F17" s="390" t="str">
        <f>'Interactive Data Grading'!D127</f>
        <v>n/a</v>
      </c>
      <c r="G17" s="79"/>
      <c r="H17" s="254">
        <v>0</v>
      </c>
      <c r="I17" s="468"/>
      <c r="J17" s="805" t="str">
        <f>IF('Start Page'!$AB$22="million gallons (US)","MG/Yr",IF('Start Page'!$AB$22="Megalitres (thousand cubic metres)","ML/Yr",IF('Start Page'!$AB$22="acre-feet","Acre-ft/Yr","")))</f>
        <v>MG/Yr</v>
      </c>
      <c r="K17" s="703" t="s">
        <v>724</v>
      </c>
      <c r="L17" s="491" t="s">
        <v>725</v>
      </c>
      <c r="M17" s="390" t="str">
        <f>'Interactive Data Grading'!D150</f>
        <v>n/a</v>
      </c>
      <c r="N17" s="805"/>
      <c r="O17" s="386"/>
      <c r="P17" s="466" t="s">
        <v>603</v>
      </c>
      <c r="Q17" s="992"/>
      <c r="R17" s="1022"/>
      <c r="S17" s="389" t="str">
        <f>IF('Start Page'!$AB$22="million gallons (US)","MG/Yr",IF('Start Page'!$AB$22="Megalitres (thousand cubic metres)","ML/Yr",IF('Start Page'!$AB$22="acre-feet","acre-ft/yr","")))</f>
        <v>MG/Yr</v>
      </c>
      <c r="T17" s="807" t="s">
        <v>728</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730</v>
      </c>
      <c r="U18" s="444"/>
      <c r="V18" s="827"/>
      <c r="W18" s="383"/>
      <c r="X18" s="385"/>
      <c r="Y18" s="84">
        <f>H15+H16+H17+IF(H15&gt;0,ABS(X15),0)+IF(H16&gt;0,ABS(X16),0)+IF(H17&gt;0,(ABS(X17)),)</f>
        <v>214.6386588</v>
      </c>
      <c r="Z18" s="115"/>
      <c r="AA18" s="118"/>
      <c r="AB18" s="206"/>
      <c r="AC18" s="206"/>
      <c r="AD18" s="206"/>
      <c r="AE18" s="206"/>
      <c r="AF18" s="205">
        <f>SUM(AF15:AF17)</f>
        <v>0</v>
      </c>
      <c r="AG18" s="118" t="s">
        <v>731</v>
      </c>
    </row>
    <row r="19" spans="1:33" ht="13.5" thickBot="1">
      <c r="A19" s="827"/>
      <c r="B19" s="447"/>
      <c r="C19" s="995" t="s">
        <v>732</v>
      </c>
      <c r="D19" s="995"/>
      <c r="E19" s="995"/>
      <c r="F19" s="995"/>
      <c r="G19" s="205"/>
      <c r="H19" s="727">
        <f>IF(AF18&gt;0,"Select under/over",IF(H15&gt;0,IF(W15=1,H15/(1+O15*AB15),H15-Q15*AB15),0)+IF(H16&gt;0,IF(W16=1,H16/(1+O16*AB16),H16-Q16*AB16),0)-IF(H17&gt;0,IF(W17=1,H17/(1+O17*AB17),H17-Q17*AB17),0))</f>
        <v>214.65041305661899</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736</v>
      </c>
      <c r="D23" s="700" t="s">
        <v>724</v>
      </c>
      <c r="E23" s="463" t="s">
        <v>725</v>
      </c>
      <c r="F23" s="390">
        <f>'Interactive Data Grading'!D177</f>
        <v>9</v>
      </c>
      <c r="G23" s="79"/>
      <c r="H23" s="254">
        <v>130.31399999999999</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13.864245003419711</v>
      </c>
      <c r="Z23" s="845"/>
      <c r="AA23" s="118" t="s">
        <v>737</v>
      </c>
      <c r="AB23" s="206"/>
      <c r="AC23" s="206"/>
      <c r="AD23" s="206"/>
      <c r="AE23" s="206"/>
      <c r="AF23" s="118"/>
      <c r="AG23" s="118"/>
    </row>
    <row r="24" spans="1:33">
      <c r="A24" s="827"/>
      <c r="B24" s="448" t="s">
        <v>544</v>
      </c>
      <c r="C24" s="803" t="s">
        <v>738</v>
      </c>
      <c r="D24" s="700" t="s">
        <v>724</v>
      </c>
      <c r="E24" s="463" t="s">
        <v>725</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0.13575499658028725</v>
      </c>
      <c r="Z24" s="835"/>
      <c r="AA24" s="118"/>
      <c r="AB24" s="206"/>
      <c r="AC24" s="206"/>
      <c r="AD24" s="206"/>
      <c r="AE24" s="206"/>
      <c r="AF24" s="118"/>
      <c r="AG24" s="118"/>
    </row>
    <row r="25" spans="1:33" ht="13.35" customHeight="1">
      <c r="A25" s="827"/>
      <c r="B25" s="448" t="s">
        <v>546</v>
      </c>
      <c r="C25" s="803" t="s">
        <v>739</v>
      </c>
      <c r="D25" s="700" t="s">
        <v>724</v>
      </c>
      <c r="E25" s="463" t="s">
        <v>725</v>
      </c>
      <c r="F25" s="390">
        <f>'Interactive Data Grading'!D224</f>
        <v>10</v>
      </c>
      <c r="G25" s="79"/>
      <c r="H25" s="395">
        <v>1.276</v>
      </c>
      <c r="I25" s="468"/>
      <c r="J25" s="805" t="str">
        <f>IF('Start Page'!$AB$22="million gallons (US)","MG/Yr",IF('Start Page'!$AB$22="Megalitres (thousand cubic metres)","ML/Yr",IF('Start Page'!$AB$22="acre-feet","Acre-ft/Yr","")))</f>
        <v>MG/Yr</v>
      </c>
      <c r="K25" s="805"/>
      <c r="L25" s="805"/>
      <c r="M25" s="805"/>
      <c r="N25" s="805"/>
      <c r="O25" s="205"/>
      <c r="P25" s="813" t="s">
        <v>600</v>
      </c>
      <c r="Q25" s="205"/>
      <c r="R25" s="118"/>
      <c r="S25" s="118"/>
      <c r="T25" s="118"/>
      <c r="U25" s="199"/>
      <c r="V25" s="827"/>
      <c r="W25" s="383"/>
      <c r="X25" s="118"/>
      <c r="Y25" s="754">
        <f>H23+H25</f>
        <v>131.59</v>
      </c>
      <c r="Z25" s="835"/>
      <c r="AA25" s="118"/>
      <c r="AB25" s="206"/>
      <c r="AC25" s="206"/>
      <c r="AD25" s="206"/>
      <c r="AE25" s="206"/>
      <c r="AF25" s="439" t="s">
        <v>740</v>
      </c>
      <c r="AG25" s="118"/>
    </row>
    <row r="26" spans="1:33" ht="15" customHeight="1" thickBot="1">
      <c r="A26" s="827"/>
      <c r="B26" s="448" t="s">
        <v>550</v>
      </c>
      <c r="C26" s="803" t="s">
        <v>741</v>
      </c>
      <c r="D26" s="700" t="s">
        <v>724</v>
      </c>
      <c r="E26" s="463" t="s">
        <v>725</v>
      </c>
      <c r="F26" s="390">
        <f>'Interactive Data Grading'!D247</f>
        <v>8</v>
      </c>
      <c r="G26" s="79"/>
      <c r="H26" s="727">
        <f>IF(OR(W26=1,AND(W26=2,Q26=0)),O26*SUM(H23:H24),Q26)</f>
        <v>5.1989999999999998</v>
      </c>
      <c r="I26" s="468"/>
      <c r="J26" s="805" t="str">
        <f>IF('Start Page'!$AB$22="million gallons (US)","MG/Yr",IF('Start Page'!$AB$22="Megalitres (thousand cubic metres)","ML/Yr",IF('Start Page'!$AB$22="acre-feet","Acre-ft/Yr","")))</f>
        <v>MG/Yr</v>
      </c>
      <c r="K26" s="805"/>
      <c r="L26" s="805"/>
      <c r="M26" s="805"/>
      <c r="N26" s="805"/>
      <c r="O26" s="391">
        <v>2.5000000000000001E-3</v>
      </c>
      <c r="P26" s="524" t="s">
        <v>615</v>
      </c>
      <c r="Q26" s="992">
        <v>5.1989999999999998</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743</v>
      </c>
      <c r="D30" s="989"/>
      <c r="E30" s="989"/>
      <c r="F30" s="989"/>
      <c r="G30" s="205"/>
      <c r="H30" s="727">
        <f>SUM(H23:H26)</f>
        <v>136.78900000000002</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77.861413056618971</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3" t="s">
        <v>600</v>
      </c>
      <c r="Q38" s="468"/>
      <c r="R38" s="118"/>
      <c r="S38" s="118"/>
      <c r="T38" s="387"/>
      <c r="U38" s="199"/>
      <c r="V38" s="827"/>
      <c r="W38" s="385"/>
      <c r="X38" s="118"/>
      <c r="Y38" s="118"/>
      <c r="Z38" s="118"/>
      <c r="AA38" s="118"/>
      <c r="AB38" s="206"/>
      <c r="AC38" s="206"/>
    </row>
    <row r="39" spans="1:29" ht="13.35" customHeight="1">
      <c r="A39" s="827"/>
      <c r="B39" s="448" t="s">
        <v>554</v>
      </c>
      <c r="C39" s="803" t="s">
        <v>746</v>
      </c>
      <c r="D39" s="700" t="s">
        <v>724</v>
      </c>
      <c r="E39" s="463" t="s">
        <v>725</v>
      </c>
      <c r="F39" s="390">
        <f>'Interactive Data Grading'!D271</f>
        <v>3</v>
      </c>
      <c r="G39" s="152"/>
      <c r="H39" s="847">
        <f>IF(OR(W39=1,AND(W39=2,Q39=0)),O39*SUM(H23:H24),Q39)</f>
        <v>0.32578499999999999</v>
      </c>
      <c r="I39" s="728"/>
      <c r="J39" s="805" t="str">
        <f>IF('Start Page'!$AB$22="million gallons (US)","MG/Yr",IF('Start Page'!$AB$22="Megalitres (thousand cubic metres)","ML/Yr",IF('Start Page'!$AB$22="acre-feet","Acre-ft/Yr","")))</f>
        <v>MG/Yr</v>
      </c>
      <c r="K39" s="805"/>
      <c r="L39" s="805"/>
      <c r="M39" s="805"/>
      <c r="N39" s="805"/>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747</v>
      </c>
      <c r="D41" s="700" t="s">
        <v>724</v>
      </c>
      <c r="E41" s="463" t="s">
        <v>725</v>
      </c>
      <c r="F41" s="390">
        <f>'Interactive Data Grading'!D300</f>
        <v>4</v>
      </c>
      <c r="G41" s="152"/>
      <c r="H41" s="848">
        <f>IF(OR(T41="Select…..",T41=""),"Select under/over",IF(W41=1,((H23+H25)/(1-(O41*X41)))-(H23+H25),Q41*X41))</f>
        <v>2.6855102040816234</v>
      </c>
      <c r="I41" s="728"/>
      <c r="J41" s="805" t="str">
        <f>IF('Start Page'!$AB$22="million gallons (US)","MG/Yr",IF('Start Page'!$AB$22="Megalitres (thousand cubic metres)","ML/Yr",IF('Start Page'!$AB$22="acre-feet","Acre-ft/Yr","")))</f>
        <v>MG/Yr</v>
      </c>
      <c r="K41" s="805"/>
      <c r="L41" s="805"/>
      <c r="M41" s="805"/>
      <c r="N41" s="805"/>
      <c r="O41" s="422">
        <v>0.02</v>
      </c>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748</v>
      </c>
      <c r="D43" s="700" t="s">
        <v>724</v>
      </c>
      <c r="E43" s="463" t="s">
        <v>725</v>
      </c>
      <c r="F43" s="390">
        <f>'Interactive Data Grading'!D322</f>
        <v>3</v>
      </c>
      <c r="G43" s="152"/>
      <c r="H43" s="727">
        <f>IF(OR(W43=1,AND(W43=2,Q43=0)),O43*SUM(H23:H24),Q43)</f>
        <v>0.32578499999999999</v>
      </c>
      <c r="I43" s="728"/>
      <c r="J43" s="805" t="str">
        <f>IF('Start Page'!$AB$22="million gallons (US)","MG/Yr",IF('Start Page'!$AB$22="Megalitres (thousand cubic metres)","ML/Yr",IF('Start Page'!$AB$22="acre-feet","Acre-ft/Yr","")))</f>
        <v>MG/Yr</v>
      </c>
      <c r="K43" s="805"/>
      <c r="L43" s="805"/>
      <c r="M43" s="805"/>
      <c r="N43" s="805"/>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749</v>
      </c>
      <c r="D46" s="996"/>
      <c r="E46" s="996"/>
      <c r="F46" s="996"/>
      <c r="G46" s="164"/>
      <c r="H46" s="727">
        <f t="array" ref="H46">SUM(IF(ISNUMBER(H39:H43),H39:H43))</f>
        <v>3.337080204081623</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751</v>
      </c>
      <c r="Y48" s="106" t="s">
        <v>752</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2.6594693877551094</v>
      </c>
      <c r="Y50" s="854">
        <f>IFERROR(IF(W41=1,((H25)/(1-(O41*X41)))-(H25),Q41*H25/(H23+H25)),0)</f>
        <v>2.6040816326530658E-2</v>
      </c>
      <c r="Z50" s="855">
        <f>SUM(X50:Y50)</f>
        <v>2.6855102040816403</v>
      </c>
      <c r="AA50" s="990"/>
      <c r="AB50" s="990"/>
      <c r="AC50" s="990"/>
    </row>
    <row r="51" spans="1:29">
      <c r="A51" s="827"/>
      <c r="B51" s="448"/>
      <c r="C51" s="996" t="s">
        <v>754</v>
      </c>
      <c r="D51" s="996"/>
      <c r="E51" s="996"/>
      <c r="F51" s="996"/>
      <c r="G51" s="728"/>
      <c r="H51" s="727">
        <f>IFERROR(H35-H46,"")</f>
        <v>74.524332852537356</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36886.840408163363</v>
      </c>
      <c r="Y51" s="856">
        <f>Y50*input_VPC</f>
        <v>34.33195183673476</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755</v>
      </c>
      <c r="D53" s="989"/>
      <c r="E53" s="989"/>
      <c r="F53" s="989"/>
      <c r="G53" s="468"/>
      <c r="H53" s="727">
        <f>IFERROR(H46+H51,"")</f>
        <v>77.861413056618971</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757</v>
      </c>
      <c r="D57" s="989"/>
      <c r="E57" s="989"/>
      <c r="F57" s="989"/>
      <c r="G57" s="728"/>
      <c r="H57" s="727">
        <f>IFERROR(H35+H25+H26,"")</f>
        <v>84.336413056618966</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759</v>
      </c>
      <c r="D61" s="700" t="s">
        <v>724</v>
      </c>
      <c r="E61" s="463" t="s">
        <v>725</v>
      </c>
      <c r="F61" s="390">
        <f>'Interactive Data Grading'!D350</f>
        <v>10</v>
      </c>
      <c r="G61" s="47"/>
      <c r="H61" s="256">
        <v>61</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568</v>
      </c>
      <c r="C62" s="803" t="s">
        <v>761</v>
      </c>
      <c r="D62" s="700" t="s">
        <v>724</v>
      </c>
      <c r="E62" s="463" t="s">
        <v>725</v>
      </c>
      <c r="F62" s="390">
        <f>'Interactive Data Grading'!D374</f>
        <v>10</v>
      </c>
      <c r="G62" s="47"/>
      <c r="H62" s="396">
        <v>2901</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3" t="s">
        <v>763</v>
      </c>
      <c r="D63" s="47"/>
      <c r="E63" s="405"/>
      <c r="F63" s="210"/>
      <c r="G63" s="47"/>
      <c r="H63" s="858">
        <f>IF(ISERROR(H62/H61),"",H62/H61)</f>
        <v>47.557377049180324</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764</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574</v>
      </c>
      <c r="C66" s="803" t="s">
        <v>766</v>
      </c>
      <c r="D66" s="700" t="s">
        <v>724</v>
      </c>
      <c r="E66" s="463" t="s">
        <v>725</v>
      </c>
      <c r="F66" s="390">
        <f>'Interactive Data Grading'!D398</f>
        <v>10</v>
      </c>
      <c r="G66" s="47"/>
      <c r="H66" s="256">
        <v>19.100000000000001</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19.100000000000001</v>
      </c>
      <c r="X67" s="171" t="s">
        <v>769</v>
      </c>
      <c r="Y67" s="171"/>
      <c r="Z67" s="171"/>
    </row>
    <row r="68" spans="1:26">
      <c r="A68" s="827"/>
      <c r="B68" s="448" t="s">
        <v>578</v>
      </c>
      <c r="C68" s="803" t="s">
        <v>770</v>
      </c>
      <c r="D68" s="700" t="s">
        <v>724</v>
      </c>
      <c r="E68" s="463" t="s">
        <v>725</v>
      </c>
      <c r="F68" s="390">
        <f>'Interactive Data Grading'!D422</f>
        <v>8</v>
      </c>
      <c r="G68" s="47"/>
      <c r="H68" s="256">
        <v>79.2</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3" t="s">
        <v>774</v>
      </c>
      <c r="D76" s="700" t="s">
        <v>724</v>
      </c>
      <c r="E76" s="425" t="s">
        <v>725</v>
      </c>
      <c r="F76" s="390">
        <f>'Interactive Data Grading'!D446</f>
        <v>10</v>
      </c>
      <c r="G76" s="118"/>
      <c r="H76" s="864">
        <v>13.87</v>
      </c>
      <c r="I76" s="118"/>
      <c r="J76" s="1003" t="s">
        <v>775</v>
      </c>
      <c r="K76" s="1004"/>
      <c r="L76" s="1004"/>
      <c r="M76" s="1005"/>
      <c r="N76" s="118"/>
      <c r="O76" s="1006" t="str">
        <f>IF(AND(NOT(ISBLANK(H76)),ISBLANK(J76)),"&lt;----Enter units","")</f>
        <v/>
      </c>
      <c r="P76" s="1006"/>
      <c r="Q76" s="1010" t="s">
        <v>776</v>
      </c>
      <c r="R76" s="1010"/>
      <c r="S76" s="1010"/>
      <c r="T76" s="118"/>
      <c r="U76" s="199"/>
      <c r="V76" s="827"/>
      <c r="W76" s="118"/>
      <c r="X76" s="118"/>
      <c r="Y76" s="118"/>
      <c r="Z76" s="118"/>
    </row>
    <row r="77" spans="1:26" ht="13.5" customHeight="1">
      <c r="A77" s="827"/>
      <c r="B77" s="448" t="s">
        <v>584</v>
      </c>
      <c r="C77" s="803" t="s">
        <v>777</v>
      </c>
      <c r="D77" s="700" t="s">
        <v>724</v>
      </c>
      <c r="E77" s="463" t="s">
        <v>725</v>
      </c>
      <c r="F77" s="390">
        <f>'Interactive Data Grading'!D469</f>
        <v>10</v>
      </c>
      <c r="G77" s="118"/>
      <c r="H77" s="864">
        <v>1318.39</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902034</v>
      </c>
      <c r="R77" s="1008"/>
      <c r="S77" s="1009"/>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4"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Unauthorized Consumption (UC)</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Systematic Data Handling Errors (SDHE)</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14" activePane="bottomLeft" state="frozen"/>
      <selection activeCell="B15" sqref="B15:F17"/>
      <selection pane="bottomLeft" activeCell="D417" sqref="D417"/>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- 540 Susquehanna</v>
      </c>
      <c r="C1" s="495"/>
      <c r="D1" s="496"/>
      <c r="E1" s="750" t="s">
        <v>790</v>
      </c>
    </row>
    <row r="2" spans="1:20" ht="30.6" customHeight="1">
      <c r="A2" s="367"/>
      <c r="B2" s="749">
        <f>IF(ISBLANK('Start Page'!AB18),"",'Start Page'!AB18)</f>
        <v>2023</v>
      </c>
      <c r="C2" s="367"/>
      <c r="D2" s="367"/>
      <c r="E2" s="1040" t="s">
        <v>791</v>
      </c>
    </row>
    <row r="3" spans="1:20" ht="38.25" customHeight="1">
      <c r="A3" s="367"/>
      <c r="B3" s="706"/>
      <c r="C3" s="367"/>
      <c r="D3" s="367"/>
      <c r="E3" s="1041"/>
    </row>
    <row r="4" spans="1:20" ht="1.35" customHeight="1"/>
    <row r="5" spans="1:20" s="368" customFormat="1" ht="16.350000000000001" customHeight="1">
      <c r="A5" s="1034" t="s">
        <v>792</v>
      </c>
      <c r="B5" s="1035"/>
      <c r="C5" s="1036" t="s">
        <v>793</v>
      </c>
      <c r="D5" s="1036"/>
      <c r="E5" s="750" t="s">
        <v>794</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805</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792</v>
      </c>
      <c r="B36" s="1035"/>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90</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792</v>
      </c>
      <c r="B59" s="1035"/>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38" t="s">
        <v>816</v>
      </c>
      <c r="D64" s="1039"/>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792</v>
      </c>
      <c r="B89" s="1035"/>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792</v>
      </c>
      <c r="B112" s="1035"/>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826</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792</v>
      </c>
      <c r="B143" s="1035"/>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792</v>
      </c>
      <c r="B166" s="1035"/>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792</v>
      </c>
      <c r="B193" s="1035"/>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792</v>
      </c>
      <c r="B216" s="1035"/>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792</v>
      </c>
      <c r="B240" s="1035"/>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266</v>
      </c>
      <c r="E244" s="628" t="str">
        <f>IF(OR($D$247=10,$D$247=3),"",IFERROR(IF(H244=MIN($H$244:$H$246),"Limiting",""),""))</f>
        <v>Limiting</v>
      </c>
      <c r="F244" s="258"/>
      <c r="H244" s="677">
        <f>VLOOKUP('Interactive Data Grading'!D244,UUAC!$C$6:$F$15,4,FALSE)</f>
        <v>8</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8</v>
      </c>
      <c r="E247" s="628"/>
      <c r="F247" s="258"/>
      <c r="H247" s="680">
        <f>MIN(H244:H246)</f>
        <v>8</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792</v>
      </c>
      <c r="B263" s="1035"/>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2"/>
      <c r="O270" s="1042"/>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792</v>
      </c>
      <c r="B287" s="1035"/>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331</v>
      </c>
      <c r="E294" s="628" t="str">
        <f t="shared" si="17"/>
        <v>Limiting</v>
      </c>
      <c r="F294" s="258"/>
      <c r="G294" s="669">
        <f t="shared" si="16"/>
        <v>1</v>
      </c>
      <c r="H294" s="677">
        <f>VLOOKUP('Interactive Data Grading'!D294,CMI!$F$6:$J$16,5,FALSE)</f>
        <v>4</v>
      </c>
      <c r="I294" s="677">
        <f>H294</f>
        <v>4</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
      </c>
      <c r="F295" s="258"/>
      <c r="G295" s="757">
        <f>IF(OR($D$294=CMI!$F$23,$D$294=CMI!F$24),1,IF(LEN(D295)&gt;0,1,0))</f>
        <v>1</v>
      </c>
      <c r="H295" s="677">
        <f>VLOOKUP('Interactive Data Grading'!D295,CMI!$G$6:$J$16,4,FALSE)</f>
        <v>7</v>
      </c>
      <c r="I295" s="677" t="e">
        <f>IF(OR(D294=CMI!F23,D294=CMI!F24),X,H295)</f>
        <v>#NAME?</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4</v>
      </c>
      <c r="E300" s="628"/>
      <c r="F300" s="258"/>
      <c r="G300" s="669">
        <f>MIN(G290:G299)</f>
        <v>1</v>
      </c>
      <c r="H300" s="680">
        <f t="array" ref="H300">MIN(IF(ISNUMBER(H291:H297),H291:H297))</f>
        <v>4</v>
      </c>
      <c r="I300" s="680">
        <f t="array" ref="I300">MIN(IF(ISNUMBER(I290:I299),I290:I299))</f>
        <v>4</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792</v>
      </c>
      <c r="B316" s="1035"/>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792</v>
      </c>
      <c r="B343" s="1035"/>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792</v>
      </c>
      <c r="B366" s="1035"/>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568</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792</v>
      </c>
      <c r="B390" s="1035"/>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574</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792</v>
      </c>
      <c r="B414" s="1035"/>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792</v>
      </c>
      <c r="B438" s="1035"/>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480</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792</v>
      </c>
      <c r="B462" s="1035"/>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3" t="s">
        <v>875</v>
      </c>
      <c r="AO2" s="1064"/>
      <c r="AP2" s="1064"/>
      <c r="AQ2" s="1065"/>
      <c r="AR2" s="772"/>
      <c r="AS2" s="1063" t="s">
        <v>876</v>
      </c>
      <c r="AT2" s="1064"/>
      <c r="AU2" s="1064"/>
      <c r="AV2" s="1065"/>
      <c r="AW2" s="772"/>
      <c r="AX2" s="1063" t="s">
        <v>877</v>
      </c>
      <c r="AY2" s="1064"/>
      <c r="AZ2" s="1064"/>
      <c r="BA2" s="1065"/>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 - 540 Susquehanna</v>
      </c>
      <c r="Q3" s="552"/>
      <c r="R3" s="552"/>
      <c r="S3" s="552"/>
      <c r="T3" s="552"/>
      <c r="U3" s="552"/>
      <c r="V3" s="552"/>
      <c r="W3" s="552"/>
      <c r="X3" s="552"/>
      <c r="Y3" s="552"/>
      <c r="Z3" s="552"/>
      <c r="AA3" s="552"/>
      <c r="AB3" s="552"/>
      <c r="AC3" s="549"/>
      <c r="AD3" s="550"/>
      <c r="AE3" s="551"/>
      <c r="AF3" s="548" t="s">
        <v>706</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881</v>
      </c>
      <c r="AE5" s="610"/>
      <c r="AF5" s="610"/>
      <c r="AG5" s="610"/>
      <c r="AH5" s="1076" t="s">
        <v>882</v>
      </c>
      <c r="AI5" s="1076"/>
      <c r="AJ5" s="1076"/>
      <c r="AK5" s="1076"/>
      <c r="AL5" s="1076"/>
      <c r="AM5" s="1076"/>
      <c r="AN5" s="1076"/>
      <c r="AO5" s="1076"/>
      <c r="AP5" s="1076"/>
      <c r="AQ5" s="1076"/>
      <c r="AR5" s="1076"/>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884</v>
      </c>
      <c r="Z6" s="1071">
        <v>0.73699999999999999</v>
      </c>
      <c r="AA6" s="1071"/>
      <c r="AB6" s="761" t="s">
        <v>885</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87</v>
      </c>
      <c r="BS6" s="585"/>
      <c r="BT6" s="584"/>
      <c r="BU6" s="586"/>
      <c r="BV6" s="586"/>
      <c r="BW6" s="586"/>
      <c r="BX6" s="50"/>
      <c r="BY6" s="50"/>
    </row>
    <row r="7" spans="1:77" s="190" customFormat="1" ht="12.95" customHeight="1">
      <c r="A7" s="189"/>
      <c r="B7" s="265"/>
      <c r="C7" s="50"/>
      <c r="D7" s="193"/>
      <c r="E7" s="711"/>
      <c r="F7" s="193"/>
      <c r="G7" s="193"/>
      <c r="H7" s="553"/>
      <c r="I7" s="654" t="s">
        <v>887</v>
      </c>
      <c r="J7" s="1068">
        <f>BR6</f>
        <v>87</v>
      </c>
      <c r="K7" s="1068"/>
      <c r="L7" s="655"/>
      <c r="M7" s="655"/>
      <c r="N7" s="655"/>
      <c r="O7" s="655"/>
      <c r="P7" s="655"/>
      <c r="Q7" s="654" t="s">
        <v>888</v>
      </c>
      <c r="R7" s="1067" t="str">
        <f>IF(BO2&gt;0,"",BR4)</f>
        <v>Tier IV (71-90)</v>
      </c>
      <c r="S7" s="1067"/>
      <c r="T7" s="1067"/>
      <c r="U7" s="1067"/>
      <c r="V7" s="1067"/>
      <c r="W7" s="553"/>
      <c r="X7" s="763" t="s">
        <v>889</v>
      </c>
      <c r="AD7" s="497"/>
      <c r="AE7" s="719"/>
      <c r="AF7" s="719"/>
      <c r="AG7" s="719"/>
      <c r="AH7" s="1070" t="s">
        <v>890</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75" t="s">
        <v>893</v>
      </c>
      <c r="I8" s="1075"/>
      <c r="J8" s="1072" t="s">
        <v>586</v>
      </c>
      <c r="K8" s="1072"/>
      <c r="L8" s="1072"/>
      <c r="M8" s="1072"/>
      <c r="N8" s="1072"/>
      <c r="O8" s="1072"/>
      <c r="P8" s="1073" t="s">
        <v>894</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87</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111.73333333333333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915</v>
      </c>
      <c r="BP15" s="590"/>
      <c r="BR15" s="579" t="s">
        <v>916</v>
      </c>
      <c r="BS15" s="606">
        <f>IF($BO$2&gt;0,"",IFERROR(SUM(N49:N50)/Worksheet!H62,""))</f>
        <v>49.710645794366371</v>
      </c>
      <c r="BT15" s="591"/>
      <c r="BU15" s="664" t="s">
        <v>910</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49.710645794366371</v>
      </c>
      <c r="BT16" s="591" t="s">
        <v>919</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49.710645794366371</v>
      </c>
      <c r="AB18" s="1061"/>
      <c r="AC18" s="1061"/>
      <c r="AD18" s="730" t="str">
        <f>BD13</f>
        <v>$/conn/year</v>
      </c>
      <c r="AE18" s="731"/>
      <c r="AF18" s="732"/>
      <c r="AG18" s="732"/>
      <c r="AH18" s="733"/>
      <c r="AI18" s="733"/>
      <c r="AJ18" s="731"/>
      <c r="AK18" s="1061">
        <f>BS22</f>
        <v>15.842277924853533</v>
      </c>
      <c r="AL18" s="1061"/>
      <c r="AM18" s="1061"/>
      <c r="AN18" s="730" t="str">
        <f>BD13</f>
        <v>$/conn/year</v>
      </c>
      <c r="AO18" s="731"/>
      <c r="AP18" s="731"/>
      <c r="AQ18" s="731"/>
      <c r="AR18" s="731"/>
      <c r="AS18" s="731"/>
      <c r="AT18" s="731"/>
      <c r="AU18" s="1061">
        <f>BS29</f>
        <v>33.868367869512838</v>
      </c>
      <c r="AV18" s="1061"/>
      <c r="AW18" s="1061"/>
      <c r="AX18" s="730" t="str">
        <f>BD13</f>
        <v>$/conn/year</v>
      </c>
      <c r="AY18" s="576"/>
      <c r="AZ18" s="193"/>
      <c r="BA18" s="193"/>
      <c r="BB18" s="272"/>
      <c r="BC18" s="89"/>
      <c r="BD18" s="50" t="s">
        <v>911</v>
      </c>
      <c r="BE18" s="182">
        <f>(((5.41*Worksheet!H61)+(0.15*Worksheet!H62)+(7.5*(Worksheet!H62*Worksheet!W67/5280)))*Worksheet!H68)/1000000*365</f>
        <v>24.394481448750003</v>
      </c>
      <c r="BN18" s="535"/>
      <c r="BO18" s="591" t="s">
        <v>928</v>
      </c>
      <c r="BP18" s="593">
        <f>BQ18-BQ17</f>
        <v>8.9525318444022357</v>
      </c>
      <c r="BQ18" s="758">
        <f t="shared" si="0"/>
        <v>18.283980813778896</v>
      </c>
      <c r="BR18" s="591" t="s">
        <v>900</v>
      </c>
      <c r="BS18" s="595">
        <f>SUM(BP16:BP20)-SUM(BS16,BS17)</f>
        <v>64.967332792369746</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4"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74.863816479873691</v>
      </c>
      <c r="BF19" s="181">
        <f>BE19*325851.427242/Worksheet!H62/365</f>
        <v>23.038330144777664</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138.87482697000002</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15.842277924853533</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15.842277924853533</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928</v>
      </c>
      <c r="BP25" s="593">
        <f>BQ25-BQ24</f>
        <v>5.2798362211473915</v>
      </c>
      <c r="BQ25" s="758">
        <f t="shared" si="1"/>
        <v>6.1547896930365926</v>
      </c>
      <c r="BR25" s="591" t="s">
        <v>900</v>
      </c>
      <c r="BS25" s="595">
        <f>SUM(BP23:BP27)-SUM(BS23,BS24)</f>
        <v>32.236143728789571</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73.532898959375345</v>
      </c>
      <c r="AB29" s="1062"/>
      <c r="AC29" s="1062"/>
      <c r="AD29" s="729" t="str">
        <f>BD10</f>
        <v>gal/conn/day</v>
      </c>
      <c r="AE29" s="729"/>
      <c r="AF29" s="734"/>
      <c r="AG29" s="734"/>
      <c r="AH29" s="575"/>
      <c r="AI29" s="575"/>
      <c r="AJ29" s="575"/>
      <c r="AK29" s="1062">
        <f>BS43</f>
        <v>3.1515634231763472</v>
      </c>
      <c r="AL29" s="1062"/>
      <c r="AM29" s="1062"/>
      <c r="AN29" s="730" t="str">
        <f>BD10</f>
        <v>gal/conn/day</v>
      </c>
      <c r="AO29" s="575"/>
      <c r="AP29" s="575"/>
      <c r="AQ29" s="575"/>
      <c r="AR29" s="575"/>
      <c r="AS29" s="575"/>
      <c r="AT29" s="575"/>
      <c r="AU29" s="1057">
        <f>BS55</f>
        <v>70.381335536199003</v>
      </c>
      <c r="AV29" s="1057"/>
      <c r="AW29" s="1057"/>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33.868367869512838</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33.868367869512838</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79.2</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36.657562547023183</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73.532898959375345</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73.532898959375345</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174.76668923178727</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3.0549668788452995</v>
      </c>
      <c r="AI41" s="1056"/>
      <c r="AJ41" s="1056"/>
      <c r="AK41" s="729" t="s">
        <v>949</v>
      </c>
      <c r="AL41" s="661"/>
      <c r="AM41" s="662"/>
      <c r="AN41" s="658"/>
      <c r="AO41" s="658"/>
      <c r="AP41" s="658"/>
      <c r="AQ41" s="658"/>
      <c r="AR41" s="658"/>
      <c r="AS41" s="1055">
        <f>BS69</f>
        <v>3347.1517113198902</v>
      </c>
      <c r="AT41" s="1055"/>
      <c r="AU41" s="1055"/>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24.394481448750003</v>
      </c>
      <c r="AL43" s="1054"/>
      <c r="AM43" s="1054"/>
      <c r="AN43" s="1054"/>
      <c r="AO43" s="773" t="str">
        <f>BD7</f>
        <v>MG/Yr</v>
      </c>
      <c r="AP43" s="575"/>
      <c r="AQ43" s="575"/>
      <c r="AR43" s="575"/>
      <c r="AS43" s="1054">
        <f>IF(BG19=1,BF19,IFERROR(AK43*1000000/Worksheet!H62/365,""))</f>
        <v>23.038330144777664</v>
      </c>
      <c r="AT43" s="1054"/>
      <c r="AU43" s="1054"/>
      <c r="AV43" s="1054"/>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3.1515634231763472</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3.1515634231763472</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29.229299172076825</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51" t="s">
        <v>957</v>
      </c>
      <c r="J47" s="1051"/>
      <c r="K47" s="1051"/>
      <c r="L47" s="1051"/>
      <c r="M47" s="572"/>
      <c r="N47" s="1051" t="s">
        <v>895</v>
      </c>
      <c r="O47" s="1051"/>
      <c r="P47" s="1051"/>
      <c r="Q47" s="1051"/>
      <c r="R47" s="1060" t="s">
        <v>958</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51" t="str">
        <f>BD7</f>
        <v>MG/Yr</v>
      </c>
      <c r="J48" s="1051"/>
      <c r="K48" s="1051"/>
      <c r="L48" s="1051"/>
      <c r="M48" s="572"/>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49">
        <f>IF(ISBLANK('Start Page'!$AB$22),"",Worksheet!H46)</f>
        <v>3.337080204081623</v>
      </c>
      <c r="J49" s="1049"/>
      <c r="K49" s="1049"/>
      <c r="L49" s="1049"/>
      <c r="M49" s="558"/>
      <c r="N49" s="1050">
        <f>IF(OR(ISBLANK('Start Page'!$AB$22),ISBLANK(Worksheet!J76)),"",(SUM(Worksheet!H43+Worksheet!H39+Worksheet!X50)*Worksheet!H76)*INDEX(Sheet1!B2:D4,MATCH('Start Page'!AB22,Sheet1!A2:A4,0),MATCH(Worksheet!J76,Sheet1!B1:D1,0))+Worksheet!Y50*Worksheet!H77)</f>
        <v>45958.448260000099</v>
      </c>
      <c r="O49" s="1050"/>
      <c r="P49" s="1050"/>
      <c r="Q49" s="1050"/>
      <c r="R49" s="1048" t="s">
        <v>580</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49">
        <f>IF(ISBLANK('Start Page'!$AB$22),"",Worksheet!H51)</f>
        <v>74.524332852537356</v>
      </c>
      <c r="J50" s="1049"/>
      <c r="K50" s="1049"/>
      <c r="L50" s="1049"/>
      <c r="M50" s="558"/>
      <c r="N50" s="1050">
        <f>IFERROR(IF(Worksheet!H41="Select under/over","",IF(ISBLANK('Start Page'!AB22),"",Worksheet!H51*(IF(BD29=FALSE,Worksheet!H77,IF(BD29=TRUE,Worksheet!H76*INDEX(Sheet1!B2:D4,MATCH('Start Page'!AB22,Sheet1!A2:A4,0),MATCH(Worksheet!J76,Sheet1!B1:D1,0)),""))))),"")</f>
        <v>98252.135189456734</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49">
        <f>IF(ISBLANK('Start Page'!$AB$22),"",SUM(Worksheet!H25:H26))</f>
        <v>6.4749999999999996</v>
      </c>
      <c r="J51" s="1049"/>
      <c r="K51" s="1049"/>
      <c r="L51" s="1049"/>
      <c r="M51" s="558"/>
      <c r="N51" s="1050">
        <f>IFERROR(IF(SUM(Sheet1!D90:D91)=0,"",SUM(Sheet1!D90:D91)),"")</f>
        <v>8536.5752499999999</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49">
        <f>IF(SUM(I49:I51)=0,"",SUM(I49:I51))</f>
        <v>84.336413056618966</v>
      </c>
      <c r="J52" s="1049"/>
      <c r="K52" s="1049"/>
      <c r="L52" s="1049"/>
      <c r="M52" s="558"/>
      <c r="N52" s="1050">
        <f>IF(SUM(N49:N51)=0,"",SUM(N49:N51))</f>
        <v>152747.15869945684</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70.381335536199003</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70.381335536199003</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158.63769681301397</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3.0549668788452995</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3.0549668788452995</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8.2112108483239421</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3347.1517113198902</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3347.1517113198902</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8703.9171983806118</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578</v>
      </c>
      <c r="BP83" s="616">
        <f>input_AOP-BQ78</f>
        <v>26.865808526427514</v>
      </c>
      <c r="BQ83" s="608">
        <f>BP83+BQ78</f>
        <v>79.2</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 - 540 Susquehanna</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6"/>
      <c r="H7" s="1086"/>
    </row>
    <row r="8" spans="2:21" ht="5.45" customHeight="1">
      <c r="F8" s="810"/>
      <c r="G8" s="810"/>
      <c r="H8" s="810"/>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4" t="s">
        <v>875</v>
      </c>
      <c r="C11" s="411"/>
      <c r="D11" s="704" t="s">
        <v>876</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84"/>
      <c r="G14" s="1081"/>
      <c r="H14" s="1081"/>
    </row>
    <row r="15" spans="2:21" ht="28.9" customHeight="1">
      <c r="B15" s="705"/>
      <c r="C15" s="411"/>
      <c r="D15" s="705"/>
      <c r="F15" s="1085"/>
      <c r="G15" s="1082"/>
      <c r="H15" s="1082"/>
    </row>
    <row r="16" spans="2:21" ht="28.9" customHeight="1">
      <c r="B16" s="427"/>
      <c r="C16" s="411"/>
      <c r="D16" s="427"/>
      <c r="F16" s="1083" t="s">
        <v>980</v>
      </c>
      <c r="G16" s="1080"/>
      <c r="H16" s="1080"/>
    </row>
    <row r="17" spans="2:8" ht="28.9" customHeight="1">
      <c r="B17" s="704" t="s">
        <v>875</v>
      </c>
      <c r="C17" s="411"/>
      <c r="D17" s="704"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4" t="s">
        <v>875</v>
      </c>
      <c r="C20" s="411"/>
      <c r="D20" s="704"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4" t="s">
        <v>875</v>
      </c>
      <c r="C23" s="411"/>
      <c r="D23" s="704"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4" t="s">
        <v>875</v>
      </c>
      <c r="C26" s="411"/>
      <c r="D26" s="704"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4" t="s">
        <v>875</v>
      </c>
      <c r="C29" s="411"/>
      <c r="D29" s="704"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4" t="s">
        <v>875</v>
      </c>
      <c r="C32" s="411"/>
      <c r="D32" s="704"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4" t="s">
        <v>875</v>
      </c>
      <c r="C35" s="411"/>
      <c r="D35" s="704"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4" t="s">
        <v>875</v>
      </c>
      <c r="C38" s="411"/>
      <c r="D38" s="704"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4" t="s">
        <v>875</v>
      </c>
      <c r="C41" s="411"/>
      <c r="D41" s="704"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4" t="s">
        <v>875</v>
      </c>
      <c r="C44" s="411"/>
      <c r="D44" s="704"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4" t="s">
        <v>875</v>
      </c>
      <c r="C47" s="411"/>
      <c r="D47" s="704"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4" t="s">
        <v>875</v>
      </c>
      <c r="C50" s="411"/>
      <c r="D50" s="704"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4" t="s">
        <v>875</v>
      </c>
      <c r="C53" s="411"/>
      <c r="D53" s="704"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4" t="s">
        <v>875</v>
      </c>
      <c r="C56" s="411"/>
      <c r="D56" s="704"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4" t="s">
        <v>875</v>
      </c>
      <c r="C59" s="411"/>
      <c r="D59" s="704"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4" t="s">
        <v>875</v>
      </c>
      <c r="C62" s="411"/>
      <c r="D62" s="704"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4" t="s">
        <v>875</v>
      </c>
      <c r="C65" s="411"/>
      <c r="D65" s="704" t="s">
        <v>876</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84 MG/Yr</v>
      </c>
    </row>
    <row r="79" spans="1:6" ht="16.5">
      <c r="B79" s="46"/>
      <c r="C79" s="46"/>
      <c r="D79" s="46"/>
      <c r="E79" s="8" t="str">
        <f>IFERROR("Total Cost of NRW = $"&amp;TEXT(SUM(D90,D91,D94,D95,D96,D97,D99),"#,###")&amp;"/Yr","")</f>
        <v>Total Cost of NRW = $152,747/Yr</v>
      </c>
      <c r="F79" s="46"/>
    </row>
    <row r="80" spans="1:6">
      <c r="A80"/>
      <c r="B80"/>
      <c r="C80" s="47" t="str">
        <f>"Volume ("&amp;Worksheet!J15&amp;")"</f>
        <v>Volume (MG/Yr)</v>
      </c>
      <c r="D80" s="47" t="s">
        <v>1041</v>
      </c>
      <c r="E80" s="79" t="s">
        <v>1042</v>
      </c>
      <c r="F80"/>
    </row>
    <row r="81" spans="1:6">
      <c r="A81" s="118" t="s">
        <v>1043</v>
      </c>
      <c r="B81" s="118"/>
      <c r="C81" s="100">
        <f>IF(Dashboard!BO$2&gt;0,"",Worksheet!H15)</f>
        <v>213.06200000000001</v>
      </c>
      <c r="D81" s="872">
        <f>IF(Dashboard!BO$2&gt;0,"",C81*(Worksheet!$H$77))</f>
        <v>280898.81018000003</v>
      </c>
      <c r="E81" s="489">
        <f>D81</f>
        <v>280898.81018000003</v>
      </c>
      <c r="F81" s="75" t="s">
        <v>1044</v>
      </c>
    </row>
    <row r="82" spans="1:6">
      <c r="A82" s="118" t="str">
        <f>A81&amp;" MA"</f>
        <v>Vol. from own sources: MA</v>
      </c>
      <c r="B82" s="118"/>
      <c r="C82" s="100">
        <f>IF(Dashboard!BO$2&gt;0,"",Worksheet!X15)</f>
        <v>1.5766588000000001</v>
      </c>
      <c r="D82" s="872">
        <f>IF(Dashboard!BO$2&gt;0,"",C82*(Worksheet!$H$77))</f>
        <v>2078.6511953320005</v>
      </c>
      <c r="E82" s="489">
        <f t="shared" ref="E82:E100" si="0">D82</f>
        <v>2078.6511953320005</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214.65041305661899</v>
      </c>
      <c r="D87" s="872">
        <f>IF(Dashboard!BO$2&gt;0,"",C87*(Worksheet!$H$77))</f>
        <v>282992.95806971594</v>
      </c>
      <c r="E87" s="489">
        <f t="shared" si="0"/>
        <v>282992.95806971594</v>
      </c>
      <c r="F87"/>
    </row>
    <row r="88" spans="1:6">
      <c r="A88" s="118" t="s">
        <v>1047</v>
      </c>
      <c r="B88"/>
      <c r="C88" s="100">
        <f>IF(Dashboard!BO$2&gt;0,"",Worksheet!H23)</f>
        <v>130.31399999999999</v>
      </c>
      <c r="D88" s="872">
        <f>IF(Dashboard!BO$2&gt;0,"",C88*(Worksheet!$H$76*1000))</f>
        <v>1807455.18</v>
      </c>
      <c r="E88" s="489">
        <f t="shared" si="0"/>
        <v>1807455.18</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1.276</v>
      </c>
      <c r="D90" s="873">
        <f>IF(Dashboard!BO$2&gt;0,"",IF(ISBLANK('Start Page'!AB22),"",IF(AND(ISBLANK(Worksheet!H77),Worksheet!Z77&lt;&gt;1),"",Worksheet!H25*(IF(Dashboard!BD29=FALSE,Worksheet!H77,IF(Dashboard!BD29=TRUE,Worksheet!H76*INDEX(Sheet1!B2:D4,MATCH('Start Page'!AB22,Sheet1!A2:A4,0),MATCH(Worksheet!J76,Sheet1!B1:D1,0)),""))))))</f>
        <v>1682.2656400000001</v>
      </c>
      <c r="E90" s="796">
        <f t="shared" si="0"/>
        <v>1682.2656400000001</v>
      </c>
      <c r="F90"/>
    </row>
    <row r="91" spans="1:6">
      <c r="A91" s="797" t="str">
        <f>"Unbilled Unmetered (UUAC) valued at "&amp;A76&amp;""</f>
        <v xml:space="preserve">Unbilled Unmetered (UUAC) valued at </v>
      </c>
      <c r="B91" s="794"/>
      <c r="C91" s="795">
        <f>IF(Dashboard!BO$2&gt;0,"",Worksheet!H26)</f>
        <v>5.1989999999999998</v>
      </c>
      <c r="D91" s="873">
        <f>IF(Dashboard!BO$2&gt;0,"",IF(ISBLANK('Start Page'!AB22),"",IF(AND(ISBLANK(Worksheet!H77),Worksheet!Z77&lt;&gt;1),"",Worksheet!H26*(IF(Dashboard!BD29=FALSE,Worksheet!H77,IF(Dashboard!BD29=TRUE,Worksheet!H76*INDEX(Sheet1!B2:D4,MATCH('Start Page'!AB22,Sheet1!A2:A4,0),MATCH(Worksheet!J76,Sheet1!B1:D1,0)),""))))))</f>
        <v>6854.3096100000002</v>
      </c>
      <c r="E91" s="796">
        <f t="shared" si="0"/>
        <v>6854.3096100000002</v>
      </c>
      <c r="F91"/>
    </row>
    <row r="92" spans="1:6">
      <c r="A92" s="118" t="s">
        <v>1049</v>
      </c>
      <c r="B92" s="874" t="s">
        <v>1050</v>
      </c>
      <c r="C92" s="100">
        <f>IF(Dashboard!BO$2&gt;0,"",Worksheet!H30)</f>
        <v>136.78900000000002</v>
      </c>
      <c r="D92" s="872">
        <f>IF(Dashboard!BO$2&gt;0,"",C92*(Worksheet!$H$76*1000))</f>
        <v>1897263.4300000002</v>
      </c>
      <c r="E92" s="489">
        <f t="shared" si="0"/>
        <v>1897263.4300000002</v>
      </c>
      <c r="F92"/>
    </row>
    <row r="93" spans="1:6">
      <c r="A93" t="s">
        <v>1051</v>
      </c>
      <c r="B93"/>
      <c r="C93" s="100">
        <f>IF(Dashboard!BO$2&gt;0,"",Worksheet!H35)</f>
        <v>77.861413056618971</v>
      </c>
      <c r="D93" s="872"/>
      <c r="E93" s="489">
        <f t="shared" si="0"/>
        <v>0</v>
      </c>
      <c r="F93"/>
    </row>
    <row r="94" spans="1:6">
      <c r="A94" s="171" t="s">
        <v>1052</v>
      </c>
      <c r="B94" s="118"/>
      <c r="C94" s="102">
        <f>IF(Dashboard!BO$2&gt;0,"",Worksheet!H43)</f>
        <v>0.32578499999999999</v>
      </c>
      <c r="D94" s="875">
        <f>IF(Dashboard!BO$2&gt;0,"",IF(ISBLANK('Start Page'!AB22),"",IF(AND(ISBLANK(Worksheet!H77),Worksheet!Z77&lt;&gt;1),"",C94*Worksheet!H76*INDEX(Sheet1!B2:D4,MATCH('Start Page'!AB22,Sheet1!A2:A4,0),MATCH(Worksheet!J76,Sheet1!B1:D1,0)))))</f>
        <v>4518.6379499999994</v>
      </c>
      <c r="E94" s="490">
        <f t="shared" si="0"/>
        <v>4518.6379499999994</v>
      </c>
      <c r="F94" s="103"/>
    </row>
    <row r="95" spans="1:6">
      <c r="A95" s="785" t="s">
        <v>1053</v>
      </c>
      <c r="B95" s="785"/>
      <c r="C95" s="786">
        <f>Worksheet!X50</f>
        <v>2.6594693877551094</v>
      </c>
      <c r="D95" s="876">
        <f>IF(Dashboard!BO$2&gt;0,"",IF(ISBLANK('Start Page'!AB22),"",IF(AND(ISBLANK(Worksheet!H77),Worksheet!Z77&lt;&gt;1),"",C95*Worksheet!H76*INDEX(Sheet1!B2:D4,MATCH('Start Page'!AB22,Sheet1!A2:A4,0),MATCH(Worksheet!J76,Sheet1!B1:D1,0)))))</f>
        <v>36886.840408163363</v>
      </c>
      <c r="E95" s="787">
        <f t="shared" si="0"/>
        <v>36886.840408163363</v>
      </c>
      <c r="F95" s="103"/>
    </row>
    <row r="96" spans="1:6">
      <c r="A96" s="785" t="s">
        <v>1054</v>
      </c>
      <c r="B96" s="785"/>
      <c r="C96" s="786">
        <f>Worksheet!Y50</f>
        <v>2.6040816326530658E-2</v>
      </c>
      <c r="D96" s="876">
        <f>C96*input_VPC</f>
        <v>34.33195183673476</v>
      </c>
      <c r="E96" s="787">
        <f t="shared" si="0"/>
        <v>34.33195183673476</v>
      </c>
      <c r="F96" s="788" t="s">
        <v>1055</v>
      </c>
    </row>
    <row r="97" spans="1:7">
      <c r="A97" s="171" t="s">
        <v>1056</v>
      </c>
      <c r="B97" s="118"/>
      <c r="C97" s="102">
        <f>IF(Dashboard!BO$2&gt;0,"",Worksheet!H39)</f>
        <v>0.32578499999999999</v>
      </c>
      <c r="D97" s="875">
        <f>IF(Dashboard!BO$2&gt;0,"",IF(ISBLANK('Start Page'!AB22),"",IF(AND(ISBLANK(Worksheet!H77),Worksheet!Z77&lt;&gt;1),"",C97*Worksheet!H76*INDEX(Sheet1!B2:D4,MATCH('Start Page'!AB22,Sheet1!A2:A4,0),MATCH(Worksheet!J76,Sheet1!B1:D1,0)))))</f>
        <v>4518.6379499999994</v>
      </c>
      <c r="E97" s="490">
        <f t="shared" si="0"/>
        <v>4518.6379499999994</v>
      </c>
      <c r="F97" s="103"/>
    </row>
    <row r="98" spans="1:7">
      <c r="A98" s="792" t="s">
        <v>749</v>
      </c>
      <c r="B98" s="792"/>
      <c r="C98" s="793">
        <f>IF(Dashboard!BO$2&gt;0,"",Worksheet!H46)</f>
        <v>3.337080204081623</v>
      </c>
      <c r="D98" s="877">
        <f>IF(Dashboard!BO$2&gt;0,"",SUM(D94:D97))</f>
        <v>45958.448260000092</v>
      </c>
      <c r="E98" s="489">
        <f t="shared" si="0"/>
        <v>45958.448260000092</v>
      </c>
      <c r="F98"/>
    </row>
    <row r="99" spans="1:7">
      <c r="A99" s="171" t="str">
        <f>"Real Losses valued at "&amp;A76&amp;""</f>
        <v xml:space="preserve">Real Losses valued at </v>
      </c>
      <c r="B99" s="118"/>
      <c r="C99" s="102">
        <f>IF(Dashboard!BO$2&gt;0,"",Worksheet!H51)</f>
        <v>74.524332852537356</v>
      </c>
      <c r="D99" s="878">
        <f>IF(Dashboard!BO$2&gt;0,"",Dashboard!N50)</f>
        <v>98252.135189456734</v>
      </c>
      <c r="E99" s="490">
        <f t="shared" si="0"/>
        <v>98252.135189456734</v>
      </c>
      <c r="F99" s="489"/>
    </row>
    <row r="100" spans="1:7">
      <c r="A100" t="s">
        <v>757</v>
      </c>
      <c r="B100"/>
      <c r="C100" s="100">
        <f>IF(Dashboard!BO$2&gt;0,"",Worksheet!H57)</f>
        <v>84.336413056618966</v>
      </c>
      <c r="D100" s="101">
        <f>IF(Dashboard!BO$2&gt;0,"",D98+D99+D90+D91)</f>
        <v>152747.15869945684</v>
      </c>
      <c r="E100" s="489">
        <f t="shared" si="0"/>
        <v>152747.15869945684</v>
      </c>
      <c r="F100"/>
      <c r="G100" s="104"/>
    </row>
    <row r="101" spans="1:7">
      <c r="A101" s="789"/>
    </row>
    <row r="102" spans="1:7">
      <c r="A102" s="789" t="s">
        <v>1057</v>
      </c>
      <c r="C102" s="790">
        <f>C95+C96</f>
        <v>2.6855102040816403</v>
      </c>
      <c r="D102" s="104">
        <f>D95+D96</f>
        <v>36921.172360000099</v>
      </c>
      <c r="E102" s="104">
        <f>E95+E96</f>
        <v>36921.172360000099</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 - 540 Susquehanna</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130.31399999999999</v>
      </c>
      <c r="H12" s="881"/>
      <c r="I12" s="4"/>
      <c r="K12" s="756"/>
    </row>
    <row r="13" spans="2:16" ht="22.5" customHeight="1">
      <c r="B13" s="1089"/>
      <c r="C13" s="288"/>
      <c r="D13" s="286"/>
      <c r="E13" s="1098"/>
      <c r="F13" s="290">
        <f>Worksheet!H23+Worksheet!H24</f>
        <v>130.31399999999999</v>
      </c>
      <c r="G13" s="485" t="s">
        <v>1069</v>
      </c>
      <c r="H13" s="291">
        <f>SUM(G12+G14)</f>
        <v>130.31399999999999</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136.78900000000002</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1.276</v>
      </c>
      <c r="H16" s="1097"/>
      <c r="I16" s="4"/>
      <c r="K16" s="118"/>
    </row>
    <row r="17" spans="2:16" ht="22.5" customHeight="1">
      <c r="B17" s="299">
        <f>Worksheet!AG15</f>
        <v>214.65041305661899</v>
      </c>
      <c r="C17" s="300"/>
      <c r="D17" s="301"/>
      <c r="E17" s="194"/>
      <c r="F17" s="302">
        <f>Worksheet!H25+Worksheet!H26</f>
        <v>6.4749999999999996</v>
      </c>
      <c r="G17" s="289" t="s">
        <v>1074</v>
      </c>
      <c r="H17" s="881"/>
      <c r="I17" s="4"/>
      <c r="K17" s="118"/>
      <c r="L17" s="99"/>
      <c r="M17" s="99"/>
      <c r="N17" s="99"/>
      <c r="O17" s="99"/>
      <c r="P17" s="99"/>
    </row>
    <row r="18" spans="2:16" ht="15.75" customHeight="1">
      <c r="B18" s="297"/>
      <c r="C18" s="1110" t="s">
        <v>1075</v>
      </c>
      <c r="D18" s="286"/>
      <c r="E18" s="303"/>
      <c r="F18" s="294"/>
      <c r="G18" s="304">
        <f>Worksheet!H26</f>
        <v>5.1989999999999998</v>
      </c>
      <c r="H18" s="881"/>
      <c r="I18" s="4"/>
      <c r="K18" s="118"/>
    </row>
    <row r="19" spans="2:16" ht="22.5" customHeight="1">
      <c r="B19" s="297"/>
      <c r="C19" s="1110"/>
      <c r="D19" s="815" t="s">
        <v>1076</v>
      </c>
      <c r="E19" s="282"/>
      <c r="F19" s="884"/>
      <c r="G19" s="485" t="s">
        <v>1077</v>
      </c>
      <c r="H19" s="305">
        <f>Worksheet!H25+Worksheet!H26+Worksheet!H46+Worksheet!H51</f>
        <v>84.33641305661898</v>
      </c>
      <c r="I19" s="4"/>
      <c r="K19" s="118"/>
      <c r="L19" s="99"/>
      <c r="M19" s="99"/>
      <c r="N19" s="99"/>
      <c r="O19" s="99"/>
      <c r="P19" s="99"/>
    </row>
    <row r="20" spans="2:16" ht="15.75" customHeight="1">
      <c r="B20" s="297"/>
      <c r="C20" s="306">
        <f>B17+B27</f>
        <v>214.65041305661899</v>
      </c>
      <c r="D20" s="286"/>
      <c r="E20" s="194"/>
      <c r="F20" s="307" t="s">
        <v>745</v>
      </c>
      <c r="G20" s="298">
        <f>Worksheet!H39</f>
        <v>0.32578499999999999</v>
      </c>
      <c r="H20" s="881"/>
      <c r="I20" s="4"/>
      <c r="K20" s="118"/>
    </row>
    <row r="21" spans="2:16" ht="14.25" customHeight="1">
      <c r="B21" s="308"/>
      <c r="C21" s="309"/>
      <c r="D21" s="306">
        <f>Worksheet!H19</f>
        <v>214.65041305661899</v>
      </c>
      <c r="E21" s="310"/>
      <c r="F21" s="302">
        <f>Worksheet!H46</f>
        <v>3.337080204081623</v>
      </c>
      <c r="G21" s="289" t="s">
        <v>1078</v>
      </c>
      <c r="H21" s="881"/>
      <c r="I21" s="4"/>
      <c r="K21" s="118"/>
      <c r="L21" s="99"/>
      <c r="M21" s="99"/>
      <c r="N21" s="99"/>
      <c r="O21" s="99"/>
      <c r="P21" s="99"/>
    </row>
    <row r="22" spans="2:16" ht="15.75" customHeight="1">
      <c r="B22" s="297"/>
      <c r="C22" s="285"/>
      <c r="D22" s="286"/>
      <c r="E22" s="194"/>
      <c r="F22" s="310"/>
      <c r="G22" s="311">
        <f>Worksheet!H41</f>
        <v>2.6855102040816234</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0.32578499999999999</v>
      </c>
      <c r="H24" s="881"/>
      <c r="I24" s="4"/>
      <c r="K24" s="118"/>
    </row>
    <row r="25" spans="2:16" ht="26.25" customHeight="1">
      <c r="B25" s="1088" t="s">
        <v>1080</v>
      </c>
      <c r="C25" s="288"/>
      <c r="D25" s="286"/>
      <c r="E25" s="313">
        <f>Worksheet!H53</f>
        <v>77.861413056618971</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74.524332852537356</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705</v>
      </c>
      <c r="G4" s="1111" t="str">
        <f>IF(ISBLANK('Start Page'!AB9),"&lt;&lt; Please enter system details on the Start Page &gt;&gt;",'Start Page'!AB9&amp;IF(ISBLANK('Start Page'!AM28),"","  ("&amp;'Start Page'!AM28&amp;")"))</f>
        <v>PAW - 540 Susquehanna</v>
      </c>
      <c r="H4" s="1112"/>
      <c r="I4" s="1112"/>
      <c r="J4" s="1112"/>
      <c r="K4" s="1112"/>
      <c r="L4" s="1112"/>
      <c r="M4" s="1112"/>
      <c r="N4" s="1112"/>
      <c r="O4" s="1113"/>
      <c r="S4" s="323"/>
      <c r="T4" s="91"/>
    </row>
    <row r="5" spans="1:20" ht="17.100000000000001" customHeight="1">
      <c r="A5" s="96"/>
      <c r="B5" s="322"/>
      <c r="E5"/>
      <c r="F5" s="274" t="s">
        <v>706</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888</v>
      </c>
      <c r="G6" s="1127" t="str">
        <f>IF(OR(ISBLANK('Start Page'!AB22:AL22),'M36 Refs'!AN118&gt;0),"Additional data entry required",Dashboard!BR4)</f>
        <v>Tier IV (71-90)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34.742902521342067</v>
      </c>
      <c r="AF98" s="35">
        <f t="shared" ref="AF98:AF103" si="0">AE98</f>
        <v>34.742902521342067</v>
      </c>
      <c r="AG98" s="35">
        <f>IF(AE98&lt;&gt;0,AF98/10,0)</f>
        <v>3.4742902521342067</v>
      </c>
      <c r="AH98" s="35">
        <f>IFERROR(AD98*AG98,0)</f>
        <v>34.742902521342067</v>
      </c>
      <c r="AI98" s="35">
        <f t="shared" ref="AI98:AI117" si="1">IF(AG98=0,0,AF98-AH98)</f>
        <v>0</v>
      </c>
      <c r="AJ98">
        <f t="array" aca="1" ref="AJ98" ca="1">SUM(1*(AI98&lt;$AI$98:$AI$117))+1+IF(ROW(AI98)-ROW($AI$98)=0,0,SUM(1*(AI98=OFFSET($AI$98,0,0,INDEX(ROW(AI98)-ROW($AI$98)+1,1)-1,1))))</f>
        <v>7</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0.25709747865793131</v>
      </c>
      <c r="AF99" s="35">
        <f t="shared" si="0"/>
        <v>0.25709747865793131</v>
      </c>
      <c r="AG99" s="35">
        <f t="shared" ref="AG99:AG117" si="3">IF(AE99&lt;&gt;0,AF99/10,0)</f>
        <v>2.570974786579313E-2</v>
      </c>
      <c r="AH99" s="35">
        <f t="shared" ref="AH99:AH106" si="4">IFERROR(AD99*AG99,0)</f>
        <v>0.25709747865793131</v>
      </c>
      <c r="AI99" s="35">
        <f t="shared" si="1"/>
        <v>0</v>
      </c>
      <c r="AJ99">
        <f t="array" aca="1" ref="AJ99" ca="1">SUM(1*(AI99&lt;$AI$98:$AI$117))+1+IF(ROW(AI99)-ROW($AI$98)=0,0,SUM(1*(AI99=OFFSET($AI$98,0,0,INDEX(ROW(AI99)-ROW($AI$98)+1,1)-1,1))))</f>
        <v>8</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9</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10</v>
      </c>
      <c r="AK101" s="118" t="str">
        <f t="shared" si="5"/>
        <v>WI Error Adjustment (WIEA)</v>
      </c>
      <c r="AL101">
        <f t="shared" si="6"/>
        <v>0</v>
      </c>
      <c r="AM101">
        <f t="shared" si="7"/>
        <v>0</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11</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12</v>
      </c>
      <c r="AK103" s="861"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13.864245003419711</v>
      </c>
      <c r="AF104" s="67">
        <f t="shared" ref="AF104:AF117" si="8">AE104/$AE$120</f>
        <v>17.003319343816628</v>
      </c>
      <c r="AG104" s="67">
        <f t="shared" si="3"/>
        <v>1.7003319343816627</v>
      </c>
      <c r="AH104" s="67">
        <f t="shared" ref="AH104:AH117" si="9">AD104*AG104</f>
        <v>15.302987409434964</v>
      </c>
      <c r="AI104" s="67">
        <f t="shared" si="1"/>
        <v>1.7003319343816639</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13</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0.13575499658028725</v>
      </c>
      <c r="AF106" s="71">
        <f t="shared" si="8"/>
        <v>0.16649197693808815</v>
      </c>
      <c r="AG106" s="71">
        <f t="shared" si="3"/>
        <v>1.6649197693808813E-2</v>
      </c>
      <c r="AH106" s="35">
        <f t="shared" si="4"/>
        <v>0.16649197693808815</v>
      </c>
      <c r="AI106" s="71">
        <f t="shared" si="1"/>
        <v>0</v>
      </c>
      <c r="AJ106" s="72">
        <f t="array" aca="1" ref="AJ106" ca="1">SUM(1*(AI106&lt;$AI$98:$AI$117))+1+IF(ROW(AI106)-ROW($AI$98)=0,0,SUM(1*(AI106=OFFSET($AI$98,0,0,INDEX(ROW(AI106)-ROW($AI$98)+1,1)-1,1))))</f>
        <v>14</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8</v>
      </c>
      <c r="AE107" s="62">
        <v>2</v>
      </c>
      <c r="AF107" s="63">
        <f t="shared" si="8"/>
        <v>2.4528301886792452</v>
      </c>
      <c r="AG107" s="63">
        <f t="shared" si="3"/>
        <v>0.24528301886792453</v>
      </c>
      <c r="AH107" s="63">
        <f t="shared" si="9"/>
        <v>1.9622641509433962</v>
      </c>
      <c r="AI107" s="63">
        <f t="shared" si="1"/>
        <v>0.49056603773584895</v>
      </c>
      <c r="AJ107" s="64">
        <f t="array" aca="1" ref="AJ107" ca="1">SUM(1*(AI107&lt;$AI$98:$AI$117))+1+IF(ROW(AI107)-ROW($AI$98)=0,0,SUM(1*(AI107=OFFSET($AI$98,0,0,INDEX(ROW(AI107)-ROW($AI$98)+1,1)-1,1))))</f>
        <v>5</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2</v>
      </c>
      <c r="AK108" s="889" t="str">
        <f t="shared" si="5"/>
        <v>Unauthorized Consumption (UC)</v>
      </c>
      <c r="AL108" s="64">
        <f t="shared" si="10"/>
        <v>1</v>
      </c>
      <c r="AM108" s="64">
        <f t="shared" si="7"/>
        <v>1</v>
      </c>
      <c r="AN108" s="64">
        <f t="shared" si="2"/>
        <v>0</v>
      </c>
    </row>
    <row r="109" spans="28:40">
      <c r="AC109" s="165" t="s">
        <v>1078</v>
      </c>
      <c r="AD109" s="65">
        <f>IF(Worksheet!F41="n/a",0,Worksheet!F41)</f>
        <v>4</v>
      </c>
      <c r="AE109" s="66">
        <f>IF(AND(Worksheet!F41="n/a",Worksheet!H41=0),0,6)</f>
        <v>6</v>
      </c>
      <c r="AF109" s="67">
        <f t="shared" si="8"/>
        <v>7.3584905660377355</v>
      </c>
      <c r="AG109" s="67">
        <f t="shared" si="3"/>
        <v>0.73584905660377353</v>
      </c>
      <c r="AH109" s="67">
        <f t="shared" si="9"/>
        <v>2.9433962264150941</v>
      </c>
      <c r="AI109" s="67">
        <f t="shared" si="1"/>
        <v>4.415094339622641</v>
      </c>
      <c r="AJ109" s="68">
        <f t="array" aca="1" ref="AJ109" ca="1">SUM(1*(AI109&lt;$AI$98:$AI$117))+1+IF(ROW(AI109)-ROW($AI$98)=0,0,SUM(1*(AI109=OFFSET($AI$98,0,0,INDEX(ROW(AI109)-ROW($AI$98)+1,1)-1,1))))</f>
        <v>1</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3</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86.894007688259848</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1174</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1175</v>
      </c>
      <c r="D4" s="1163" t="s">
        <v>1176</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66" t="s">
        <v>1178</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66" t="s">
        <v>1179</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9" t="s">
        <v>1181</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9" t="s">
        <v>1183</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9" t="s">
        <v>1184</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9" t="s">
        <v>1186</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9" t="s">
        <v>1188</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9" t="s">
        <v>1190</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9" t="s">
        <v>1192</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9" t="s">
        <v>1193</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9" t="s">
        <v>1194</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66" t="s">
        <v>1195</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9" t="s">
        <v>1197</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9" t="s">
        <v>1198</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9" t="s">
        <v>1199</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66" t="s">
        <v>1201</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9" t="s">
        <v>1203</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9" t="s">
        <v>1205</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9" t="s">
        <v>1207</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1208</v>
      </c>
      <c r="D44" s="1176" t="s">
        <v>1209</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9" t="s">
        <v>1210</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9" t="s">
        <v>1212</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9" t="s">
        <v>1214</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1215</v>
      </c>
      <c r="D53" s="1176" t="s">
        <v>1216</v>
      </c>
      <c r="E53" s="1177"/>
      <c r="F53" s="1177"/>
      <c r="G53" s="1177"/>
      <c r="H53" s="1177"/>
      <c r="I53" s="1177"/>
      <c r="J53" s="1177"/>
      <c r="K53" s="1177"/>
      <c r="L53" s="1178"/>
      <c r="M53" s="892"/>
      <c r="N53" s="891"/>
    </row>
    <row r="54" spans="1:14" ht="18" customHeight="1">
      <c r="A54" s="93"/>
      <c r="B54" s="335"/>
      <c r="C54" s="1183"/>
      <c r="D54" s="896"/>
      <c r="E54" s="1182" t="s">
        <v>1217</v>
      </c>
      <c r="F54" s="1182"/>
      <c r="G54" s="897" t="s">
        <v>1218</v>
      </c>
      <c r="H54" s="897"/>
      <c r="I54" s="1184" t="s">
        <v>1219</v>
      </c>
      <c r="J54" s="1184"/>
      <c r="K54" s="637"/>
      <c r="L54" s="643"/>
      <c r="M54" s="892"/>
      <c r="N54" s="891"/>
    </row>
    <row r="55" spans="1:14" ht="18.75" customHeight="1">
      <c r="A55" s="93"/>
      <c r="B55" s="335"/>
      <c r="C55" s="1183"/>
      <c r="D55" s="896"/>
      <c r="E55" s="1185">
        <v>100</v>
      </c>
      <c r="F55" s="1186"/>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9" t="s">
        <v>1221</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9" t="s">
        <v>1223</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9" t="s">
        <v>1225</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9" t="s">
        <v>1226</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9" t="s">
        <v>1228</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9" t="s">
        <v>1230</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9" t="s">
        <v>1232</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1233</v>
      </c>
      <c r="D73" s="1187" t="s">
        <v>1234</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66" t="s">
        <v>1236</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1239</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1240</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1252</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1254</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1255</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1256</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1257</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1258</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1259</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1260</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1261</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1262</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1263</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1264</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5" t="s">
        <v>1269</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1270</v>
      </c>
      <c r="D34" s="911" t="s">
        <v>1271</v>
      </c>
      <c r="E34" s="912">
        <v>5</v>
      </c>
      <c r="F34" s="1208" t="s">
        <v>1272</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1273</v>
      </c>
      <c r="D35" s="912">
        <v>2006</v>
      </c>
      <c r="E35" s="912">
        <v>5</v>
      </c>
      <c r="F35" s="1208" t="s">
        <v>1274</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1275</v>
      </c>
      <c r="D36" s="912">
        <v>2007</v>
      </c>
      <c r="E36" s="912">
        <v>7</v>
      </c>
      <c r="F36" s="1208" t="s">
        <v>1276</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1277</v>
      </c>
      <c r="D37" s="912">
        <v>2010</v>
      </c>
      <c r="E37" s="912">
        <v>10</v>
      </c>
      <c r="F37" s="1208" t="s">
        <v>1278</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1279</v>
      </c>
      <c r="D38" s="365">
        <v>2014</v>
      </c>
      <c r="E38" s="365">
        <v>12</v>
      </c>
      <c r="F38" s="1202" t="s">
        <v>1280</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1281</v>
      </c>
      <c r="D39" s="365">
        <v>2020</v>
      </c>
      <c r="E39" s="366">
        <v>11</v>
      </c>
      <c r="F39" s="1202" t="s">
        <v>1282</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2.xml><?xml version="1.0" encoding="utf-8"?>
<ds:datastoreItem xmlns:ds="http://schemas.openxmlformats.org/officeDocument/2006/customXml" ds:itemID="{0299D089-0622-491B-B9A8-97FE58FED5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2024-05-22T15:47:46Z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