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FFC0BEA6-A222-44D7-A00B-259D498EE7D2}"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<sst xmlns="http://schemas.openxmlformats.org/spreadsheetml/2006/main" count="2541" uniqueCount="1283">
  <si>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</si>
  <si>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</si>
  <si>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</si>
  <si>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</si>
  <si>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</si>
  <si>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</si>
  <si>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</si>
  <si>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</si>
  <si>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</si>
  <si>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</si>
  <si>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</si>
  <si>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</si>
  <si>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</si>
  <si>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</si>
  <si>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</si>
  <si>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</si>
  <si>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</si>
  <si>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</si>
  <si>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</si>
  <si>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</si>
  <si>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</si>
  <si>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</si>
  <si>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</si>
  <si>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</si>
  <si>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</si>
  <si>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</si>
  <si>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</si>
  <si>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</si>
  <si>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</si>
  <si>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</si>
  <si>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</si>
  <si>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</si>
  <si>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</si>
  <si>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</si>
  <si>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</si>
  <si>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</si>
  <si>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</si>
  <si>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</si>
  <si>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</si>
  <si>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</si>
  <si>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</si>
  <si>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</si>
  <si>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</si>
  <si>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</si>
  <si>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</si>
  <si>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</si>
  <si>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</si>
  <si>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</si>
  <si>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</si>
  <si>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</si>
  <si>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</si>
  <si>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</si>
  <si>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</si>
  <si>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</si>
  <si>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</si>
  <si>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</si>
  <si>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</si>
  <si>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</si>
  <si>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</si>
  <si>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</si>
  <si>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</si>
  <si>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</si>
  <si>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</si>
  <si>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</si>
  <si>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</si>
  <si>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</si>
  <si>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</si>
  <si>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</si>
  <si>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</si>
  <si>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</si>
  <si>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</si>
  <si>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</si>
  <si>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</si>
  <si>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</si>
  <si>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</si>
  <si>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</si>
  <si>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</si>
  <si>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</si>
  <si>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</si>
  <si>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</si>
  <si>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</si>
  <si>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</si>
  <si>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</si>
  <si>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</si>
  <si>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</si>
  <si>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</si>
  <si>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</si>
  <si>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</si>
  <si>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</si>
  <si>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</si>
  <si>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</si>
  <si>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</si>
  <si>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</si>
  <si>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</si>
  <si>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</si>
  <si>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</si>
  <si>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</si>
  <si>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</si>
  <si>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</si>
  <si>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</si>
  <si>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</si>
  <si>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</si>
  <si>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</si>
  <si>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</si>
  <si>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</si>
  <si>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</si>
  <si>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</si>
  <si>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</si>
  <si>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</si>
  <si>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</si>
  <si>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</si>
  <si>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</si>
  <si>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</si>
  <si>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</si>
  <si>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</si>
  <si>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</si>
  <si>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</si>
  <si>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</si>
  <si>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</si>
  <si>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</si>
  <si>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</si>
  <si>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</si>
  <si>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</si>
  <si>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</si>
  <si>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</si>
  <si>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</si>
  <si>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</si>
  <si>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</si>
  <si>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</si>
  <si>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</si>
  <si>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</si>
  <si>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</si>
  <si>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</si>
  <si>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</si>
  <si>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</si>
  <si>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</si>
  <si>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</si>
  <si>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</si>
  <si>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</si>
  <si>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</si>
  <si>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</si>
  <si>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</si>
  <si>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</si>
  <si>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</si>
  <si>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</si>
  <si>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</si>
  <si>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</si>
  <si>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</si>
  <si>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</si>
  <si>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</si>
  <si>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</si>
  <si>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</si>
  <si>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</si>
  <si>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</si>
  <si>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</si>
  <si>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</si>
  <si>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</si>
  <si>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</si>
  <si>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</si>
  <si>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</si>
  <si>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</si>
  <si>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</si>
  <si>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</si>
  <si>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</si>
  <si>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</si>
  <si>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</si>
  <si>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</si>
  <si>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</si>
  <si>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</si>
  <si>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</si>
  <si>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</si>
  <si>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</si>
  <si>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</si>
  <si>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</si>
  <si>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</si>
  <si>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</si>
  <si>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</si>
  <si>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</si>
  <si>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</si>
  <si>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</si>
  <si>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</si>
  <si>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</si>
  <si>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</si>
  <si>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</si>
  <si>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</si>
  <si>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</si>
  <si>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</si>
  <si>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</si>
  <si>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</si>
  <si>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</si>
  <si>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</si>
  <si>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</si>
  <si>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</si>
  <si>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</si>
  <si>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</si>
  <si>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</si>
  <si>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</si>
  <si>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</si>
  <si>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</si>
  <si>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</si>
  <si>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</si>
  <si>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</si>
  <si>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</si>
  <si>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</si>
  <si>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</si>
  <si>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</si>
  <si>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</si>
  <si>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</si>
  <si>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</si>
  <si>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</si>
  <si>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</si>
  <si>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</si>
  <si>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</si>
  <si>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</si>
  <si>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</si>
  <si>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</si>
  <si>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</si>
  <si>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</si>
  <si>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</si>
  <si>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</si>
  <si>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</si>
  <si>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</si>
  <si>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</si>
  <si>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</si>
  <si>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</si>
  <si>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</si>
  <si>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</si>
  <si>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</si>
  <si>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</si>
  <si>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</si>
  <si>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</si>
  <si>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</si>
  <si>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</si>
  <si>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</si>
  <si>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</si>
  <si>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</si>
  <si>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</si>
  <si>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</si>
  <si>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</si>
  <si>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</si>
  <si>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</si>
  <si>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</si>
  <si>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</si>
  <si>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</si>
  <si>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</si>
  <si>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</si>
  <si>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</si>
  <si>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</si>
  <si>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</si>
  <si>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</si>
  <si>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</si>
  <si>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</si>
  <si>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</si>
  <si>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</si>
  <si>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</si>
  <si>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</si>
  <si>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</si>
  <si>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</si>
  <si>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</si>
  <si>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</si>
  <si>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</si>
  <si>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</si>
  <si>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</si>
  <si>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</si>
  <si>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</si>
  <si>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</si>
  <si>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</si>
  <si>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</si>
  <si>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</si>
  <si>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</si>
  <si>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</si>
  <si>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</si>
  <si>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</si>
  <si>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</si>
  <si>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</si>
  <si>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</si>
  <si>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</si>
  <si>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</si>
  <si>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</si>
  <si>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</si>
  <si>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</si>
  <si>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</si>
  <si>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</si>
  <si>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</si>
  <si>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</si>
  <si>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</si>
  <si>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</si>
  <si>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</si>
  <si>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</si>
  <si>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</si>
  <si>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</si>
  <si>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</si>
  <si>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</si>
  <si>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</si>
  <si>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</si>
  <si>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</si>
  <si>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</si>
  <si>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</si>
  <si>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</si>
  <si>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</si>
  <si>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</si>
  <si>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</si>
  <si>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</si>
  <si>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</si>
  <si>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</si>
  <si>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</si>
  <si>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</si>
  <si>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</si>
  <si>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</si>
  <si>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</si>
  <si>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</si>
  <si>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</si>
  <si>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</si>
  <si>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</si>
  <si>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</si>
  <si>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</si>
  <si>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</si>
  <si>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</si>
  <si>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</si>
  <si>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</si>
  <si>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</si>
  <si>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</si>
  <si>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</si>
  <si>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</si>
  <si>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</si>
  <si>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</si>
  <si>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</si>
  <si>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</si>
  <si>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</si>
  <si>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</si>
  <si>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</si>
  <si>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</si>
  <si>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</si>
  <si>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</si>
  <si>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</si>
  <si>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</si>
  <si>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</si>
  <si>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</si>
  <si>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</si>
  <si>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</si>
  <si>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</si>
  <si>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</si>
  <si>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</si>
  <si>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</si>
  <si>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</si>
  <si>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</si>
  <si>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</si>
  <si>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</si>
  <si>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</si>
  <si>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</si>
  <si>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</si>
  <si>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</si>
  <si>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</si>
  <si>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</si>
  <si>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</si>
  <si>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</si>
  <si>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</si>
  <si>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</si>
  <si>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</si>
  <si>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</si>
  <si>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</si>
  <si>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</si>
  <si>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</si>
  <si>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</si>
  <si>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</si>
  <si>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</si>
  <si>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</si>
  <si>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</si>
  <si>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</si>
  <si>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</si>
  <si>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</si>
  <si>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</si>
  <si>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</si>
  <si>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</si>
  <si>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</si>
  <si>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</si>
  <si>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</si>
  <si>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</si>
  <si>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</si>
  <si>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</si>
  <si>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</si>
  <si>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</si>
  <si>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</si>
  <si>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</si>
  <si>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</si>
  <si>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</si>
  <si>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</si>
  <si>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</si>
  <si>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</si>
  <si>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</si>
  <si>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</si>
  <si>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</si>
  <si>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</si>
  <si>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</si>
  <si>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</si>
  <si>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</si>
  <si>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</si>
  <si>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</si>
  <si>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</si>
  <si>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</si>
  <si>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</si>
  <si>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</si>
  <si>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</si>
  <si>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</si>
  <si>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</si>
  <si>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</si>
  <si>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</si>
  <si>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</si>
  <si>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</si>
  <si>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</si>
  <si>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</si>
  <si>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</si>
  <si>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</si>
  <si>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</si>
  <si>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</si>
  <si>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</si>
  <si>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</si>
  <si>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</si>
  <si>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</si>
  <si>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</si>
  <si>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</si>
  <si>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</si>
  <si>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</si>
  <si>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</si>
  <si>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</si>
  <si>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</si>
  <si>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</si>
  <si>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</si>
  <si>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</si>
  <si>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</si>
  <si>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</si>
  <si>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</si>
  <si>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</si>
  <si>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</si>
  <si>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</si>
  <si>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</si>
  <si>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</si>
  <si>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</si>
  <si>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</si>
  <si>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</si>
  <si>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</si>
  <si>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</si>
  <si>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</si>
  <si>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</si>
  <si>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</si>
  <si>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</si>
  <si>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</si>
  <si>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</si>
  <si>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</si>
  <si>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</si>
  <si>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</si>
  <si>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</si>
  <si>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</si>
  <si>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</si>
  <si>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</si>
  <si>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</si>
  <si>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</si>
  <si>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</si>
  <si>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</si>
  <si>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</si>
  <si>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</si>
  <si>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</si>
  <si>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</si>
  <si>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</si>
  <si>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</si>
  <si>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</si>
  <si>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</si>
  <si>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</si>
  <si>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</si>
  <si>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</si>
  <si>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</si>
  <si>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</si>
  <si>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</si>
  <si>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</si>
  <si>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</si>
  <si>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</si>
  <si>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</si>
  <si>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</si>
  <si>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</si>
  <si>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</si>
  <si>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</si>
  <si>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</si>
  <si>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</si>
  <si>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</si>
  <si>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</si>
  <si>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</si>
  <si>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</si>
  <si>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</si>
  <si>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</si>
  <si>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</si>
  <si>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</si>
  <si>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</si>
  <si>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</si>
  <si>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</si>
  <si>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</si>
  <si>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</si>
  <si>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</si>
  <si>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</si>
  <si>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</si>
  <si>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</si>
  <si>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</si>
  <si>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</si>
  <si>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</si>
  <si>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</si>
  <si>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</si>
  <si>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</si>
  <si>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</si>
  <si>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</si>
  <si>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</si>
  <si>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</si>
  <si>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</si>
  <si>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</si>
  <si>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</si>
  <si>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</si>
  <si>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</si>
  <si>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</si>
  <si>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- 560 Nazareth</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</si>
  <si>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</si>
  <si>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</si>
  <si>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</si>
  <si>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</si>
  <si>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</si>
  <si>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</si>
  <si>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</si>
  <si>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</si>
  <si>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</si>
  <si>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</si>
  <si>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</si>
  <si>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</si>
  <si>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</si>
  <si>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</si>
  <si>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</si>
  <si>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Nazareth</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</si>
  <si>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</si>
  <si>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</si>
  <si>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</si>
  <si>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</si>
  <si>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</si>
  <si>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</si>
  <si>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</si>
  <si>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</si>
  <si>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</si>
  <si>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</si>
  <si>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</si>
  <si>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</si>
  <si>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</si>
  <si>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</si>
  <si>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</si>
  <si>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</si>
  <si>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</si>
  <si>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</si>
  <si>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</si>
  <si>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</si>
  <si>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</si>
  <si>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</si>
  <si>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</si>
  <si>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</si>
  <si>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</si>
  <si>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</si>
  <si>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</si>
  <si>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</si>
  <si>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</si>
  <si>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</si>
  <si>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</si>
  <si>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</si>
  <si>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</si>
  <si>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</si>
  <si>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</si>
  <si>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</si>
  <si>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</si>
  <si>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</si>
  <si>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</si>
  <si>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</si>
  <si>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</si>
  <si>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</si>
  <si>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</si>
  <si>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3480055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</si>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</sst>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24.166040377010638</c:v>
                </c:pt>
                <c:pt idx="1">
                  <c:v>2.0024160337996988</c:v>
                </c:pt>
                <c:pt idx="2">
                  <c:v>224.133547814152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4.2590124382834276</c:v>
                </c:pt>
                <c:pt idx="1">
                  <c:v>0.26113598867139654</c:v>
                </c:pt>
                <c:pt idx="2">
                  <c:v>28.121850156969742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23.564843224559308</c:v>
                </c:pt>
                <c:pt idx="1">
                  <c:v>0.92482240795754933</c:v>
                </c:pt>
                <c:pt idx="2">
                  <c:v>91.113135362176806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21.245079249562217</c:v>
                </c:pt>
                <c:pt idx="1">
                  <c:v>0.38772920688421864</c:v>
                </c:pt>
                <c:pt idx="2">
                  <c:v>26.833342404080891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2.319763974997088</c:v>
                </c:pt>
                <c:pt idx="1">
                  <c:v>0.56875750335916142</c:v>
                </c:pt>
                <c:pt idx="2">
                  <c:v>68.206166441538926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123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12.119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17.556999999999999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1.5959350000000001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13.275367346938797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1.5959350000000001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76.969428638552131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$259,097/Yr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3869.1119399999998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5605.2478199999996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22135.618449999998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180777.88759061255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22135.618449999998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24573.259787144154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19.907027938727211</c:v>
                </c:pt>
                <c:pt idx="1">
                  <c:v>1.8469276802355887</c:v>
                </c:pt>
                <c:pt idx="2">
                  <c:v>209.11200441048578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1338.0402725567092</c:v>
                </c:pt>
                <c:pt idx="1">
                  <c:v>97.186039594358903</c:v>
                </c:pt>
                <c:pt idx="2" formatCode="_(* #,##0_);_(* \(#,##0\);_(* &quot;-&quot;??_);_(@_)">
                  <c:v>10713.028637143794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57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57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57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57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578"/>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79"/>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80"/>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81"/>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82"/>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83"/>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84"/>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85"/>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86"/>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87"/>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88"/>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89"/>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90"/>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91"/>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92"/>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G24" sqref="AG24:AL2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39194</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topLeftCell="B1" zoomScale="110" zoomScaleNormal="110" workbookViewId="0">
      <pane ySplit="9" topLeftCell="A12" activePane="bottomLeft" state="frozen"/>
      <selection pane="bottomLeft" activeCell="O78" sqref="O78"/>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- 560 Nazareth</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745.26700000000005</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2.1299999999999999E-2</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15.8741871</v>
      </c>
      <c r="Y15" s="84">
        <f>$Y$19/$Y$18*H15</f>
        <v>34.270047978067169</v>
      </c>
      <c r="Z15" s="114">
        <f>$Y$19/$Y$18*ABS(X15)</f>
        <v>0.72995202193283071</v>
      </c>
      <c r="AA15" s="754">
        <f>IF(W15=1,input_VOS-input_VOS/(1+O15*AB15),Q15*AB15)</f>
        <v>-16.219665985490906</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761.48666598549096</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761.14118710000002</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761.48666598549096</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638.37400000000002</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13.739173211702509</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0.26082678829749129</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12.119</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650.49300000000005</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10</v>
      </c>
      <c r="G26" s="79"/>
      <c r="H26" s="727">
        <f>IF(OR(W26=1,AND(W26=2,Q26=0)),O26*SUM(H23:H24),Q26)</f>
        <v>17.556999999999999</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17.556999999999999</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668.05000000000007</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93.43666598549089</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3</v>
      </c>
      <c r="G39" s="152"/>
      <c r="H39" s="847">
        <f>IF(OR(W39=1,AND(W39=2,Q39=0)),O39*SUM(H23:H24),Q39)</f>
        <v>1.5959350000000001</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4</v>
      </c>
      <c r="G41" s="152"/>
      <c r="H41" s="848">
        <f>IF(OR(T41="Select…..",T41=""),"Select under/over",IF(W41=1,((H23+H25)/(1-(O41*X41)))-(H23+H25),Q41*X41))</f>
        <v>13.275367346938765</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747</v>
      </c>
      <c r="D43" s="700" t="s">
        <v>723</v>
      </c>
      <c r="E43" s="463" t="s">
        <v>724</v>
      </c>
      <c r="F43" s="390">
        <f>'Interactive Data Grading'!D322</f>
        <v>3</v>
      </c>
      <c r="G43" s="152"/>
      <c r="H43" s="727">
        <f>IF(OR(W43=1,AND(W43=2,Q43=0)),O43*SUM(H23:H24),Q43)</f>
        <v>1.5959350000000001</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748</v>
      </c>
      <c r="D46" s="996"/>
      <c r="E46" s="996"/>
      <c r="F46" s="996"/>
      <c r="G46" s="164"/>
      <c r="H46" s="727">
        <f t="array" ref="H46">SUM(IF(ISNUMBER(H39:H43),H39:H43))</f>
        <v>16.467237346938767</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750</v>
      </c>
      <c r="Y48" s="106" t="s">
        <v>751</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13.028040816326552</v>
      </c>
      <c r="Y50" s="854">
        <f>IFERROR(IF(W41=1,((H25)/(1-(O41*X41)))-(H25),Q41*H25/(H23+H25)),0)</f>
        <v>0.24732653061224497</v>
      </c>
      <c r="Z50" s="855">
        <f>SUM(X50:Y50)</f>
        <v>13.275367346938797</v>
      </c>
      <c r="AA50" s="990"/>
      <c r="AB50" s="990"/>
      <c r="AC50" s="990"/>
    </row>
    <row r="51" spans="1:29">
      <c r="A51" s="827"/>
      <c r="B51" s="448"/>
      <c r="C51" s="996" t="s">
        <v>753</v>
      </c>
      <c r="D51" s="996"/>
      <c r="E51" s="996"/>
      <c r="F51" s="996"/>
      <c r="G51" s="728"/>
      <c r="H51" s="727">
        <f>IFERROR(H35-H46,"")</f>
        <v>76.969428638552131</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180698.92612244928</v>
      </c>
      <c r="Y51" s="856">
        <f>Y50*input_VPC</f>
        <v>78.961468163265323</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754</v>
      </c>
      <c r="D53" s="989"/>
      <c r="E53" s="989"/>
      <c r="F53" s="989"/>
      <c r="G53" s="468"/>
      <c r="H53" s="727">
        <f>IFERROR(H46+H51,"")</f>
        <v>93.43666598549089</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756</v>
      </c>
      <c r="D57" s="989"/>
      <c r="E57" s="989"/>
      <c r="F57" s="989"/>
      <c r="G57" s="728"/>
      <c r="H57" s="727">
        <f>IFERROR(H35+H25+H26,"")</f>
        <v>123.11266598549089</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758</v>
      </c>
      <c r="D61" s="700" t="s">
        <v>723</v>
      </c>
      <c r="E61" s="463" t="s">
        <v>724</v>
      </c>
      <c r="F61" s="390">
        <f>'Interactive Data Grading'!D350</f>
        <v>10</v>
      </c>
      <c r="G61" s="47"/>
      <c r="H61" s="256">
        <v>157.6</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3" t="s">
        <v>760</v>
      </c>
      <c r="D62" s="700" t="s">
        <v>723</v>
      </c>
      <c r="E62" s="463" t="s">
        <v>724</v>
      </c>
      <c r="F62" s="390">
        <f>'Interactive Data Grading'!D374</f>
        <v>10</v>
      </c>
      <c r="G62" s="47"/>
      <c r="H62" s="396">
        <v>10593</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3" t="s">
        <v>762</v>
      </c>
      <c r="D63" s="47"/>
      <c r="E63" s="405"/>
      <c r="F63" s="210"/>
      <c r="G63" s="47"/>
      <c r="H63" s="858">
        <f>IF(ISERROR(H62/H61),"",H62/H61)</f>
        <v>67.214467005076145</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763</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3" t="s">
        <v>765</v>
      </c>
      <c r="D66" s="700" t="s">
        <v>723</v>
      </c>
      <c r="E66" s="463" t="s">
        <v>724</v>
      </c>
      <c r="F66" s="390">
        <f>'Interactive Data Grading'!D398</f>
        <v>10</v>
      </c>
      <c r="G66" s="47"/>
      <c r="H66" s="256">
        <v>19.100000000000001</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19.100000000000001</v>
      </c>
      <c r="X67" s="171" t="s">
        <v>768</v>
      </c>
      <c r="Y67" s="171"/>
      <c r="Z67" s="171"/>
    </row>
    <row r="68" spans="1:26">
      <c r="A68" s="827"/>
      <c r="B68" s="448" t="s">
        <v>577</v>
      </c>
      <c r="C68" s="803" t="s">
        <v>769</v>
      </c>
      <c r="D68" s="700" t="s">
        <v>723</v>
      </c>
      <c r="E68" s="463" t="s">
        <v>724</v>
      </c>
      <c r="F68" s="390">
        <f>'Interactive Data Grading'!D422</f>
        <v>8</v>
      </c>
      <c r="G68" s="47"/>
      <c r="H68" s="256">
        <v>94.9</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773</v>
      </c>
      <c r="D76" s="700" t="s">
        <v>723</v>
      </c>
      <c r="E76" s="425" t="s">
        <v>724</v>
      </c>
      <c r="F76" s="390">
        <f>'Interactive Data Grading'!D446</f>
        <v>10</v>
      </c>
      <c r="G76" s="118"/>
      <c r="H76" s="864">
        <v>13.87</v>
      </c>
      <c r="I76" s="118"/>
      <c r="J76" s="1003" t="s">
        <v>774</v>
      </c>
      <c r="K76" s="1004"/>
      <c r="L76" s="1004"/>
      <c r="M76" s="1005"/>
      <c r="N76" s="118"/>
      <c r="O76" s="1006" t="str">
        <f>IF(AND(NOT(ISBLANK(H76)),ISBLANK(J76)),"&lt;----Enter units","")</f>
        <v/>
      </c>
      <c r="P76" s="1006"/>
      <c r="Q76" s="1010" t="s">
        <v>775</v>
      </c>
      <c r="R76" s="1010"/>
      <c r="S76" s="1010"/>
      <c r="T76" s="118"/>
      <c r="U76" s="199"/>
      <c r="V76" s="827"/>
      <c r="W76" s="118"/>
      <c r="X76" s="118"/>
      <c r="Y76" s="118"/>
      <c r="Z76" s="118"/>
    </row>
    <row r="77" spans="1:26" ht="13.5" customHeight="1">
      <c r="A77" s="827"/>
      <c r="B77" s="448" t="s">
        <v>583</v>
      </c>
      <c r="C77" s="803" t="s">
        <v>776</v>
      </c>
      <c r="D77" s="700" t="s">
        <v>723</v>
      </c>
      <c r="E77" s="463" t="s">
        <v>724</v>
      </c>
      <c r="F77" s="390">
        <f>'Interactive Data Grading'!D469</f>
        <v>10</v>
      </c>
      <c r="G77" s="118"/>
      <c r="H77" s="864">
        <v>319.26</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3657813</v>
      </c>
      <c r="R77" s="1008"/>
      <c r="S77" s="1009"/>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36" activePane="bottomLeft" state="frozen"/>
      <selection activeCell="B15" sqref="B15:F17"/>
      <selection pane="bottomLeft" activeCell="D419" sqref="D419"/>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- 560 Nazareth</v>
      </c>
      <c r="C1" s="495"/>
      <c r="D1" s="496"/>
      <c r="E1" s="750" t="s">
        <v>789</v>
      </c>
    </row>
    <row r="2" spans="1:20" ht="30.6" customHeight="1">
      <c r="A2" s="367"/>
      <c r="B2" s="749">
        <f>IF(ISBLANK('Start Page'!AB18),"",'Start Page'!AB18)</f>
        <v>2023</v>
      </c>
      <c r="C2" s="367"/>
      <c r="D2" s="367"/>
      <c r="E2" s="1040" t="s">
        <v>790</v>
      </c>
    </row>
    <row r="3" spans="1:20" ht="38.25" customHeight="1">
      <c r="A3" s="367"/>
      <c r="B3" s="706"/>
      <c r="C3" s="367"/>
      <c r="D3" s="367"/>
      <c r="E3" s="1041"/>
    </row>
    <row r="4" spans="1:20" ht="1.35" customHeight="1"/>
    <row r="5" spans="1:20" s="368" customFormat="1" ht="16.350000000000001" customHeight="1">
      <c r="A5" s="1034" t="s">
        <v>791</v>
      </c>
      <c r="B5" s="1035"/>
      <c r="C5" s="1036" t="s">
        <v>792</v>
      </c>
      <c r="D5" s="1036"/>
      <c r="E5" s="750" t="s">
        <v>793</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804</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791</v>
      </c>
      <c r="B36" s="1035"/>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791</v>
      </c>
      <c r="B59" s="1035"/>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815</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791</v>
      </c>
      <c r="B89" s="1035"/>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791</v>
      </c>
      <c r="B112" s="1035"/>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825</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791</v>
      </c>
      <c r="B143" s="1035"/>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791</v>
      </c>
      <c r="B166" s="1035"/>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791</v>
      </c>
      <c r="B193" s="1035"/>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791</v>
      </c>
      <c r="B216" s="1035"/>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791</v>
      </c>
      <c r="B240" s="1035"/>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791</v>
      </c>
      <c r="B263" s="1035"/>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791</v>
      </c>
      <c r="B287" s="1035"/>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334</v>
      </c>
      <c r="E296" s="628" t="str">
        <f t="shared" si="17"/>
        <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324</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791</v>
      </c>
      <c r="B316" s="1035"/>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791</v>
      </c>
      <c r="B343" s="1035"/>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791</v>
      </c>
      <c r="B366" s="1035"/>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791</v>
      </c>
      <c r="B390" s="1035"/>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791</v>
      </c>
      <c r="B414" s="1035"/>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791</v>
      </c>
      <c r="B438" s="1035"/>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791</v>
      </c>
      <c r="B462" s="1035"/>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3" t="s">
        <v>874</v>
      </c>
      <c r="AO2" s="1064"/>
      <c r="AP2" s="1064"/>
      <c r="AQ2" s="1065"/>
      <c r="AR2" s="772"/>
      <c r="AS2" s="1063" t="s">
        <v>875</v>
      </c>
      <c r="AT2" s="1064"/>
      <c r="AU2" s="1064"/>
      <c r="AV2" s="1065"/>
      <c r="AW2" s="772"/>
      <c r="AX2" s="1063" t="s">
        <v>876</v>
      </c>
      <c r="AY2" s="1064"/>
      <c r="AZ2" s="1064"/>
      <c r="BA2" s="1065"/>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- 560 Nazareth</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880</v>
      </c>
      <c r="AE5" s="610"/>
      <c r="AF5" s="610"/>
      <c r="AG5" s="610"/>
      <c r="AH5" s="1076" t="s">
        <v>881</v>
      </c>
      <c r="AI5" s="1076"/>
      <c r="AJ5" s="1076"/>
      <c r="AK5" s="1076"/>
      <c r="AL5" s="1076"/>
      <c r="AM5" s="1076"/>
      <c r="AN5" s="1076"/>
      <c r="AO5" s="1076"/>
      <c r="AP5" s="1076"/>
      <c r="AQ5" s="1076"/>
      <c r="AR5" s="107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883</v>
      </c>
      <c r="Z6" s="1071">
        <v>0.73699999999999999</v>
      </c>
      <c r="AA6" s="1071"/>
      <c r="AB6" s="761" t="s">
        <v>884</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87</v>
      </c>
      <c r="BS6" s="585"/>
      <c r="BT6" s="584"/>
      <c r="BU6" s="586"/>
      <c r="BV6" s="586"/>
      <c r="BW6" s="586"/>
      <c r="BX6" s="50"/>
      <c r="BY6" s="50"/>
    </row>
    <row r="7" spans="1:77" s="190" customFormat="1" ht="12.95" customHeight="1">
      <c r="A7" s="189"/>
      <c r="B7" s="265"/>
      <c r="C7" s="50"/>
      <c r="D7" s="193"/>
      <c r="E7" s="711"/>
      <c r="F7" s="193"/>
      <c r="G7" s="193"/>
      <c r="H7" s="553"/>
      <c r="I7" s="654" t="s">
        <v>886</v>
      </c>
      <c r="J7" s="1068">
        <f>BR6</f>
        <v>87</v>
      </c>
      <c r="K7" s="1068"/>
      <c r="L7" s="655"/>
      <c r="M7" s="655"/>
      <c r="N7" s="655"/>
      <c r="O7" s="655"/>
      <c r="P7" s="655"/>
      <c r="Q7" s="654" t="s">
        <v>887</v>
      </c>
      <c r="R7" s="1067" t="str">
        <f>IF(BO2&gt;0,"",BR4)</f>
        <v>Tier IV (71-90)</v>
      </c>
      <c r="S7" s="1067"/>
      <c r="T7" s="1067"/>
      <c r="U7" s="1067"/>
      <c r="V7" s="1067"/>
      <c r="W7" s="553"/>
      <c r="X7" s="763" t="s">
        <v>888</v>
      </c>
      <c r="AD7" s="497"/>
      <c r="AE7" s="719"/>
      <c r="AF7" s="719"/>
      <c r="AG7" s="719"/>
      <c r="AH7" s="1070" t="s">
        <v>889</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5" t="s">
        <v>892</v>
      </c>
      <c r="I8" s="1075"/>
      <c r="J8" s="1072" t="s">
        <v>585</v>
      </c>
      <c r="K8" s="1072"/>
      <c r="L8" s="1072"/>
      <c r="M8" s="1072"/>
      <c r="N8" s="1072"/>
      <c r="O8" s="1072"/>
      <c r="P8" s="1073" t="s">
        <v>893</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87</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111.73333333333333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914</v>
      </c>
      <c r="BP15" s="590"/>
      <c r="BR15" s="579" t="s">
        <v>915</v>
      </c>
      <c r="BS15" s="606">
        <f>IF($BO$2&gt;0,"",IFERROR(SUM(N49:N50)/Worksheet!H62,""))</f>
        <v>23.564843224559308</v>
      </c>
      <c r="BT15" s="591"/>
      <c r="BU15" s="664" t="s">
        <v>909</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23.564843224559308</v>
      </c>
      <c r="BT16" s="591" t="s">
        <v>918</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23.564843224559308</v>
      </c>
      <c r="AB18" s="1061"/>
      <c r="AC18" s="1061"/>
      <c r="AD18" s="730" t="str">
        <f>BD13</f>
        <v>$/conn/year</v>
      </c>
      <c r="AE18" s="731"/>
      <c r="AF18" s="732"/>
      <c r="AG18" s="732"/>
      <c r="AH18" s="733"/>
      <c r="AI18" s="733"/>
      <c r="AJ18" s="731"/>
      <c r="AK18" s="1061">
        <f>BS22</f>
        <v>21.245079249562217</v>
      </c>
      <c r="AL18" s="1061"/>
      <c r="AM18" s="1061"/>
      <c r="AN18" s="730" t="str">
        <f>BD13</f>
        <v>$/conn/year</v>
      </c>
      <c r="AO18" s="731"/>
      <c r="AP18" s="731"/>
      <c r="AQ18" s="731"/>
      <c r="AR18" s="731"/>
      <c r="AS18" s="731"/>
      <c r="AT18" s="731"/>
      <c r="AU18" s="1061">
        <f>BS29</f>
        <v>2.319763974997088</v>
      </c>
      <c r="AV18" s="1061"/>
      <c r="AW18" s="1061"/>
      <c r="AX18" s="730" t="str">
        <f>BD13</f>
        <v>$/conn/year</v>
      </c>
      <c r="AY18" s="576"/>
      <c r="AZ18" s="193"/>
      <c r="BA18" s="193"/>
      <c r="BB18" s="272"/>
      <c r="BC18" s="89"/>
      <c r="BD18" s="50" t="s">
        <v>910</v>
      </c>
      <c r="BE18" s="182">
        <f>(((5.41*Worksheet!H61)+(0.15*Worksheet!H62)+(7.5*(Worksheet!H62*Worksheet!W67/5280)))*Worksheet!H68)/1000000*365</f>
        <v>94.527126423031234</v>
      </c>
      <c r="BN18" s="535"/>
      <c r="BO18" s="591" t="s">
        <v>927</v>
      </c>
      <c r="BP18" s="593">
        <f>BQ18-BQ17</f>
        <v>8.9525318444022357</v>
      </c>
      <c r="BQ18" s="758">
        <f t="shared" si="0"/>
        <v>18.283980813778896</v>
      </c>
      <c r="BR18" s="591" t="s">
        <v>899</v>
      </c>
      <c r="BS18" s="595">
        <f>SUM(BP16:BP20)-SUM(BS16,BS17)</f>
        <v>91.113135362176806</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4"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290.09271870651895</v>
      </c>
      <c r="BF19" s="181">
        <f>BE19*325851.427242/Worksheet!H62/365</f>
        <v>24.448072175611248</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567.00998976375001</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21.245079249562217</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21.245079249562217</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927</v>
      </c>
      <c r="BP25" s="593">
        <f>BQ25-BQ24</f>
        <v>5.2798362211473915</v>
      </c>
      <c r="BQ25" s="758">
        <f t="shared" si="1"/>
        <v>6.1547896930365926</v>
      </c>
      <c r="BR25" s="591" t="s">
        <v>899</v>
      </c>
      <c r="BS25" s="595">
        <f>SUM(BP23:BP27)-SUM(BS23,BS24)</f>
        <v>26.833342404080891</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24.166040377010638</v>
      </c>
      <c r="AB29" s="1062"/>
      <c r="AC29" s="1062"/>
      <c r="AD29" s="729" t="str">
        <f>BD10</f>
        <v>gal/conn/day</v>
      </c>
      <c r="AE29" s="729"/>
      <c r="AF29" s="734"/>
      <c r="AG29" s="734"/>
      <c r="AH29" s="575"/>
      <c r="AI29" s="575"/>
      <c r="AJ29" s="575"/>
      <c r="AK29" s="1062">
        <f>BS43</f>
        <v>4.2590124382834276</v>
      </c>
      <c r="AL29" s="1062"/>
      <c r="AM29" s="1062"/>
      <c r="AN29" s="730" t="str">
        <f>BD10</f>
        <v>gal/conn/day</v>
      </c>
      <c r="AO29" s="575"/>
      <c r="AP29" s="575"/>
      <c r="AQ29" s="575"/>
      <c r="AR29" s="575"/>
      <c r="AS29" s="575"/>
      <c r="AT29" s="575"/>
      <c r="AU29" s="1057">
        <f>BS55</f>
        <v>19.907027938727211</v>
      </c>
      <c r="AV29" s="1057"/>
      <c r="AW29" s="1057"/>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2.319763974997088</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2.319763974997088</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94.9</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68.206166441538926</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24.166040377010638</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result is below 10th %ile</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24.166040377010638</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224.133547814152</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0.81425757400151721</v>
      </c>
      <c r="AI41" s="1056"/>
      <c r="AJ41" s="1056"/>
      <c r="AK41" s="729" t="s">
        <v>948</v>
      </c>
      <c r="AL41" s="661"/>
      <c r="AM41" s="662"/>
      <c r="AN41" s="658"/>
      <c r="AO41" s="658"/>
      <c r="AP41" s="658"/>
      <c r="AQ41" s="658"/>
      <c r="AR41" s="658"/>
      <c r="AS41" s="1055">
        <f>BS69</f>
        <v>1338.0402725567092</v>
      </c>
      <c r="AT41" s="1055"/>
      <c r="AU41" s="1055"/>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94.527126423031234</v>
      </c>
      <c r="AL43" s="1054"/>
      <c r="AM43" s="1054"/>
      <c r="AN43" s="1054"/>
      <c r="AO43" s="773" t="str">
        <f>BD7</f>
        <v>MG/Yr</v>
      </c>
      <c r="AP43" s="575"/>
      <c r="AQ43" s="575"/>
      <c r="AR43" s="575"/>
      <c r="AS43" s="1054">
        <f>IF(BG19=1,BF19,IFERROR(AK43*1000000/Worksheet!H62/365,""))</f>
        <v>24.448072175611248</v>
      </c>
      <c r="AT43" s="1054"/>
      <c r="AU43" s="1054"/>
      <c r="AV43" s="105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4.2590124382834276</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4.2590124382834276</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28.121850156969742</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1" t="s">
        <v>956</v>
      </c>
      <c r="J47" s="1051"/>
      <c r="K47" s="1051"/>
      <c r="L47" s="1051"/>
      <c r="M47" s="572"/>
      <c r="N47" s="1051" t="s">
        <v>894</v>
      </c>
      <c r="O47" s="1051"/>
      <c r="P47" s="1051"/>
      <c r="Q47" s="1051"/>
      <c r="R47" s="1060" t="s">
        <v>957</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1" t="str">
        <f>BD7</f>
        <v>MG/Yr</v>
      </c>
      <c r="J48" s="1051"/>
      <c r="K48" s="1051"/>
      <c r="L48" s="1051"/>
      <c r="M48" s="572"/>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49">
        <f>IF(ISBLANK('Start Page'!$AB$22),"",Worksheet!H46)</f>
        <v>16.467237346938767</v>
      </c>
      <c r="J49" s="1049"/>
      <c r="K49" s="1049"/>
      <c r="L49" s="1049"/>
      <c r="M49" s="558"/>
      <c r="N49" s="1050">
        <f>IF(OR(ISBLANK('Start Page'!$AB$22),ISBLANK(Worksheet!J76)),"",(SUM(Worksheet!H43+Worksheet!H39+Worksheet!X50)*Worksheet!H76)*INDEX(Sheet1!B2:D4,MATCH('Start Page'!AB22,Sheet1!A2:A4,0),MATCH(Worksheet!J76,Sheet1!B1:D1,0))+Worksheet!Y50*Worksheet!H77)</f>
        <v>225049.12449061256</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49">
        <f>IF(ISBLANK('Start Page'!$AB$22),"",Worksheet!H51)</f>
        <v>76.969428638552131</v>
      </c>
      <c r="J50" s="1049"/>
      <c r="K50" s="1049"/>
      <c r="L50" s="1049"/>
      <c r="M50" s="558"/>
      <c r="N50" s="1050">
        <f>IFERROR(IF(Worksheet!H41="Select under/over","",IF(ISBLANK('Start Page'!AB22),"",Worksheet!H51*(IF(BD29=FALSE,Worksheet!H77,IF(BD29=TRUE,Worksheet!H76*INDEX(Sheet1!B2:D4,MATCH('Start Page'!AB22,Sheet1!A2:A4,0),MATCH(Worksheet!J76,Sheet1!B1:D1,0)),""))))),"")</f>
        <v>24573.259787144154</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49">
        <f>IF(ISBLANK('Start Page'!$AB$22),"",SUM(Worksheet!H25:H26))</f>
        <v>29.675999999999998</v>
      </c>
      <c r="J51" s="1049"/>
      <c r="K51" s="1049"/>
      <c r="L51" s="1049"/>
      <c r="M51" s="558"/>
      <c r="N51" s="1050">
        <f>IFERROR(IF(SUM(Sheet1!D90:D91)=0,"",SUM(Sheet1!D90:D91)),"")</f>
        <v>9474.3597599999994</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49">
        <f>IF(SUM(I49:I51)=0,"",SUM(I49:I51))</f>
        <v>123.11266598549089</v>
      </c>
      <c r="J52" s="1049"/>
      <c r="K52" s="1049"/>
      <c r="L52" s="1049"/>
      <c r="M52" s="558"/>
      <c r="N52" s="1050">
        <f>IF(SUM(N49:N51)=0,"",SUM(N49:N51))</f>
        <v>259096.74403775673</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19.907027938727211</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19.907027938727211</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209.11200441048578</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0.81425757400151721</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0</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11.266177727169243</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1338.0402725567092</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1338.0402725567092</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10713.028637143794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42.565808526427517</v>
      </c>
      <c r="BQ83" s="608">
        <f>BP83+BQ78</f>
        <v>94.9</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- 560 Nazareth</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6"/>
      <c r="H7" s="1086"/>
    </row>
    <row r="8" spans="2:21" ht="5.45" customHeight="1">
      <c r="F8" s="810"/>
      <c r="G8" s="810"/>
      <c r="H8" s="810"/>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4" t="s">
        <v>874</v>
      </c>
      <c r="C11" s="411"/>
      <c r="D11" s="704" t="s">
        <v>875</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84"/>
      <c r="G14" s="1081"/>
      <c r="H14" s="1081"/>
    </row>
    <row r="15" spans="2:21" ht="28.9" customHeight="1">
      <c r="B15" s="705"/>
      <c r="C15" s="411"/>
      <c r="D15" s="705"/>
      <c r="F15" s="1085"/>
      <c r="G15" s="1082"/>
      <c r="H15" s="1082"/>
    </row>
    <row r="16" spans="2:21" ht="28.9" customHeight="1">
      <c r="B16" s="427"/>
      <c r="C16" s="411"/>
      <c r="D16" s="427"/>
      <c r="F16" s="1083" t="s">
        <v>979</v>
      </c>
      <c r="G16" s="1080"/>
      <c r="H16" s="1080"/>
    </row>
    <row r="17" spans="2:8" ht="28.9" customHeight="1">
      <c r="B17" s="704" t="s">
        <v>874</v>
      </c>
      <c r="C17" s="411"/>
      <c r="D17" s="704"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4" t="s">
        <v>874</v>
      </c>
      <c r="C20" s="411"/>
      <c r="D20" s="704"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4" t="s">
        <v>874</v>
      </c>
      <c r="C23" s="411"/>
      <c r="D23" s="704"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4" t="s">
        <v>874</v>
      </c>
      <c r="C26" s="411"/>
      <c r="D26" s="704"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4" t="s">
        <v>874</v>
      </c>
      <c r="C29" s="411"/>
      <c r="D29" s="704"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4" t="s">
        <v>874</v>
      </c>
      <c r="C32" s="411"/>
      <c r="D32" s="704"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4" t="s">
        <v>874</v>
      </c>
      <c r="C35" s="411"/>
      <c r="D35" s="704"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4" t="s">
        <v>874</v>
      </c>
      <c r="C38" s="411"/>
      <c r="D38" s="704"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4" t="s">
        <v>874</v>
      </c>
      <c r="C41" s="411"/>
      <c r="D41" s="704"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4" t="s">
        <v>874</v>
      </c>
      <c r="C44" s="411"/>
      <c r="D44" s="704"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4" t="s">
        <v>874</v>
      </c>
      <c r="C47" s="411"/>
      <c r="D47" s="704"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4" t="s">
        <v>874</v>
      </c>
      <c r="C50" s="411"/>
      <c r="D50" s="704"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4" t="s">
        <v>874</v>
      </c>
      <c r="C53" s="411"/>
      <c r="D53" s="704"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4" t="s">
        <v>874</v>
      </c>
      <c r="C56" s="411"/>
      <c r="D56" s="704"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4" t="s">
        <v>874</v>
      </c>
      <c r="C59" s="411"/>
      <c r="D59" s="704"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4" t="s">
        <v>874</v>
      </c>
      <c r="C62" s="411"/>
      <c r="D62" s="704"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4" t="s">
        <v>874</v>
      </c>
      <c r="C65" s="411"/>
      <c r="D65" s="704" t="s">
        <v>875</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123 MG/Yr</v>
      </c>
    </row>
    <row r="79" spans="1:6" ht="16.5">
      <c r="B79" s="46"/>
      <c r="C79" s="46"/>
      <c r="D79" s="46"/>
      <c r="E79" s="8" t="str">
        <f>IFERROR("Total Cost of NRW = $"&amp;TEXT(SUM(D90,D91,D94,D95,D96,D97,D99),"#,###")&amp;"/Yr","")</f>
        <v>Total Cost of NRW = $259,097/Yr</v>
      </c>
      <c r="F79" s="46"/>
    </row>
    <row r="80" spans="1:6">
      <c r="A80"/>
      <c r="B80"/>
      <c r="C80" s="47" t="str">
        <f>"Volume ("&amp;Worksheet!J15&amp;")"</f>
        <v>Volume (MG/Yr)</v>
      </c>
      <c r="D80" s="47" t="s">
        <v>1040</v>
      </c>
      <c r="E80" s="79" t="s">
        <v>1041</v>
      </c>
      <c r="F80"/>
    </row>
    <row r="81" spans="1:6">
      <c r="A81" s="118" t="s">
        <v>1042</v>
      </c>
      <c r="B81" s="118"/>
      <c r="C81" s="100">
        <f>IF(Dashboard!BO$2&gt;0,"",Worksheet!H15)</f>
        <v>745.26700000000005</v>
      </c>
      <c r="D81" s="872">
        <f>IF(Dashboard!BO$2&gt;0,"",C81*(Worksheet!$H$77))</f>
        <v>237933.94242000001</v>
      </c>
      <c r="E81" s="489">
        <f>D81</f>
        <v>237933.94242000001</v>
      </c>
      <c r="F81" s="75" t="s">
        <v>1043</v>
      </c>
    </row>
    <row r="82" spans="1:6">
      <c r="A82" s="118" t="str">
        <f>A81&amp;" MA"</f>
        <v>Vol. from own sources: MA</v>
      </c>
      <c r="B82" s="118"/>
      <c r="C82" s="100">
        <f>IF(Dashboard!BO$2&gt;0,"",Worksheet!X15)</f>
        <v>15.8741871</v>
      </c>
      <c r="D82" s="872">
        <f>IF(Dashboard!BO$2&gt;0,"",C82*(Worksheet!$H$77))</f>
        <v>5067.992973546</v>
      </c>
      <c r="E82" s="489">
        <f t="shared" ref="E82:E100" si="0">D82</f>
        <v>5067.992973546</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761.48666598549096</v>
      </c>
      <c r="D87" s="872">
        <f>IF(Dashboard!BO$2&gt;0,"",C87*(Worksheet!$H$77))</f>
        <v>243112.23298252784</v>
      </c>
      <c r="E87" s="489">
        <f t="shared" si="0"/>
        <v>243112.23298252784</v>
      </c>
      <c r="F87"/>
    </row>
    <row r="88" spans="1:6">
      <c r="A88" s="118" t="s">
        <v>1046</v>
      </c>
      <c r="B88"/>
      <c r="C88" s="100">
        <f>IF(Dashboard!BO$2&gt;0,"",Worksheet!H23)</f>
        <v>638.37400000000002</v>
      </c>
      <c r="D88" s="872">
        <f>IF(Dashboard!BO$2&gt;0,"",C88*(Worksheet!$H$76*1000))</f>
        <v>8854247.3800000008</v>
      </c>
      <c r="E88" s="489">
        <f t="shared" si="0"/>
        <v>8854247.3800000008</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12.119</v>
      </c>
      <c r="D90" s="873">
        <f>IF(Dashboard!BO$2&gt;0,"",IF(ISBLANK('Start Page'!AB22),"",IF(AND(ISBLANK(Worksheet!H77),Worksheet!Z77&lt;&gt;1),"",Worksheet!H25*(IF(Dashboard!BD29=FALSE,Worksheet!H77,IF(Dashboard!BD29=TRUE,Worksheet!H76*INDEX(Sheet1!B2:D4,MATCH('Start Page'!AB22,Sheet1!A2:A4,0),MATCH(Worksheet!J76,Sheet1!B1:D1,0)),""))))))</f>
        <v>3869.1119399999998</v>
      </c>
      <c r="E90" s="796">
        <f t="shared" si="0"/>
        <v>3869.1119399999998</v>
      </c>
      <c r="F90"/>
    </row>
    <row r="91" spans="1:6">
      <c r="A91" s="797" t="str">
        <f>"Unbilled Unmetered (UUAC) valued at "&amp;A76&amp;""</f>
        <v xml:space="preserve">Unbilled Unmetered (UUAC) valued at </v>
      </c>
      <c r="B91" s="794"/>
      <c r="C91" s="795">
        <f>IF(Dashboard!BO$2&gt;0,"",Worksheet!H26)</f>
        <v>17.556999999999999</v>
      </c>
      <c r="D91" s="873">
        <f>IF(Dashboard!BO$2&gt;0,"",IF(ISBLANK('Start Page'!AB22),"",IF(AND(ISBLANK(Worksheet!H77),Worksheet!Z77&lt;&gt;1),"",Worksheet!H26*(IF(Dashboard!BD29=FALSE,Worksheet!H77,IF(Dashboard!BD29=TRUE,Worksheet!H76*INDEX(Sheet1!B2:D4,MATCH('Start Page'!AB22,Sheet1!A2:A4,0),MATCH(Worksheet!J76,Sheet1!B1:D1,0)),""))))))</f>
        <v>5605.2478199999996</v>
      </c>
      <c r="E91" s="796">
        <f t="shared" si="0"/>
        <v>5605.2478199999996</v>
      </c>
      <c r="F91"/>
    </row>
    <row r="92" spans="1:6">
      <c r="A92" s="118" t="s">
        <v>1048</v>
      </c>
      <c r="B92" s="874" t="s">
        <v>1049</v>
      </c>
      <c r="C92" s="100">
        <f>IF(Dashboard!BO$2&gt;0,"",Worksheet!H30)</f>
        <v>668.05000000000007</v>
      </c>
      <c r="D92" s="872">
        <f>IF(Dashboard!BO$2&gt;0,"",C92*(Worksheet!$H$76*1000))</f>
        <v>9265853.5000000019</v>
      </c>
      <c r="E92" s="489">
        <f t="shared" si="0"/>
        <v>9265853.5000000019</v>
      </c>
      <c r="F92"/>
    </row>
    <row r="93" spans="1:6">
      <c r="A93" t="s">
        <v>1050</v>
      </c>
      <c r="B93"/>
      <c r="C93" s="100">
        <f>IF(Dashboard!BO$2&gt;0,"",Worksheet!H35)</f>
        <v>93.43666598549089</v>
      </c>
      <c r="D93" s="872"/>
      <c r="E93" s="489">
        <f t="shared" si="0"/>
        <v>0</v>
      </c>
      <c r="F93"/>
    </row>
    <row r="94" spans="1:6">
      <c r="A94" s="171" t="s">
        <v>1051</v>
      </c>
      <c r="B94" s="118"/>
      <c r="C94" s="102">
        <f>IF(Dashboard!BO$2&gt;0,"",Worksheet!H43)</f>
        <v>1.5959350000000001</v>
      </c>
      <c r="D94" s="875">
        <f>IF(Dashboard!BO$2&gt;0,"",IF(ISBLANK('Start Page'!AB22),"",IF(AND(ISBLANK(Worksheet!H77),Worksheet!Z77&lt;&gt;1),"",C94*Worksheet!H76*INDEX(Sheet1!B2:D4,MATCH('Start Page'!AB22,Sheet1!A2:A4,0),MATCH(Worksheet!J76,Sheet1!B1:D1,0)))))</f>
        <v>22135.618449999998</v>
      </c>
      <c r="E94" s="490">
        <f t="shared" si="0"/>
        <v>22135.618449999998</v>
      </c>
      <c r="F94" s="103"/>
    </row>
    <row r="95" spans="1:6">
      <c r="A95" s="785" t="s">
        <v>1052</v>
      </c>
      <c r="B95" s="785"/>
      <c r="C95" s="786">
        <f>Worksheet!X50</f>
        <v>13.028040816326552</v>
      </c>
      <c r="D95" s="876">
        <f>IF(Dashboard!BO$2&gt;0,"",IF(ISBLANK('Start Page'!AB22),"",IF(AND(ISBLANK(Worksheet!H77),Worksheet!Z77&lt;&gt;1),"",C95*Worksheet!H76*INDEX(Sheet1!B2:D4,MATCH('Start Page'!AB22,Sheet1!A2:A4,0),MATCH(Worksheet!J76,Sheet1!B1:D1,0)))))</f>
        <v>180698.92612244928</v>
      </c>
      <c r="E95" s="787">
        <f t="shared" si="0"/>
        <v>180698.92612244928</v>
      </c>
      <c r="F95" s="103"/>
    </row>
    <row r="96" spans="1:6">
      <c r="A96" s="785" t="s">
        <v>1053</v>
      </c>
      <c r="B96" s="785"/>
      <c r="C96" s="786">
        <f>Worksheet!Y50</f>
        <v>0.24732653061224497</v>
      </c>
      <c r="D96" s="876">
        <f>C96*input_VPC</f>
        <v>78.961468163265323</v>
      </c>
      <c r="E96" s="787">
        <f t="shared" si="0"/>
        <v>78.961468163265323</v>
      </c>
      <c r="F96" s="788" t="s">
        <v>1054</v>
      </c>
    </row>
    <row r="97" spans="1:7">
      <c r="A97" s="171" t="s">
        <v>1055</v>
      </c>
      <c r="B97" s="118"/>
      <c r="C97" s="102">
        <f>IF(Dashboard!BO$2&gt;0,"",Worksheet!H39)</f>
        <v>1.5959350000000001</v>
      </c>
      <c r="D97" s="875">
        <f>IF(Dashboard!BO$2&gt;0,"",IF(ISBLANK('Start Page'!AB22),"",IF(AND(ISBLANK(Worksheet!H77),Worksheet!Z77&lt;&gt;1),"",C97*Worksheet!H76*INDEX(Sheet1!B2:D4,MATCH('Start Page'!AB22,Sheet1!A2:A4,0),MATCH(Worksheet!J76,Sheet1!B1:D1,0)))))</f>
        <v>22135.618449999998</v>
      </c>
      <c r="E97" s="490">
        <f t="shared" si="0"/>
        <v>22135.618449999998</v>
      </c>
      <c r="F97" s="103"/>
    </row>
    <row r="98" spans="1:7">
      <c r="A98" s="792" t="s">
        <v>748</v>
      </c>
      <c r="B98" s="792"/>
      <c r="C98" s="793">
        <f>IF(Dashboard!BO$2&gt;0,"",Worksheet!H46)</f>
        <v>16.467237346938767</v>
      </c>
      <c r="D98" s="877">
        <f>IF(Dashboard!BO$2&gt;0,"",SUM(D94:D97))</f>
        <v>225049.12449061256</v>
      </c>
      <c r="E98" s="489">
        <f t="shared" si="0"/>
        <v>225049.12449061256</v>
      </c>
      <c r="F98"/>
    </row>
    <row r="99" spans="1:7">
      <c r="A99" s="171" t="str">
        <f>"Real Losses valued at "&amp;A76&amp;""</f>
        <v xml:space="preserve">Real Losses valued at </v>
      </c>
      <c r="B99" s="118"/>
      <c r="C99" s="102">
        <f>IF(Dashboard!BO$2&gt;0,"",Worksheet!H51)</f>
        <v>76.969428638552131</v>
      </c>
      <c r="D99" s="878">
        <f>IF(Dashboard!BO$2&gt;0,"",Dashboard!N50)</f>
        <v>24573.259787144154</v>
      </c>
      <c r="E99" s="490">
        <f t="shared" si="0"/>
        <v>24573.259787144154</v>
      </c>
      <c r="F99" s="489"/>
    </row>
    <row r="100" spans="1:7">
      <c r="A100" t="s">
        <v>756</v>
      </c>
      <c r="B100"/>
      <c r="C100" s="100">
        <f>IF(Dashboard!BO$2&gt;0,"",Worksheet!H57)</f>
        <v>123.11266598549089</v>
      </c>
      <c r="D100" s="101">
        <f>IF(Dashboard!BO$2&gt;0,"",D98+D99+D90+D91)</f>
        <v>259096.74403775673</v>
      </c>
      <c r="E100" s="489">
        <f t="shared" si="0"/>
        <v>259096.74403775673</v>
      </c>
      <c r="F100"/>
      <c r="G100" s="104"/>
    </row>
    <row r="101" spans="1:7">
      <c r="A101" s="789"/>
    </row>
    <row r="102" spans="1:7">
      <c r="A102" s="789" t="s">
        <v>1056</v>
      </c>
      <c r="C102" s="790">
        <f>C95+C96</f>
        <v>13.275367346938797</v>
      </c>
      <c r="D102" s="104">
        <f>D95+D96</f>
        <v>180777.88759061255</v>
      </c>
      <c r="E102" s="104">
        <f>E95+E96</f>
        <v>180777.88759061255</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- 560 Nazareth</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638.37400000000002</v>
      </c>
      <c r="H12" s="881"/>
      <c r="I12" s="4"/>
      <c r="K12" s="756"/>
    </row>
    <row r="13" spans="2:16" ht="22.5" customHeight="1">
      <c r="B13" s="1089"/>
      <c r="C13" s="288"/>
      <c r="D13" s="286"/>
      <c r="E13" s="1098"/>
      <c r="F13" s="290">
        <f>Worksheet!H23+Worksheet!H24</f>
        <v>638.37400000000002</v>
      </c>
      <c r="G13" s="485" t="s">
        <v>1068</v>
      </c>
      <c r="H13" s="291">
        <f>SUM(G12+G14)</f>
        <v>638.37400000000002</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668.05000000000007</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12.119</v>
      </c>
      <c r="H16" s="1097"/>
      <c r="I16" s="4"/>
      <c r="K16" s="118"/>
    </row>
    <row r="17" spans="2:16" ht="22.5" customHeight="1">
      <c r="B17" s="299">
        <f>Worksheet!AG15</f>
        <v>761.48666598549096</v>
      </c>
      <c r="C17" s="300"/>
      <c r="D17" s="301"/>
      <c r="E17" s="194"/>
      <c r="F17" s="302">
        <f>Worksheet!H25+Worksheet!H26</f>
        <v>29.675999999999998</v>
      </c>
      <c r="G17" s="289" t="s">
        <v>1073</v>
      </c>
      <c r="H17" s="881"/>
      <c r="I17" s="4"/>
      <c r="K17" s="118"/>
      <c r="L17" s="99"/>
      <c r="M17" s="99"/>
      <c r="N17" s="99"/>
      <c r="O17" s="99"/>
      <c r="P17" s="99"/>
    </row>
    <row r="18" spans="2:16" ht="15.75" customHeight="1">
      <c r="B18" s="297"/>
      <c r="C18" s="1110" t="s">
        <v>1074</v>
      </c>
      <c r="D18" s="286"/>
      <c r="E18" s="303"/>
      <c r="F18" s="294"/>
      <c r="G18" s="304">
        <f>Worksheet!H26</f>
        <v>17.556999999999999</v>
      </c>
      <c r="H18" s="881"/>
      <c r="I18" s="4"/>
      <c r="K18" s="118"/>
    </row>
    <row r="19" spans="2:16" ht="22.5" customHeight="1">
      <c r="B19" s="297"/>
      <c r="C19" s="1110"/>
      <c r="D19" s="815" t="s">
        <v>1075</v>
      </c>
      <c r="E19" s="282"/>
      <c r="F19" s="884"/>
      <c r="G19" s="485" t="s">
        <v>1076</v>
      </c>
      <c r="H19" s="305">
        <f>Worksheet!H25+Worksheet!H26+Worksheet!H46+Worksheet!H51</f>
        <v>123.11266598549089</v>
      </c>
      <c r="I19" s="4"/>
      <c r="K19" s="118"/>
      <c r="L19" s="99"/>
      <c r="M19" s="99"/>
      <c r="N19" s="99"/>
      <c r="O19" s="99"/>
      <c r="P19" s="99"/>
    </row>
    <row r="20" spans="2:16" ht="15.75" customHeight="1">
      <c r="B20" s="297"/>
      <c r="C20" s="306">
        <f>B17+B27</f>
        <v>761.48666598549096</v>
      </c>
      <c r="D20" s="286"/>
      <c r="E20" s="194"/>
      <c r="F20" s="307" t="s">
        <v>744</v>
      </c>
      <c r="G20" s="298">
        <f>Worksheet!H39</f>
        <v>1.5959350000000001</v>
      </c>
      <c r="H20" s="881"/>
      <c r="I20" s="4"/>
      <c r="K20" s="118"/>
    </row>
    <row r="21" spans="2:16" ht="14.25" customHeight="1">
      <c r="B21" s="308"/>
      <c r="C21" s="309"/>
      <c r="D21" s="306">
        <f>Worksheet!H19</f>
        <v>761.48666598549096</v>
      </c>
      <c r="E21" s="310"/>
      <c r="F21" s="302">
        <f>Worksheet!H46</f>
        <v>16.467237346938767</v>
      </c>
      <c r="G21" s="289" t="s">
        <v>1077</v>
      </c>
      <c r="H21" s="881"/>
      <c r="I21" s="4"/>
      <c r="K21" s="118"/>
      <c r="L21" s="99"/>
      <c r="M21" s="99"/>
      <c r="N21" s="99"/>
      <c r="O21" s="99"/>
      <c r="P21" s="99"/>
    </row>
    <row r="22" spans="2:16" ht="15.75" customHeight="1">
      <c r="B22" s="297"/>
      <c r="C22" s="285"/>
      <c r="D22" s="286"/>
      <c r="E22" s="194"/>
      <c r="F22" s="310"/>
      <c r="G22" s="311">
        <f>Worksheet!H41</f>
        <v>13.275367346938765</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1.5959350000000001</v>
      </c>
      <c r="H24" s="881"/>
      <c r="I24" s="4"/>
      <c r="K24" s="118"/>
    </row>
    <row r="25" spans="2:16" ht="26.25" customHeight="1">
      <c r="B25" s="1088" t="s">
        <v>1079</v>
      </c>
      <c r="C25" s="288"/>
      <c r="D25" s="286"/>
      <c r="E25" s="313">
        <f>Worksheet!H53</f>
        <v>93.43666598549089</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76.969428638552131</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M13" sqref="M13:O13"/>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- 560 Nazareth</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34.270047978067169</v>
      </c>
      <c r="AF98" s="35">
        <f t="shared" ref="AF98:AF103" si="0">AE98</f>
        <v>34.270047978067169</v>
      </c>
      <c r="AG98" s="35">
        <f>IF(AE98&lt;&gt;0,AF98/10,0)</f>
        <v>3.4270047978067169</v>
      </c>
      <c r="AH98" s="35">
        <f>IFERROR(AD98*AG98,0)</f>
        <v>34.270047978067169</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0.72995202193283071</v>
      </c>
      <c r="AF99" s="35">
        <f t="shared" si="0"/>
        <v>0.72995202193283071</v>
      </c>
      <c r="AG99" s="35">
        <f t="shared" ref="AG99:AG117" si="3">IF(AE99&lt;&gt;0,AF99/10,0)</f>
        <v>7.2995202193283065E-2</v>
      </c>
      <c r="AH99" s="35">
        <f t="shared" ref="AH99:AH106" si="4">IFERROR(AD99*AG99,0)</f>
        <v>0.7299520219328306</v>
      </c>
      <c r="AI99" s="35">
        <f t="shared" si="1"/>
        <v>1.1102230246251565E-16</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13.739173211702509</v>
      </c>
      <c r="AF104" s="67">
        <f t="shared" ref="AF104:AF117" si="8">AE104/$AE$120</f>
        <v>16.84992941057855</v>
      </c>
      <c r="AG104" s="67">
        <f t="shared" si="3"/>
        <v>1.684992941057855</v>
      </c>
      <c r="AH104" s="67">
        <f t="shared" ref="AH104:AH117" si="9">AD104*AG104</f>
        <v>15.164936469520695</v>
      </c>
      <c r="AI104" s="67">
        <f t="shared" si="1"/>
        <v>1.684992941057855</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0.26082678829749129</v>
      </c>
      <c r="AF106" s="71">
        <f t="shared" si="8"/>
        <v>0.31988191017616857</v>
      </c>
      <c r="AG106" s="71">
        <f t="shared" si="3"/>
        <v>3.1988191017616859E-2</v>
      </c>
      <c r="AH106" s="35">
        <f t="shared" si="4"/>
        <v>0.31988191017616857</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89" t="str">
        <f t="shared" si="5"/>
        <v>Unauthorized Consumption (UC)</v>
      </c>
      <c r="AL108" s="64">
        <f t="shared" si="10"/>
        <v>1</v>
      </c>
      <c r="AM108" s="64">
        <f t="shared" si="7"/>
        <v>1</v>
      </c>
      <c r="AN108" s="64">
        <f t="shared" si="2"/>
        <v>0</v>
      </c>
    </row>
    <row r="109" spans="28:40">
      <c r="AC109" s="165" t="s">
        <v>1077</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87.399912719319516</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2" zoomScale="115" zoomScaleNormal="115" zoomScaleSheetLayoutView="100" workbookViewId="0">
      <selection activeCell="C42" sqref="C42:L42"/>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1173</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1174</v>
      </c>
      <c r="D4" s="1163" t="s">
        <v>1175</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66" t="s">
        <v>1177</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1178</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9" t="s">
        <v>1180</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9" t="s">
        <v>1182</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9" t="s">
        <v>1183</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9" t="s">
        <v>1185</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9" t="s">
        <v>1187</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9" t="s">
        <v>1189</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9" t="s">
        <v>1191</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9" t="s">
        <v>1192</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9" t="s">
        <v>1193</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66" t="s">
        <v>1194</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9" t="s">
        <v>1196</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9" t="s">
        <v>1197</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9" t="s">
        <v>1198</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66" t="s">
        <v>1200</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9" t="s">
        <v>1202</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9" t="s">
        <v>1204</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9" t="s">
        <v>1206</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1207</v>
      </c>
      <c r="D44" s="1176" t="s">
        <v>1208</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9" t="s">
        <v>1209</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9" t="s">
        <v>1211</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9" t="s">
        <v>1213</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1214</v>
      </c>
      <c r="D53" s="1176" t="s">
        <v>1215</v>
      </c>
      <c r="E53" s="1177"/>
      <c r="F53" s="1177"/>
      <c r="G53" s="1177"/>
      <c r="H53" s="1177"/>
      <c r="I53" s="1177"/>
      <c r="J53" s="1177"/>
      <c r="K53" s="1177"/>
      <c r="L53" s="1178"/>
      <c r="M53" s="892"/>
      <c r="N53" s="891"/>
    </row>
    <row r="54" spans="1:14" ht="18" customHeight="1">
      <c r="A54" s="93"/>
      <c r="B54" s="335"/>
      <c r="C54" s="1183"/>
      <c r="D54" s="896"/>
      <c r="E54" s="1182" t="s">
        <v>1216</v>
      </c>
      <c r="F54" s="1182"/>
      <c r="G54" s="897" t="s">
        <v>1217</v>
      </c>
      <c r="H54" s="897"/>
      <c r="I54" s="1184" t="s">
        <v>1218</v>
      </c>
      <c r="J54" s="1184"/>
      <c r="K54" s="637"/>
      <c r="L54" s="643"/>
      <c r="M54" s="892"/>
      <c r="N54" s="891"/>
    </row>
    <row r="55" spans="1:14" ht="18.75" customHeight="1">
      <c r="A55" s="93"/>
      <c r="B55" s="335"/>
      <c r="C55" s="1183"/>
      <c r="D55" s="896"/>
      <c r="E55" s="1185">
        <v>100</v>
      </c>
      <c r="F55" s="1186"/>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9" t="s">
        <v>1220</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9" t="s">
        <v>1222</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9" t="s">
        <v>1224</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9" t="s">
        <v>1225</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9" t="s">
        <v>1227</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9" t="s">
        <v>1229</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9" t="s">
        <v>1231</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1232</v>
      </c>
      <c r="D73" s="1187" t="s">
        <v>1233</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66" t="s">
        <v>1235</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1238</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1239</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1251</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5" t="s">
        <v>1268</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1269</v>
      </c>
      <c r="D34" s="911" t="s">
        <v>1270</v>
      </c>
      <c r="E34" s="912">
        <v>5</v>
      </c>
      <c r="F34" s="1208" t="s">
        <v>1271</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1272</v>
      </c>
      <c r="D35" s="912">
        <v>2006</v>
      </c>
      <c r="E35" s="912">
        <v>5</v>
      </c>
      <c r="F35" s="1208" t="s">
        <v>1273</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1274</v>
      </c>
      <c r="D36" s="912">
        <v>2007</v>
      </c>
      <c r="E36" s="912">
        <v>7</v>
      </c>
      <c r="F36" s="1208" t="s">
        <v>1275</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1276</v>
      </c>
      <c r="D37" s="912">
        <v>2010</v>
      </c>
      <c r="E37" s="912">
        <v>10</v>
      </c>
      <c r="F37" s="1208" t="s">
        <v>1277</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1278</v>
      </c>
      <c r="D38" s="365">
        <v>2014</v>
      </c>
      <c r="E38" s="365">
        <v>12</v>
      </c>
      <c r="F38" s="1202" t="s">
        <v>1279</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1280</v>
      </c>
      <c r="D39" s="365">
        <v>2020</v>
      </c>
      <c r="E39" s="366">
        <v>11</v>
      </c>
      <c r="F39" s="1202" t="s">
        <v>1281</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161FC273-4B67-4EC9-BC81-BB11C9158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2024-05-22T15:46:16Z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