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F0E42A39-EC3E-4AFF-B44F-BAF8A4A88A5C}"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<sst xmlns="http://schemas.openxmlformats.org/spreadsheetml/2006/main" count="2541" uniqueCount="1285">
  <si>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</si>
  <si>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</si>
  <si>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</si>
  <si>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</si>
  <si>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</si>
  <si>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</si>
  <si>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</si>
  <si>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</si>
  <si>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</si>
  <si>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</si>
  <si>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</si>
  <si>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</si>
  <si>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</si>
  <si>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</si>
  <si>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</si>
  <si>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</si>
  <si>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</si>
  <si>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</si>
  <si>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</si>
  <si>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</si>
  <si>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</si>
  <si>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</si>
  <si>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</si>
  <si>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</si>
  <si>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</si>
  <si>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</si>
  <si>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</si>
  <si>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</si>
  <si>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</si>
  <si>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</si>
  <si>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</si>
  <si>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</si>
  <si>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</si>
  <si>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</si>
  <si>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</si>
  <si>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</si>
  <si>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</si>
  <si>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</si>
  <si>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</si>
  <si>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</si>
  <si>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</si>
  <si>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</si>
  <si>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</si>
  <si>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</si>
  <si>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</si>
  <si>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</si>
  <si>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</si>
  <si>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</si>
  <si>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</si>
  <si>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</si>
  <si>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</si>
  <si>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</si>
  <si>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</si>
  <si>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</si>
  <si>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</si>
  <si>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</si>
  <si>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</si>
  <si>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</si>
  <si>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</si>
  <si>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</si>
  <si>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</si>
  <si>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</si>
  <si>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</si>
  <si>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</si>
  <si>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</si>
  <si>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</si>
  <si>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</si>
  <si>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</si>
  <si>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</si>
  <si>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</si>
  <si>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</si>
  <si>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</si>
  <si>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</si>
  <si>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</si>
  <si>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</si>
  <si>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</si>
  <si>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</si>
  <si>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</si>
  <si>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</si>
  <si>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</si>
  <si>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</si>
  <si>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</si>
  <si>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</si>
  <si>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</si>
  <si>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</si>
  <si>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</si>
  <si>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</si>
  <si>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</si>
  <si>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</si>
  <si>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</si>
  <si>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</si>
  <si>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</si>
  <si>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</si>
  <si>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</si>
  <si>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</si>
  <si>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</si>
  <si>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</si>
  <si>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</si>
  <si>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</si>
  <si>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</si>
  <si>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</si>
  <si>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</si>
  <si>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</si>
  <si>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</si>
  <si>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</si>
  <si>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</si>
  <si>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</si>
  <si>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</si>
  <si>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</si>
  <si>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</si>
  <si>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</si>
  <si>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</si>
  <si>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</si>
  <si>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</si>
  <si>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</si>
  <si>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</si>
  <si>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</si>
  <si>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</si>
  <si>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</si>
  <si>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</si>
  <si>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</si>
  <si>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</si>
  <si>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</si>
  <si>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</si>
  <si>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</si>
  <si>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</si>
  <si>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</si>
  <si>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</si>
  <si>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</si>
  <si>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</si>
  <si>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</si>
  <si>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</si>
  <si>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</si>
  <si>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</si>
  <si>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</si>
  <si>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</si>
  <si>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</si>
  <si>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</si>
  <si>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</si>
  <si>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</si>
  <si>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</si>
  <si>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</si>
  <si>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</si>
  <si>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</si>
  <si>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</si>
  <si>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</si>
  <si>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</si>
  <si>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</si>
  <si>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</si>
  <si>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</si>
  <si>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</si>
  <si>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</si>
  <si>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</si>
  <si>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</si>
  <si>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</si>
  <si>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</si>
  <si>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</si>
  <si>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</si>
  <si>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</si>
  <si>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</si>
  <si>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</si>
  <si>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</si>
  <si>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</si>
  <si>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</si>
  <si>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</si>
  <si>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</si>
  <si>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</si>
  <si>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</si>
  <si>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</si>
  <si>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</si>
  <si>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</si>
  <si>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</si>
  <si>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</si>
  <si>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</si>
  <si>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</si>
  <si>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</si>
  <si>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</si>
  <si>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</si>
  <si>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</si>
  <si>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</si>
  <si>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</si>
  <si>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</si>
  <si>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</si>
  <si>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</si>
  <si>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</si>
  <si>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</si>
  <si>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</si>
  <si>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</si>
  <si>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</si>
  <si>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</si>
  <si>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</si>
  <si>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</si>
  <si>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</si>
  <si>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</si>
  <si>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</si>
  <si>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</si>
  <si>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</si>
  <si>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</si>
  <si>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</si>
  <si>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</si>
  <si>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</si>
  <si>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</si>
  <si>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</si>
  <si>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</si>
  <si>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</si>
  <si>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</si>
  <si>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</si>
  <si>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</si>
  <si>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</si>
  <si>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</si>
  <si>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</si>
  <si>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</si>
  <si>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</si>
  <si>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</si>
  <si>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</si>
  <si>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</si>
  <si>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</si>
  <si>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</si>
  <si>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</si>
  <si>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</si>
  <si>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</si>
  <si>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</si>
  <si>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</si>
  <si>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</si>
  <si>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</si>
  <si>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</si>
  <si>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</si>
  <si>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</si>
  <si>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</si>
  <si>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</si>
  <si>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</si>
  <si>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</si>
  <si>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</si>
  <si>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</si>
  <si>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</si>
  <si>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</si>
  <si>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</si>
  <si>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</si>
  <si>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</si>
  <si>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</si>
  <si>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</si>
  <si>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</si>
  <si>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</si>
  <si>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</si>
  <si>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</si>
  <si>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</si>
  <si>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</si>
  <si>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</si>
  <si>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</si>
  <si>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</si>
  <si>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</si>
  <si>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</si>
  <si>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</si>
  <si>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</si>
  <si>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</si>
  <si>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</si>
  <si>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</si>
  <si>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</si>
  <si>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</si>
  <si>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</si>
  <si>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</si>
  <si>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</si>
  <si>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</si>
  <si>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</si>
  <si>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</si>
  <si>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</si>
  <si>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</si>
  <si>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</si>
  <si>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</si>
  <si>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</si>
  <si>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</si>
  <si>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</si>
  <si>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</si>
  <si>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</si>
  <si>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</si>
  <si>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</si>
  <si>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</si>
  <si>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</si>
  <si>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</si>
  <si>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</si>
  <si>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</si>
  <si>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</si>
  <si>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</si>
  <si>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</si>
  <si>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</si>
  <si>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</si>
  <si>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</si>
  <si>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</si>
  <si>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</si>
  <si>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</si>
  <si>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</si>
  <si>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</si>
  <si>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</si>
  <si>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</si>
  <si>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</si>
  <si>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</si>
  <si>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</si>
  <si>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</si>
  <si>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</si>
  <si>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</si>
  <si>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</si>
  <si>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</si>
  <si>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</si>
  <si>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</si>
  <si>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</si>
  <si>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</si>
  <si>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</si>
  <si>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</si>
  <si>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</si>
  <si>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</si>
  <si>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</si>
  <si>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</si>
  <si>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</si>
  <si>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</si>
  <si>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</si>
  <si>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</si>
  <si>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</si>
  <si>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</si>
  <si>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</si>
  <si>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</si>
  <si>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</si>
  <si>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</si>
  <si>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</si>
  <si>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</si>
  <si>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</si>
  <si>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</si>
  <si>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</si>
  <si>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</si>
  <si>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</si>
  <si>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</si>
  <si>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</si>
  <si>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</si>
  <si>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</si>
  <si>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</si>
  <si>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</si>
  <si>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</si>
  <si>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</si>
  <si>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</si>
  <si>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</si>
  <si>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</si>
  <si>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</si>
  <si>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</si>
  <si>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</si>
  <si>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</si>
  <si>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</si>
  <si>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</si>
  <si>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</si>
  <si>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</si>
  <si>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</si>
  <si>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</si>
  <si>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</si>
  <si>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</si>
  <si>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</si>
  <si>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</si>
  <si>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</si>
  <si>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</si>
  <si>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</si>
  <si>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</si>
  <si>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</si>
  <si>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</si>
  <si>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</si>
  <si>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</si>
  <si>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</si>
  <si>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</si>
  <si>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</si>
  <si>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</si>
  <si>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</si>
  <si>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</si>
  <si>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</si>
  <si>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</si>
  <si>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</si>
  <si>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</si>
  <si>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</si>
  <si>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</si>
  <si>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</si>
  <si>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</si>
  <si>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</si>
  <si>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</si>
  <si>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</si>
  <si>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</si>
  <si>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</si>
  <si>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</si>
  <si>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</si>
  <si>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</si>
  <si>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</si>
  <si>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</si>
  <si>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</si>
  <si>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</si>
  <si>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</si>
  <si>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</si>
  <si>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</si>
  <si>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</si>
  <si>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</si>
  <si>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</si>
  <si>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</si>
  <si>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</si>
  <si>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</si>
  <si>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</si>
  <si>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</si>
  <si>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</si>
  <si>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</si>
  <si>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</si>
  <si>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</si>
  <si>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</si>
  <si>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</si>
  <si>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</si>
  <si>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</si>
  <si>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</si>
  <si>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</si>
  <si>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</si>
  <si>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</si>
  <si>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</si>
  <si>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</si>
  <si>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</si>
  <si>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</si>
  <si>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</si>
  <si>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</si>
  <si>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</si>
  <si>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</si>
  <si>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</si>
  <si>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</si>
  <si>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</si>
  <si>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</si>
  <si>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</si>
  <si>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</si>
  <si>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</si>
  <si>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</si>
  <si>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</si>
  <si>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</si>
  <si>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</si>
  <si>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</si>
  <si>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</si>
  <si>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</si>
  <si>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</si>
  <si>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</si>
  <si>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</si>
  <si>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</si>
  <si>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</si>
  <si>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</si>
  <si>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</si>
  <si>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</si>
  <si>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</si>
  <si>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</si>
  <si>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</si>
  <si>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</si>
  <si>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</si>
  <si>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</si>
  <si>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</si>
  <si>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</si>
  <si>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</si>
  <si>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</si>
  <si>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</si>
  <si>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</si>
  <si>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</si>
  <si>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</si>
  <si>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</si>
  <si>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</si>
  <si>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</si>
  <si>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</si>
  <si>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</si>
  <si>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</si>
  <si>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</si>
  <si>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</si>
  <si>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</si>
  <si>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</si>
  <si>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</si>
  <si>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</si>
  <si>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</si>
  <si>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</si>
  <si>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</si>
  <si>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</si>
  <si>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</si>
  <si>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</si>
  <si>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</si>
  <si>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</si>
  <si>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</si>
  <si>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</si>
  <si>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</si>
  <si>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</si>
  <si>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</si>
  <si>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</si>
  <si>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</si>
  <si>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</si>
  <si>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</si>
  <si>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</si>
  <si>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</si>
  <si>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</si>
  <si>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</si>
  <si>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</si>
  <si>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</si>
  <si>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</si>
  <si>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</si>
  <si>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</si>
  <si>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</si>
  <si>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</si>
  <si>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</si>
  <si>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</si>
  <si>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</si>
  <si>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</si>
  <si>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</si>
  <si>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</si>
  <si>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</si>
  <si>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</si>
  <si>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</si>
  <si>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</si>
  <si>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</si>
  <si>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</si>
  <si>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</si>
  <si>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</si>
  <si>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</si>
  <si>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</si>
  <si>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</si>
  <si>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</si>
  <si>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</si>
  <si>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</si>
  <si>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</si>
  <si>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Kittanning District 440</t>
  </si>
  <si>
    <t>VOS</t>
  </si>
  <si>
    <t xml:space="preserve">Name of Contact Person: </t>
  </si>
  <si>
    <t>David Annarumo</t>
  </si>
  <si>
    <t>VOSEA</t>
  </si>
  <si>
    <t>VOS Error Adjustment</t>
  </si>
  <si>
    <t xml:space="preserve">Email: </t>
  </si>
  <si>
    <t>david.annarumo@amwater.com</t>
  </si>
  <si>
    <t>WI</t>
  </si>
  <si>
    <t>Worksheet</t>
  </si>
  <si>
    <t>Enter the required data on this worksheet to calculate the water balance and data grading.</t>
  </si>
  <si>
    <t xml:space="preserve">Telephone | Ext.: </t>
  </si>
  <si>
    <t>724-656-6744</t>
  </si>
  <si>
    <t>WIEA</t>
  </si>
  <si>
    <t>WI Error Adjustment</t>
  </si>
  <si>
    <t xml:space="preserve">City/Town/Municipality: </t>
  </si>
  <si>
    <t>Kittanning</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</si>
  <si>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</si>
  <si>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</si>
  <si>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</si>
  <si>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</si>
  <si>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</si>
  <si>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</si>
  <si>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</si>
  <si>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</si>
  <si>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</si>
  <si>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</si>
  <si>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</si>
  <si>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</si>
  <si>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</si>
  <si>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</si>
  <si>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</si>
  <si>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</si>
  <si>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</si>
  <si>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</si>
  <si>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</si>
  <si>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</si>
  <si>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</si>
  <si>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</si>
  <si>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</si>
  <si>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</si>
  <si>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</si>
  <si>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</si>
  <si>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</si>
  <si>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</si>
  <si>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</si>
  <si>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</si>
  <si>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</si>
  <si>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</si>
  <si>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</si>
  <si>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</si>
  <si>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</si>
  <si>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</si>
  <si>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</si>
  <si>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</si>
  <si>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</si>
  <si>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</si>
  <si>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</si>
  <si>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</si>
  <si>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</si>
  <si>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5030008</t>
  </si>
  <si>
    <t>AOP</t>
  </si>
  <si>
    <t xml:space="preserve">Validator Name/ID: </t>
  </si>
  <si>
    <t>N/A</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</si>
  <si>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</si>
  <si>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</si>
  <si>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</si>
  <si>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</si>
  <si>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</si>
  <si>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</si>
  <si>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</si>
  <si>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</si>
  <si>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</si>
  <si>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</si>
  <si>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</si>
  <si>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</si>
  <si>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</si>
  <si>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</si>
  <si>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</si>
  <si>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</si>
  <si>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</si>
  <si>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</si>
  <si>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</si>
  <si>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</si>
  <si>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</si>
  <si>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</si>
  <si>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</si>
  <si>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</si>
  <si>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</si>
  <si>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</si>
  <si>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</si>
  <si>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</si>
  <si>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</si>
  <si>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</si>
  <si>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</si>
  <si>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</si>
  <si>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</si>
  <si>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</si>
  <si>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</si>
  <si>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</si>
  <si>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</si>
  <si>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</si>
  <si>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</si>
  <si>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</si>
  <si>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</si>
  <si>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</si>
  <si>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</si>
  <si>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</si>
  <si>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</si>
  <si>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</si>
  <si>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</si>
  <si>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</si>
  <si>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</si>
  <si>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</si>
  <si>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</si>
  <si>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</si>
  <si>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</si>
  <si>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</si>
  <si>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</si>
  <si>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</si>
  <si>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</si>
  <si>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</si>
  <si>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</si>
  <si>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</si>
  <si>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</si>
  <si>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</si>
  <si>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</si>
  <si>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</si>
  <si>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</si>
  <si>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</si>
  <si>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</si>
  <si>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</si>
  <si>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</si>
  <si>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</si>
  <si>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</si>
  <si>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</si>
  <si>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</si>
  <si>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</si>
  <si>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</si>
  <si>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</si>
  <si>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</si>
  <si>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</si>
  <si>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</si>
  <si>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</si>
  <si>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</si>
  <si>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</si>
  <si>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</si>
  <si>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</si>
  <si>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</si>
  <si>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</si>
  <si>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</si>
  <si>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</si>
  <si>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</si>
  <si>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</si>
  <si>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</si>
  <si>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</si>
  <si>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</si>
  <si>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</si>
  <si>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</si>
  <si>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</si>
  <si>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</si>
  <si>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</si>
  <si>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</si>
  <si>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</si>
  <si>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</si>
  <si>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</si>
  <si>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</si>
  <si>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</si>
  <si>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</si>
  <si>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</si>
  <si>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</si>
  <si>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</si>
  <si>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</si>
  <si>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</si>
  <si>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</si>
  <si>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</si>
  <si>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</si>
  <si>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</si>
  <si>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</si>
  <si>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</si>
  <si>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</si>
  <si>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</si>
  <si>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</si>
  <si>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</si>
  <si>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</si>
  <si>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</si>
  <si>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</si>
  <si>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</si>
  <si>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</si>
  <si>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</si>
  <si>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</si>
  <si>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</si>
  <si>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</si>
  <si>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</si>
  <si>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</si>
  <si>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</si>
  <si>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</si>
  <si>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</si>
  <si>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</si>
  <si>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</si>
  <si>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</si>
  <si>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</si>
  <si>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</si>
  <si>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</si>
  <si>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</si>
  <si>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</si>
  <si>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</si>
  <si>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</si>
  <si>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</si>
  <si>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</si>
  <si>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over-registration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</si>
  <si>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</si>
  <si>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</si>
  <si>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</si>
  <si>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</si>
  <si>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</si>
  <si>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</si>
  <si>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</si>
  <si>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</si>
  <si>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</si>
  <si>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</si>
  <si>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</si>
  <si>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</si>
  <si>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</si>
  <si>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</si>
  <si>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</si>
  <si>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</si>
  <si>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</si>
  <si>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</si>
  <si>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</si>
  <si>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</si>
  <si>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</si>
  <si>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under-registration</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</si>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</sst>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2.9587056384763568</c:v>
                </c:pt>
                <c:pt idx="1">
                  <c:v>0.26113598867139654</c:v>
                </c:pt>
                <c:pt idx="2">
                  <c:v>29.422156956776814</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28.879830002795789</c:v>
                </c:pt>
                <c:pt idx="1">
                  <c:v>0.92482240795754933</c:v>
                </c:pt>
                <c:pt idx="2">
                  <c:v>85.798148583940332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14.940205611943881</c:v>
                </c:pt>
                <c:pt idx="1">
                  <c:v>0.38772920688421864</c:v>
                </c:pt>
                <c:pt idx="2">
                  <c:v>33.138216041699231</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13.939624390851911</c:v>
                </c:pt>
                <c:pt idx="1">
                  <c:v>0.56875750335916142</c:v>
                </c:pt>
                <c:pt idx="2">
                  <c:v>56.586306025684109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24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0.32800000000000001</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8.6769999999999996</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0.21547000000000002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1.7656326530612227</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0.21547000000000002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12.858942198423897</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$78,597/Yr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723.22032000000002</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19132.264380000001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2988.5689000000002</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24411.24041469385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2988.5689000000002</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28353.196010992786</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35.265808526427506</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17.320540130687753</c:v>
                </c:pt>
                <c:pt idx="1">
                  <c:v>1.8469276802355887</c:v>
                </c:pt>
                <c:pt idx="2">
                  <c:v>211.69849221852525</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1638.6036570148322</c:v>
                </c:pt>
                <c:pt idx="1">
                  <c:v>97.186039594358903</c:v>
                </c:pt>
                <c:pt idx="2" formatCode="_(* #,##0_);_(* \(#,##0\);_(* &quot;-&quot;??_);_(@_)">
                  <c:v>10412.465252685672</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hyperlink" Target="#'Interactive Data Grading'!WIEA"/><Relationship Id="rId18" Type="http://schemas.openxmlformats.org/officeDocument/2006/relationships/hyperlink" Target="#'Interactive Data Grading'!AOP"/><Relationship Id="rId26" Type="http://schemas.openxmlformats.org/officeDocument/2006/relationships/image" Target="../media/image1.png"/><Relationship Id="rId3" Type="http://schemas.openxmlformats.org/officeDocument/2006/relationships/image" Target="../media/image4.emf"/><Relationship Id="rId21" Type="http://schemas.openxmlformats.org/officeDocument/2006/relationships/hyperlink" Target="#'Interactive Data Grading'!Lp"/><Relationship Id="rId7" Type="http://schemas.openxmlformats.org/officeDocument/2006/relationships/hyperlink" Target="#'Interactive Data Grading'!BMAC"/><Relationship Id="rId12" Type="http://schemas.openxmlformats.org/officeDocument/2006/relationships/hyperlink" Target="#'Interactive Data Grading'!WE"/><Relationship Id="rId17" Type="http://schemas.openxmlformats.org/officeDocument/2006/relationships/hyperlink" Target="#'Interactive Data Grading'!WI"/><Relationship Id="rId25"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N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WEEA"/><Relationship Id="rId24" Type="http://schemas.openxmlformats.org/officeDocument/2006/relationships/hyperlink" Target="#'Interactive Data Grading'!VPC"/><Relationship Id="rId5" Type="http://schemas.openxmlformats.org/officeDocument/2006/relationships/hyperlink" Target="#'Interactive Data Grading'!UC"/><Relationship Id="rId15" Type="http://schemas.openxmlformats.org/officeDocument/2006/relationships/image" Target="../media/image7.emf"/><Relationship Id="rId23" Type="http://schemas.openxmlformats.org/officeDocument/2006/relationships/image" Target="../media/image8.emf"/><Relationship Id="rId10" Type="http://schemas.openxmlformats.org/officeDocument/2006/relationships/hyperlink" Target="#'Interactive Data Grading'!BUAC"/><Relationship Id="rId19" Type="http://schemas.openxmlformats.org/officeDocument/2006/relationships/hyperlink" Target="#'Interactive Data Grading'!Lm"/><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VOS"/><Relationship Id="rId22" Type="http://schemas.openxmlformats.org/officeDocument/2006/relationships/hyperlink" Target="#'Interactive Data Grading'!CRU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6.png"/><Relationship Id="rId3" Type="http://schemas.openxmlformats.org/officeDocument/2006/relationships/chart" Target="../charts/chart4.xml"/><Relationship Id="rId21" Type="http://schemas.openxmlformats.org/officeDocument/2006/relationships/image" Target="../media/image1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1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31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31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314"/>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315"/>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316"/>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317"/>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318"/>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1"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319"/>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2"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320"/>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3"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321"/>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4"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322"/>
                  </a:ext>
                </a:extLst>
              </xdr:cNvPicPr>
            </xdr:nvPicPr>
            <xdr:blipFill rotWithShape="1">
              <a:blip xmlns:r="http://schemas.openxmlformats.org/officeDocument/2006/relationships" r:embed="rId15"/>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323"/>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324"/>
                  </a:ext>
                </a:extLst>
              </xdr:cNvPicPr>
            </xdr:nvPicPr>
            <xdr:blipFill rotWithShape="1">
              <a:blip xmlns:r="http://schemas.openxmlformats.org/officeDocument/2006/relationships" r:embed="rId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8"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325"/>
                  </a:ext>
                </a:extLst>
              </xdr:cNvPicPr>
            </xdr:nvPicPr>
            <xdr:blipFill rotWithShape="1">
              <a:blip xmlns:r="http://schemas.openxmlformats.org/officeDocument/2006/relationships" r:embed="rId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9"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326"/>
                  </a:ext>
                </a:extLst>
              </xdr:cNvPicPr>
            </xdr:nvPicPr>
            <xdr:blipFill rotWithShape="1">
              <a:blip xmlns:r="http://schemas.openxmlformats.org/officeDocument/2006/relationships" r:embed="rId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0"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327"/>
                  </a:ext>
                </a:extLst>
              </xdr:cNvPicPr>
            </xdr:nvPicPr>
            <xdr:blipFill rotWithShape="1">
              <a:blip xmlns:r="http://schemas.openxmlformats.org/officeDocument/2006/relationships" r:embed="rId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1"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328"/>
                  </a:ext>
                </a:extLst>
              </xdr:cNvPicPr>
            </xdr:nvPicPr>
            <xdr:blipFill rotWithShape="1">
              <a:blip xmlns:r="http://schemas.openxmlformats.org/officeDocument/2006/relationships" r:embed="rId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2"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329"/>
                  </a:ext>
                </a:extLst>
              </xdr:cNvPicPr>
            </xdr:nvPicPr>
            <xdr:blipFill rotWithShape="1">
              <a:blip xmlns:r="http://schemas.openxmlformats.org/officeDocument/2006/relationships" r:embed="rId23"/>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4"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330"/>
                  </a:ext>
                </a:extLst>
              </xdr:cNvPicPr>
            </xdr:nvPicPr>
            <xdr:blipFill rotWithShape="1">
              <a:blip xmlns:r="http://schemas.openxmlformats.org/officeDocument/2006/relationships" r:embed="rId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5"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35"/>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I28" sqref="AI28:AL28"/>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45377</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579</v>
      </c>
      <c r="AC26" s="976"/>
      <c r="AD26" s="976"/>
      <c r="AE26" s="976"/>
      <c r="AF26" s="976"/>
      <c r="AG26" s="976"/>
      <c r="AH26" s="976"/>
      <c r="AI26" s="976"/>
      <c r="AJ26" s="976"/>
      <c r="AK26" s="976"/>
      <c r="AL26" s="982"/>
      <c r="AM26" s="118"/>
      <c r="AN26" s="118"/>
      <c r="AO26"/>
      <c r="AP26" s="473" t="s">
        <v>580</v>
      </c>
      <c r="AQ26" s="205" t="s">
        <v>462</v>
      </c>
      <c r="AR26" s="118"/>
      <c r="AS26" s="118"/>
      <c r="AT26" s="118"/>
      <c r="AU26" s="118"/>
      <c r="AV26" s="118"/>
      <c r="AW26" s="118"/>
      <c r="AX26" s="118"/>
      <c r="AY26" s="118"/>
      <c r="AZ26" s="118"/>
      <c r="BA26" s="118"/>
      <c r="BB26" s="469"/>
      <c r="BC26" s="827"/>
    </row>
    <row r="27" spans="1:55" s="41" customFormat="1" ht="12.95" customHeight="1">
      <c r="A27" s="827"/>
      <c r="B27" s="914" t="s">
        <v>581</v>
      </c>
      <c r="C27" s="915"/>
      <c r="D27" s="915"/>
      <c r="E27" s="915"/>
      <c r="F27" s="915"/>
      <c r="G27" s="913" t="s">
        <v>582</v>
      </c>
      <c r="H27" s="913"/>
      <c r="I27" s="913"/>
      <c r="J27" s="913"/>
      <c r="K27" s="913"/>
      <c r="L27" s="913"/>
      <c r="M27" s="913"/>
      <c r="N27" s="913"/>
      <c r="O27" s="913"/>
      <c r="P27" s="913"/>
      <c r="Q27" s="913"/>
      <c r="R27" s="913"/>
      <c r="S27" s="913"/>
      <c r="T27" s="913"/>
      <c r="U27" s="472"/>
      <c r="V27" s="118"/>
      <c r="W27" s="118"/>
      <c r="X27" s="118"/>
      <c r="Y27" s="118"/>
      <c r="Z27" s="118"/>
      <c r="AA27" s="477" t="s">
        <v>583</v>
      </c>
      <c r="AB27" s="975" t="s">
        <v>579</v>
      </c>
      <c r="AC27" s="976"/>
      <c r="AD27" s="976"/>
      <c r="AE27" s="976"/>
      <c r="AF27" s="976"/>
      <c r="AG27" s="976"/>
      <c r="AH27" s="976"/>
      <c r="AI27" s="976"/>
      <c r="AJ27" s="976"/>
      <c r="AK27" s="976"/>
      <c r="AL27" s="982"/>
      <c r="AM27" s="118"/>
      <c r="AN27" s="118"/>
      <c r="AO27"/>
      <c r="AP27" s="473" t="s">
        <v>584</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585</v>
      </c>
      <c r="AI28" s="984">
        <v>1967</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586</v>
      </c>
      <c r="C30" s="915"/>
      <c r="D30" s="915"/>
      <c r="E30" s="915"/>
      <c r="F30" s="915"/>
      <c r="G30" s="913" t="s">
        <v>587</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588</v>
      </c>
      <c r="Z31" s="503"/>
      <c r="AA31" s="118"/>
      <c r="AB31" s="118"/>
      <c r="AC31" s="829"/>
      <c r="AD31" s="522" t="s">
        <v>589</v>
      </c>
      <c r="AE31" s="516"/>
      <c r="AF31" s="517"/>
      <c r="AG31" s="518"/>
      <c r="AH31" s="519"/>
      <c r="AI31" s="520"/>
      <c r="AJ31" s="520"/>
      <c r="AK31" s="520"/>
      <c r="AL31" s="522" t="s">
        <v>590</v>
      </c>
      <c r="AM31" s="521"/>
      <c r="AN31" s="521"/>
      <c r="AO31" s="521"/>
      <c r="AP31" s="520"/>
      <c r="AQ31" s="520"/>
      <c r="AR31" s="520"/>
      <c r="AS31" s="520"/>
      <c r="AT31" s="829"/>
      <c r="AU31" s="515" t="s">
        <v>591</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592</v>
      </c>
      <c r="C33" s="915"/>
      <c r="D33" s="915"/>
      <c r="E33" s="915"/>
      <c r="F33" s="915"/>
      <c r="G33" s="913" t="s">
        <v>593</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594</v>
      </c>
      <c r="AB34" s="955" t="s">
        <v>525</v>
      </c>
      <c r="AC34" s="955"/>
      <c r="AD34" s="955"/>
      <c r="AE34" s="955"/>
      <c r="AF34" s="494"/>
      <c r="AG34" s="494"/>
      <c r="AH34" s="494"/>
      <c r="AI34" s="494"/>
      <c r="AJ34" s="501"/>
      <c r="AK34" s="501"/>
      <c r="AL34" s="118"/>
      <c r="AM34" s="526"/>
      <c r="AN34" s="526"/>
      <c r="AO34" s="526"/>
      <c r="AP34" s="118"/>
      <c r="AQ34" s="118"/>
      <c r="AR34" s="766" t="s">
        <v>594</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595</v>
      </c>
      <c r="C36" s="915"/>
      <c r="D36" s="915"/>
      <c r="E36" s="915"/>
      <c r="F36" s="915"/>
      <c r="G36" s="913" t="s">
        <v>596</v>
      </c>
      <c r="H36" s="913"/>
      <c r="I36" s="913"/>
      <c r="J36" s="913"/>
      <c r="K36" s="913"/>
      <c r="L36" s="913"/>
      <c r="M36" s="913"/>
      <c r="N36" s="913"/>
      <c r="O36" s="913"/>
      <c r="P36" s="913"/>
      <c r="Q36" s="913"/>
      <c r="R36" s="913"/>
      <c r="S36" s="913"/>
      <c r="T36" s="913"/>
      <c r="U36" s="798"/>
      <c r="V36" s="960" t="s">
        <v>597</v>
      </c>
      <c r="W36" s="960"/>
      <c r="X36" s="960"/>
      <c r="Y36" s="960"/>
      <c r="Z36" s="960"/>
      <c r="AA36" s="960"/>
      <c r="AB36" s="960"/>
      <c r="AC36" s="960"/>
      <c r="AD36" s="960"/>
      <c r="AE36" s="960"/>
      <c r="AF36" s="960"/>
      <c r="AG36" s="800"/>
      <c r="AH36" s="983" t="s">
        <v>598</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599</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600</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601</v>
      </c>
      <c r="C39" s="915"/>
      <c r="D39" s="915"/>
      <c r="E39" s="915"/>
      <c r="F39" s="915"/>
      <c r="G39" s="913" t="s">
        <v>602</v>
      </c>
      <c r="H39" s="913"/>
      <c r="I39" s="913"/>
      <c r="J39" s="913"/>
      <c r="K39" s="913"/>
      <c r="L39" s="913"/>
      <c r="M39" s="913"/>
      <c r="N39" s="913"/>
      <c r="O39" s="913"/>
      <c r="P39" s="913"/>
      <c r="Q39" s="913"/>
      <c r="R39" s="913"/>
      <c r="S39" s="913"/>
      <c r="T39" s="913"/>
      <c r="U39" s="798"/>
      <c r="V39" s="510"/>
      <c r="W39" s="962">
        <v>0.01</v>
      </c>
      <c r="X39" s="962"/>
      <c r="Y39" s="962"/>
      <c r="Z39" s="963" t="s">
        <v>603</v>
      </c>
      <c r="AA39" s="964"/>
      <c r="AB39" s="965"/>
      <c r="AC39" s="508" t="s">
        <v>604</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605</v>
      </c>
      <c r="AA40" s="964"/>
      <c r="AB40" s="965"/>
      <c r="AC40" s="980" t="s">
        <v>606</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607</v>
      </c>
      <c r="W42" s="960"/>
      <c r="X42" s="960"/>
      <c r="Y42" s="960"/>
      <c r="Z42" s="960"/>
      <c r="AA42" s="960"/>
      <c r="AB42" s="960"/>
      <c r="AC42" s="960"/>
      <c r="AD42" s="960"/>
      <c r="AE42" s="960"/>
      <c r="AF42" s="960"/>
      <c r="AG42" s="510"/>
      <c r="AH42" s="956" t="s">
        <v>608</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609</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610</v>
      </c>
      <c r="D44" s="504"/>
      <c r="E44" s="504"/>
      <c r="F44" s="118"/>
      <c r="G44" s="118"/>
      <c r="H44" s="118"/>
      <c r="I44" s="118"/>
      <c r="J44" s="118"/>
      <c r="K44" s="118"/>
      <c r="L44" s="118"/>
      <c r="M44" s="118"/>
      <c r="N44" s="118"/>
      <c r="O44" s="118"/>
      <c r="P44" s="118"/>
      <c r="Q44" s="118"/>
      <c r="R44" s="118"/>
      <c r="S44" s="118"/>
      <c r="T44" s="118"/>
      <c r="U44" s="798"/>
      <c r="V44" s="510"/>
      <c r="W44" s="510"/>
      <c r="X44" s="961" t="s">
        <v>600</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611</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612</v>
      </c>
      <c r="AA45" s="964"/>
      <c r="AB45" s="965"/>
      <c r="AC45" s="508" t="s">
        <v>604</v>
      </c>
      <c r="AD45" s="510"/>
      <c r="AE45" s="510"/>
      <c r="AF45" s="510"/>
      <c r="AG45" s="800"/>
      <c r="AH45" s="800"/>
      <c r="AI45" s="967" t="s">
        <v>613</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614</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615</v>
      </c>
      <c r="AA46" s="964"/>
      <c r="AB46" s="965"/>
      <c r="AC46" s="980" t="s">
        <v>616</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617</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618</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619</v>
      </c>
      <c r="AE48" s="956"/>
      <c r="AF48" s="956"/>
      <c r="AG48" s="956"/>
      <c r="AH48" s="956"/>
      <c r="AI48" s="956"/>
      <c r="AJ48" s="956"/>
      <c r="AK48" s="956"/>
      <c r="AL48" s="956"/>
      <c r="AM48" s="956"/>
      <c r="AN48" s="956"/>
      <c r="AO48" s="956"/>
      <c r="AP48" s="956"/>
      <c r="AQ48" s="956"/>
      <c r="AR48" s="956"/>
      <c r="AS48" s="956"/>
      <c r="AT48" s="956"/>
      <c r="AU48" s="956"/>
      <c r="AV48" s="956"/>
      <c r="AW48" s="956"/>
      <c r="AX48" s="960" t="s">
        <v>620</v>
      </c>
      <c r="AY48" s="960"/>
      <c r="AZ48" s="960"/>
      <c r="BA48" s="502"/>
      <c r="BB48" s="469"/>
      <c r="BC48" s="827"/>
    </row>
    <row r="49" spans="1:55" s="41" customFormat="1" ht="12.95" customHeight="1">
      <c r="A49" s="827"/>
      <c r="B49" s="479"/>
      <c r="C49" s="647" t="s">
        <v>621</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622</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623</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624</v>
      </c>
      <c r="U53" s="482" t="s">
        <v>625</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626</v>
      </c>
      <c r="W56" s="188"/>
      <c r="X56" s="188"/>
      <c r="Y56" s="188"/>
      <c r="Z56" s="188"/>
      <c r="AA56" s="188"/>
      <c r="AB56" s="188"/>
      <c r="AC56" s="188"/>
      <c r="AD56" s="188" t="s">
        <v>626</v>
      </c>
      <c r="AE56" s="188"/>
      <c r="AF56" s="188"/>
      <c r="AG56" s="188"/>
      <c r="AH56" s="188"/>
      <c r="AI56" s="118" t="s">
        <v>627</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632</v>
      </c>
      <c r="W59" s="188"/>
      <c r="X59" s="188"/>
      <c r="Y59" s="188"/>
      <c r="Z59" s="188"/>
      <c r="AA59" s="188"/>
      <c r="AB59" s="188"/>
      <c r="AC59" s="188"/>
      <c r="AD59" s="188" t="s">
        <v>633</v>
      </c>
      <c r="AE59" s="188"/>
      <c r="AF59" s="188"/>
      <c r="AG59" s="188"/>
      <c r="AH59" s="188"/>
      <c r="AI59" s="188" t="s">
        <v>634</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635</v>
      </c>
      <c r="W60" s="188"/>
      <c r="X60" s="188"/>
      <c r="Y60" s="188"/>
      <c r="Z60" s="188"/>
      <c r="AA60" s="188"/>
      <c r="AB60" s="188"/>
      <c r="AC60" s="188"/>
      <c r="AD60" s="188" t="s">
        <v>635</v>
      </c>
      <c r="AE60" s="188"/>
      <c r="AF60" s="188"/>
      <c r="AG60" s="188"/>
      <c r="AH60" s="188"/>
      <c r="AI60" s="188" t="s">
        <v>636</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637</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638</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639</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640</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641</v>
      </c>
    </row>
    <row r="66" spans="35:35" hidden="1">
      <c r="AI66" s="188" t="s">
        <v>642</v>
      </c>
    </row>
    <row r="67" spans="35:35" hidden="1">
      <c r="AI67" s="118" t="s">
        <v>643</v>
      </c>
    </row>
    <row r="68" spans="35:35" hidden="1">
      <c r="AI68" s="118" t="s">
        <v>644</v>
      </c>
    </row>
    <row r="69" spans="35:35" hidden="1">
      <c r="AI69" s="118" t="s">
        <v>645</v>
      </c>
    </row>
    <row r="70" spans="35:35" hidden="1">
      <c r="AI70" s="118" t="s">
        <v>646</v>
      </c>
    </row>
    <row r="71" spans="35:35" hidden="1">
      <c r="AI71" s="118" t="s">
        <v>647</v>
      </c>
    </row>
    <row r="72" spans="35:35" hidden="1">
      <c r="AI72" s="188" t="s">
        <v>648</v>
      </c>
    </row>
    <row r="73" spans="35:35" hidden="1">
      <c r="AI73" s="118" t="s">
        <v>649</v>
      </c>
    </row>
    <row r="74" spans="35:35" hidden="1">
      <c r="AI74" s="118" t="s">
        <v>650</v>
      </c>
    </row>
    <row r="75" spans="35:35" hidden="1">
      <c r="AI75" s="118" t="s">
        <v>651</v>
      </c>
    </row>
    <row r="76" spans="35:35" hidden="1">
      <c r="AI76" s="118" t="s">
        <v>652</v>
      </c>
    </row>
    <row r="77" spans="35:35" hidden="1">
      <c r="AI77" s="188" t="s">
        <v>653</v>
      </c>
    </row>
    <row r="78" spans="35:35" hidden="1">
      <c r="AI78" s="118" t="s">
        <v>654</v>
      </c>
    </row>
    <row r="79" spans="35:35" hidden="1">
      <c r="AI79" s="118" t="s">
        <v>655</v>
      </c>
    </row>
    <row r="80" spans="35:35" hidden="1">
      <c r="AI80" s="118" t="s">
        <v>656</v>
      </c>
    </row>
    <row r="81" spans="35:35" hidden="1">
      <c r="AI81" s="188" t="s">
        <v>657</v>
      </c>
    </row>
    <row r="82" spans="35:35" hidden="1">
      <c r="AI82" s="118" t="s">
        <v>658</v>
      </c>
    </row>
    <row r="83" spans="35:35" hidden="1">
      <c r="AI83" s="118" t="s">
        <v>659</v>
      </c>
    </row>
    <row r="84" spans="35:35" hidden="1">
      <c r="AI84" s="188" t="s">
        <v>660</v>
      </c>
    </row>
    <row r="85" spans="35:35" hidden="1">
      <c r="AI85" s="118" t="s">
        <v>661</v>
      </c>
    </row>
    <row r="86" spans="35:35" hidden="1">
      <c r="AI86" s="118" t="s">
        <v>662</v>
      </c>
    </row>
    <row r="87" spans="35:35" hidden="1">
      <c r="AI87" s="118" t="s">
        <v>663</v>
      </c>
    </row>
    <row r="88" spans="35:35" hidden="1">
      <c r="AI88" s="118" t="s">
        <v>664</v>
      </c>
    </row>
    <row r="89" spans="35:35" hidden="1">
      <c r="AI89" s="118" t="s">
        <v>665</v>
      </c>
    </row>
    <row r="90" spans="35:35" hidden="1">
      <c r="AI90" s="118" t="s">
        <v>666</v>
      </c>
    </row>
    <row r="91" spans="35:35" hidden="1">
      <c r="AI91" s="118" t="s">
        <v>667</v>
      </c>
    </row>
    <row r="92" spans="35:35" hidden="1">
      <c r="AI92" s="118" t="s">
        <v>668</v>
      </c>
    </row>
    <row r="93" spans="35:35" hidden="1">
      <c r="AI93" s="118" t="s">
        <v>669</v>
      </c>
    </row>
    <row r="94" spans="35:35" hidden="1">
      <c r="AI94" s="188" t="s">
        <v>670</v>
      </c>
    </row>
    <row r="95" spans="35:35" hidden="1">
      <c r="AI95" s="118" t="s">
        <v>671</v>
      </c>
    </row>
    <row r="96" spans="35:35" hidden="1">
      <c r="AI96" s="118" t="s">
        <v>672</v>
      </c>
    </row>
    <row r="97" spans="35:35" hidden="1">
      <c r="AI97" s="118" t="s">
        <v>673</v>
      </c>
    </row>
    <row r="98" spans="35:35" hidden="1">
      <c r="AI98" s="118" t="s">
        <v>674</v>
      </c>
    </row>
    <row r="99" spans="35:35" hidden="1">
      <c r="AI99" s="188" t="s">
        <v>675</v>
      </c>
    </row>
    <row r="100" spans="35:35" hidden="1">
      <c r="AI100" s="118" t="s">
        <v>676</v>
      </c>
    </row>
    <row r="101" spans="35:35" hidden="1">
      <c r="AI101" s="118" t="s">
        <v>677</v>
      </c>
    </row>
    <row r="102" spans="35:35" hidden="1">
      <c r="AI102" s="188" t="s">
        <v>678</v>
      </c>
    </row>
    <row r="103" spans="35:35" hidden="1">
      <c r="AI103" s="188" t="s">
        <v>679</v>
      </c>
    </row>
    <row r="104" spans="35:35" hidden="1">
      <c r="AI104" s="188" t="s">
        <v>680</v>
      </c>
    </row>
    <row r="105" spans="35:35" hidden="1">
      <c r="AI105" s="118" t="s">
        <v>681</v>
      </c>
    </row>
    <row r="106" spans="35:35" hidden="1">
      <c r="AI106" s="118" t="s">
        <v>682</v>
      </c>
    </row>
    <row r="107" spans="35:35" hidden="1">
      <c r="AI107" s="188" t="s">
        <v>683</v>
      </c>
    </row>
    <row r="108" spans="35:35" hidden="1">
      <c r="AI108" s="118" t="s">
        <v>684</v>
      </c>
    </row>
    <row r="109" spans="35:35" hidden="1">
      <c r="AI109" s="118" t="s">
        <v>535</v>
      </c>
    </row>
    <row r="110" spans="35:35" hidden="1">
      <c r="AI110" s="188" t="s">
        <v>685</v>
      </c>
    </row>
    <row r="111" spans="35:35" hidden="1">
      <c r="AI111" s="188" t="s">
        <v>686</v>
      </c>
    </row>
    <row r="112" spans="35:35" hidden="1">
      <c r="AI112" s="188" t="s">
        <v>687</v>
      </c>
    </row>
    <row r="113" spans="35:35" hidden="1">
      <c r="AI113" s="118" t="s">
        <v>688</v>
      </c>
    </row>
    <row r="114" spans="35:35" hidden="1">
      <c r="AI114" s="188" t="s">
        <v>689</v>
      </c>
    </row>
    <row r="115" spans="35:35" hidden="1">
      <c r="AI115" s="118" t="s">
        <v>690</v>
      </c>
    </row>
    <row r="116" spans="35:35" hidden="1">
      <c r="AI116" s="118" t="s">
        <v>691</v>
      </c>
    </row>
    <row r="117" spans="35:35" hidden="1">
      <c r="AI117" s="118" t="s">
        <v>692</v>
      </c>
    </row>
    <row r="118" spans="35:35" hidden="1">
      <c r="AI118" s="118" t="s">
        <v>693</v>
      </c>
    </row>
    <row r="119" spans="35:35" hidden="1">
      <c r="AI119" s="118" t="s">
        <v>694</v>
      </c>
    </row>
    <row r="120" spans="35:35" hidden="1">
      <c r="AI120" s="118" t="s">
        <v>695</v>
      </c>
    </row>
    <row r="121" spans="35:35" hidden="1">
      <c r="AI121" s="118" t="s">
        <v>696</v>
      </c>
    </row>
    <row r="122" spans="35:35" hidden="1">
      <c r="AI122" s="118" t="s">
        <v>697</v>
      </c>
    </row>
    <row r="123" spans="35:35" hidden="1">
      <c r="AI123" s="118" t="s">
        <v>698</v>
      </c>
    </row>
    <row r="124" spans="35:35" hidden="1">
      <c r="AI124" s="188" t="s">
        <v>699</v>
      </c>
    </row>
    <row r="125" spans="35:35" hidden="1">
      <c r="AI125" s="118" t="s">
        <v>700</v>
      </c>
    </row>
    <row r="126" spans="35:35" hidden="1">
      <c r="AI126" s="188" t="s">
        <v>701</v>
      </c>
    </row>
    <row r="127" spans="35:35" hidden="1">
      <c r="AI127" s="188" t="s">
        <v>702</v>
      </c>
    </row>
    <row r="128" spans="35:35" hidden="1">
      <c r="AI128" s="188" t="s">
        <v>703</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44" activePane="bottomLeft" state="frozen"/>
      <selection pane="bottomLeft" activeCell="T67" sqref="T67"/>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704</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705</v>
      </c>
      <c r="D4" s="993" t="str">
        <f>IF(ISBLANK('Start Page'!AB9),"&lt;&lt; Please enter system details on the Start Page &gt;&gt;",'Start Page'!AB9&amp;IF(ISBLANK('Start Page'!AM28),"","  ("&amp;'Start Page'!AM28&amp;")"))</f>
        <v>PAW- Kittanning District 440</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706</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707</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708</v>
      </c>
      <c r="L12" s="1003"/>
      <c r="M12" s="1003"/>
      <c r="N12" s="1003"/>
      <c r="O12" s="1003"/>
      <c r="P12" s="1003"/>
      <c r="Q12" s="1003"/>
      <c r="R12" s="1003"/>
      <c r="S12" s="1003"/>
      <c r="T12" s="1003"/>
      <c r="U12" s="999"/>
      <c r="V12" s="827"/>
      <c r="W12" s="118"/>
      <c r="X12" s="118"/>
      <c r="Y12" s="75" t="s">
        <v>709</v>
      </c>
      <c r="Z12" s="118"/>
      <c r="AA12" s="118"/>
      <c r="AB12" s="206" t="s">
        <v>710</v>
      </c>
      <c r="AC12" s="206" t="s">
        <v>711</v>
      </c>
      <c r="AD12" s="206" t="s">
        <v>712</v>
      </c>
      <c r="AE12" s="206" t="s">
        <v>713</v>
      </c>
      <c r="AF12" s="118"/>
      <c r="AG12" s="118"/>
    </row>
    <row r="13" spans="1:33">
      <c r="A13" s="827"/>
      <c r="B13" s="202"/>
      <c r="C13" s="47" t="s">
        <v>714</v>
      </c>
      <c r="D13" s="407"/>
      <c r="E13" s="407"/>
      <c r="F13" s="832"/>
      <c r="G13" s="832"/>
      <c r="H13" s="832"/>
      <c r="I13" s="832"/>
      <c r="J13" s="832"/>
      <c r="K13" s="701"/>
      <c r="L13" s="832"/>
      <c r="M13" s="832"/>
      <c r="N13" s="806"/>
      <c r="O13" s="205"/>
      <c r="P13" s="493" t="s">
        <v>600</v>
      </c>
      <c r="Q13" s="205"/>
      <c r="R13" s="205"/>
      <c r="S13" s="388"/>
      <c r="T13" s="388"/>
      <c r="U13" s="999"/>
      <c r="V13" s="827"/>
      <c r="W13" s="111" t="s">
        <v>715</v>
      </c>
      <c r="X13" s="833"/>
      <c r="Y13" s="112" t="s">
        <v>716</v>
      </c>
      <c r="Z13" s="113" t="s">
        <v>717</v>
      </c>
      <c r="AA13" s="118" t="s">
        <v>718</v>
      </c>
      <c r="AB13" s="206" t="s">
        <v>719</v>
      </c>
      <c r="AC13" s="206" t="s">
        <v>720</v>
      </c>
      <c r="AD13" s="206" t="s">
        <v>721</v>
      </c>
      <c r="AE13" s="206" t="s">
        <v>721</v>
      </c>
      <c r="AF13" s="118"/>
      <c r="AG13" s="205" t="s">
        <v>722</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723</v>
      </c>
      <c r="D15" s="700" t="s">
        <v>724</v>
      </c>
      <c r="E15" s="463" t="s">
        <v>725</v>
      </c>
      <c r="F15" s="390">
        <f>'Interactive Data Grading'!D20</f>
        <v>10</v>
      </c>
      <c r="G15" s="79"/>
      <c r="H15" s="424">
        <v>111.351</v>
      </c>
      <c r="I15" s="468"/>
      <c r="J15" s="807" t="str">
        <f>IF('Start Page'!$AB$22="million gallons (US)","MG/Yr",IF('Start Page'!$AB$22="Megalitres (thousand cubic metres)","ML/Yr",IF('Start Page'!$AB$22="acre-feet","Acre-ft/Yr","")))</f>
        <v>MG/Yr</v>
      </c>
      <c r="K15" s="703" t="s">
        <v>724</v>
      </c>
      <c r="L15" s="491" t="s">
        <v>725</v>
      </c>
      <c r="M15" s="390">
        <f>'Interactive Data Grading'!D43</f>
        <v>9</v>
      </c>
      <c r="N15" s="807"/>
      <c r="O15" s="386">
        <v>0.01</v>
      </c>
      <c r="P15" s="466" t="s">
        <v>603</v>
      </c>
      <c r="Q15" s="992"/>
      <c r="R15" s="997"/>
      <c r="S15" s="389" t="str">
        <f>IF('Start Page'!$AB$22="million gallons (US)","MG/Yr",IF('Start Page'!$AB$22="Megalitres (thousand cubic metres)","ML/Yr",IF('Start Page'!$AB$22="acre-feet","acre-ft/yr","")))</f>
        <v>MG/Yr</v>
      </c>
      <c r="T15" s="803" t="s">
        <v>726</v>
      </c>
      <c r="U15" s="445" t="s">
        <v>520</v>
      </c>
      <c r="V15" s="827"/>
      <c r="W15" s="383">
        <f>IF(P15="percent",1,2)</f>
        <v>1</v>
      </c>
      <c r="X15" s="836">
        <f>IF(H15&gt;0,IF(W15=1,O15*H15,Q15),0)</f>
        <v>1.11351</v>
      </c>
      <c r="Y15" s="84">
        <f>$Y$19/$Y$18*H15</f>
        <v>34.653465346534652</v>
      </c>
      <c r="Z15" s="114">
        <f>$Y$19/$Y$18*ABS(X15)</f>
        <v>0.34653465346534651</v>
      </c>
      <c r="AA15" s="754">
        <f>IF(W15=1,input_VOS-input_VOS/(1+O15*AB15),Q15*AB15)</f>
        <v>1.1024851485148588</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110.24851485148514</v>
      </c>
    </row>
    <row r="16" spans="1:33">
      <c r="A16" s="827"/>
      <c r="B16" s="448" t="s">
        <v>524</v>
      </c>
      <c r="C16" s="805" t="s">
        <v>727</v>
      </c>
      <c r="D16" s="700" t="s">
        <v>724</v>
      </c>
      <c r="E16" s="463" t="s">
        <v>725</v>
      </c>
      <c r="F16" s="390" t="str">
        <f>'Interactive Data Grading'!D74</f>
        <v>n/a</v>
      </c>
      <c r="G16" s="79"/>
      <c r="H16" s="423">
        <v>0</v>
      </c>
      <c r="I16" s="468"/>
      <c r="J16" s="807" t="str">
        <f>IF('Start Page'!$AB$22="million gallons (US)","MG/Yr",IF('Start Page'!$AB$22="Megalitres (thousand cubic metres)","ML/Yr",IF('Start Page'!$AB$22="acre-feet","Acre-ft/Yr","")))</f>
        <v>MG/Yr</v>
      </c>
      <c r="K16" s="703" t="s">
        <v>724</v>
      </c>
      <c r="L16" s="491" t="s">
        <v>725</v>
      </c>
      <c r="M16" s="390" t="str">
        <f>'Interactive Data Grading'!D96</f>
        <v>n/a</v>
      </c>
      <c r="N16" s="807"/>
      <c r="O16" s="386"/>
      <c r="P16" s="466" t="s">
        <v>603</v>
      </c>
      <c r="Q16" s="992"/>
      <c r="R16" s="997"/>
      <c r="S16" s="389" t="str">
        <f>IF('Start Page'!$AB$22="million gallons (US)","MG/Yr",IF('Start Page'!$AB$22="Megalitres (thousand cubic metres)","ML/Yr",IF('Start Page'!$AB$22="acre-feet","acre-ft/yr","")))</f>
        <v>MG/Yr</v>
      </c>
      <c r="T16" s="803" t="s">
        <v>728</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5" t="s">
        <v>729</v>
      </c>
      <c r="D17" s="700" t="s">
        <v>724</v>
      </c>
      <c r="E17" s="463" t="s">
        <v>725</v>
      </c>
      <c r="F17" s="390" t="str">
        <f>'Interactive Data Grading'!D127</f>
        <v>n/a</v>
      </c>
      <c r="G17" s="79"/>
      <c r="H17" s="254">
        <v>0</v>
      </c>
      <c r="I17" s="468"/>
      <c r="J17" s="807" t="str">
        <f>IF('Start Page'!$AB$22="million gallons (US)","MG/Yr",IF('Start Page'!$AB$22="Megalitres (thousand cubic metres)","ML/Yr",IF('Start Page'!$AB$22="acre-feet","Acre-ft/Yr","")))</f>
        <v>MG/Yr</v>
      </c>
      <c r="K17" s="703" t="s">
        <v>724</v>
      </c>
      <c r="L17" s="491" t="s">
        <v>725</v>
      </c>
      <c r="M17" s="390" t="str">
        <f>'Interactive Data Grading'!D150</f>
        <v>n/a</v>
      </c>
      <c r="N17" s="807"/>
      <c r="O17" s="386"/>
      <c r="P17" s="466" t="s">
        <v>603</v>
      </c>
      <c r="Q17" s="992"/>
      <c r="R17" s="997"/>
      <c r="S17" s="389" t="str">
        <f>IF('Start Page'!$AB$22="million gallons (US)","MG/Yr",IF('Start Page'!$AB$22="Megalitres (thousand cubic metres)","ML/Yr",IF('Start Page'!$AB$22="acre-feet","acre-ft/yr","")))</f>
        <v>MG/Yr</v>
      </c>
      <c r="T17" s="803" t="s">
        <v>728</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730</v>
      </c>
      <c r="U18" s="444"/>
      <c r="V18" s="827"/>
      <c r="W18" s="383"/>
      <c r="X18" s="385"/>
      <c r="Y18" s="84">
        <f>H15+H16+H17+IF(H15&gt;0,ABS(X15),0)+IF(H16&gt;0,ABS(X16),0)+IF(H17&gt;0,(ABS(X17)),)</f>
        <v>112.46451</v>
      </c>
      <c r="Z18" s="115"/>
      <c r="AA18" s="118"/>
      <c r="AB18" s="206"/>
      <c r="AC18" s="206"/>
      <c r="AD18" s="206"/>
      <c r="AE18" s="206"/>
      <c r="AF18" s="205">
        <f>SUM(AF15:AF17)</f>
        <v>0</v>
      </c>
      <c r="AG18" s="118" t="s">
        <v>731</v>
      </c>
    </row>
    <row r="19" spans="1:33" ht="13.5" thickBot="1">
      <c r="A19" s="827"/>
      <c r="B19" s="447"/>
      <c r="C19" s="1033" t="s">
        <v>732</v>
      </c>
      <c r="D19" s="1033"/>
      <c r="E19" s="1033"/>
      <c r="F19" s="1033"/>
      <c r="G19" s="205"/>
      <c r="H19" s="727">
        <f>IF(AF18&gt;0,"Select under/over",IF(H15&gt;0,IF(W15=1,H15/(1+O15*AB15),H15-Q15*AB15),0)+IF(H16&gt;0,IF(W16=1,H16/(1+O16*AB16),H16-Q16*AB16),0)-IF(H17&gt;0,IF(W17=1,H17/(1+O17*AB17),H17-Q17*AB17),0))</f>
        <v>110.24851485148514</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733</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734</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735</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736</v>
      </c>
      <c r="D23" s="700" t="s">
        <v>724</v>
      </c>
      <c r="E23" s="463" t="s">
        <v>725</v>
      </c>
      <c r="F23" s="390">
        <f>'Interactive Data Grading'!D177</f>
        <v>10</v>
      </c>
      <c r="G23" s="79"/>
      <c r="H23" s="254">
        <v>86.188000000000002</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13.946923112487864</v>
      </c>
      <c r="Z23" s="845"/>
      <c r="AA23" s="118" t="s">
        <v>737</v>
      </c>
      <c r="AB23" s="206"/>
      <c r="AC23" s="206"/>
      <c r="AD23" s="206"/>
      <c r="AE23" s="206"/>
      <c r="AF23" s="118"/>
      <c r="AG23" s="118"/>
    </row>
    <row r="24" spans="1:33">
      <c r="A24" s="827"/>
      <c r="B24" s="448" t="s">
        <v>544</v>
      </c>
      <c r="C24" s="805" t="s">
        <v>738</v>
      </c>
      <c r="D24" s="700" t="s">
        <v>724</v>
      </c>
      <c r="E24" s="463" t="s">
        <v>725</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5.3076887512136489E-2</v>
      </c>
      <c r="Z24" s="835"/>
      <c r="AA24" s="118"/>
      <c r="AB24" s="206"/>
      <c r="AC24" s="206"/>
      <c r="AD24" s="206"/>
      <c r="AE24" s="206"/>
      <c r="AF24" s="118"/>
      <c r="AG24" s="118"/>
    </row>
    <row r="25" spans="1:33" ht="13.35" customHeight="1">
      <c r="A25" s="827"/>
      <c r="B25" s="448" t="s">
        <v>546</v>
      </c>
      <c r="C25" s="805" t="s">
        <v>739</v>
      </c>
      <c r="D25" s="700" t="s">
        <v>724</v>
      </c>
      <c r="E25" s="463" t="s">
        <v>725</v>
      </c>
      <c r="F25" s="390">
        <f>'Interactive Data Grading'!D224</f>
        <v>10</v>
      </c>
      <c r="G25" s="79"/>
      <c r="H25" s="395">
        <v>0.32800000000000001</v>
      </c>
      <c r="I25" s="468"/>
      <c r="J25" s="807" t="str">
        <f>IF('Start Page'!$AB$22="million gallons (US)","MG/Yr",IF('Start Page'!$AB$22="Megalitres (thousand cubic metres)","ML/Yr",IF('Start Page'!$AB$22="acre-feet","Acre-ft/Yr","")))</f>
        <v>MG/Yr</v>
      </c>
      <c r="K25" s="807"/>
      <c r="L25" s="807"/>
      <c r="M25" s="807"/>
      <c r="N25" s="807"/>
      <c r="O25" s="205"/>
      <c r="P25" s="810" t="s">
        <v>600</v>
      </c>
      <c r="Q25" s="205"/>
      <c r="R25" s="118"/>
      <c r="S25" s="118"/>
      <c r="T25" s="118"/>
      <c r="U25" s="199"/>
      <c r="V25" s="827"/>
      <c r="W25" s="383"/>
      <c r="X25" s="118"/>
      <c r="Y25" s="754">
        <f>H23+H25</f>
        <v>86.516000000000005</v>
      </c>
      <c r="Z25" s="835"/>
      <c r="AA25" s="118"/>
      <c r="AB25" s="206"/>
      <c r="AC25" s="206"/>
      <c r="AD25" s="206"/>
      <c r="AE25" s="206"/>
      <c r="AF25" s="439" t="s">
        <v>740</v>
      </c>
      <c r="AG25" s="118"/>
    </row>
    <row r="26" spans="1:33" ht="15" customHeight="1" thickBot="1">
      <c r="A26" s="827"/>
      <c r="B26" s="448" t="s">
        <v>550</v>
      </c>
      <c r="C26" s="805" t="s">
        <v>741</v>
      </c>
      <c r="D26" s="700" t="s">
        <v>724</v>
      </c>
      <c r="E26" s="463" t="s">
        <v>725</v>
      </c>
      <c r="F26" s="390">
        <f>'Interactive Data Grading'!D247</f>
        <v>10</v>
      </c>
      <c r="G26" s="79"/>
      <c r="H26" s="727">
        <f>IF(OR(W26=1,AND(W26=2,Q26=0)),O26*SUM(H23:H24),Q26)</f>
        <v>8.6769999999999996</v>
      </c>
      <c r="I26" s="468"/>
      <c r="J26" s="807" t="str">
        <f>IF('Start Page'!$AB$22="million gallons (US)","MG/Yr",IF('Start Page'!$AB$22="Megalitres (thousand cubic metres)","ML/Yr",IF('Start Page'!$AB$22="acre-feet","Acre-ft/Yr","")))</f>
        <v>MG/Yr</v>
      </c>
      <c r="K26" s="807"/>
      <c r="L26" s="807"/>
      <c r="M26" s="807"/>
      <c r="N26" s="807"/>
      <c r="O26" s="391">
        <v>2.5000000000000001E-3</v>
      </c>
      <c r="P26" s="524" t="s">
        <v>615</v>
      </c>
      <c r="Q26" s="992">
        <v>8.6769999999999996</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733</v>
      </c>
      <c r="AA26" s="118" t="s">
        <v>742</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743</v>
      </c>
      <c r="D30" s="1010"/>
      <c r="E30" s="1010"/>
      <c r="F30" s="1010"/>
      <c r="G30" s="205"/>
      <c r="H30" s="727">
        <f>SUM(H23:H26)</f>
        <v>95.193000000000012</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744</v>
      </c>
      <c r="D35" s="47"/>
      <c r="E35" s="405"/>
      <c r="F35" s="213"/>
      <c r="G35" s="47"/>
      <c r="H35" s="727">
        <f>IFERROR(H19-H30,"")</f>
        <v>15.055514851485128</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745</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0" t="s">
        <v>600</v>
      </c>
      <c r="Q38" s="468"/>
      <c r="R38" s="118"/>
      <c r="S38" s="118"/>
      <c r="T38" s="387"/>
      <c r="U38" s="199"/>
      <c r="V38" s="827"/>
      <c r="W38" s="385"/>
      <c r="X38" s="118"/>
      <c r="Y38" s="118"/>
      <c r="Z38" s="118"/>
      <c r="AA38" s="118"/>
      <c r="AB38" s="206"/>
      <c r="AC38" s="206"/>
    </row>
    <row r="39" spans="1:29" ht="13.35" customHeight="1">
      <c r="A39" s="827"/>
      <c r="B39" s="448" t="s">
        <v>554</v>
      </c>
      <c r="C39" s="805" t="s">
        <v>746</v>
      </c>
      <c r="D39" s="700" t="s">
        <v>724</v>
      </c>
      <c r="E39" s="463" t="s">
        <v>725</v>
      </c>
      <c r="F39" s="390">
        <f>'Interactive Data Grading'!D271</f>
        <v>3</v>
      </c>
      <c r="G39" s="152"/>
      <c r="H39" s="847">
        <f>IF(OR(W39=1,AND(W39=2,Q39=0)),O39*SUM(H23:H24),Q39)</f>
        <v>0.21547000000000002</v>
      </c>
      <c r="I39" s="728"/>
      <c r="J39" s="807" t="str">
        <f>IF('Start Page'!$AB$22="million gallons (US)","MG/Yr",IF('Start Page'!$AB$22="Megalitres (thousand cubic metres)","ML/Yr",IF('Start Page'!$AB$22="acre-feet","Acre-ft/Yr","")))</f>
        <v>MG/Yr</v>
      </c>
      <c r="K39" s="807"/>
      <c r="L39" s="807"/>
      <c r="M39" s="807"/>
      <c r="N39" s="807"/>
      <c r="O39" s="391">
        <v>2.5000000000000001E-3</v>
      </c>
      <c r="P39" s="467" t="s">
        <v>612</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747</v>
      </c>
      <c r="D41" s="700" t="s">
        <v>724</v>
      </c>
      <c r="E41" s="463" t="s">
        <v>725</v>
      </c>
      <c r="F41" s="390">
        <f>'Interactive Data Grading'!D300</f>
        <v>7</v>
      </c>
      <c r="G41" s="152"/>
      <c r="H41" s="848">
        <f>IF(OR(T41="Select…..",T41=""),"Select under/over",IF(W41=1,((H23+H25)/(1-(O41*X41)))-(H23+H25),Q41*X41))</f>
        <v>1.7656326530612318</v>
      </c>
      <c r="I41" s="728"/>
      <c r="J41" s="807" t="str">
        <f>IF('Start Page'!$AB$22="million gallons (US)","MG/Yr",IF('Start Page'!$AB$22="Megalitres (thousand cubic metres)","ML/Yr",IF('Start Page'!$AB$22="acre-feet","Acre-ft/Yr","")))</f>
        <v>MG/Yr</v>
      </c>
      <c r="K41" s="807"/>
      <c r="L41" s="807"/>
      <c r="M41" s="807"/>
      <c r="N41" s="807"/>
      <c r="O41" s="422">
        <v>0.02</v>
      </c>
      <c r="P41" s="467" t="s">
        <v>603</v>
      </c>
      <c r="Q41" s="992"/>
      <c r="R41" s="992"/>
      <c r="S41" s="389" t="str">
        <f>IF('Start Page'!$AB$22="million gallons (US)","MG/Yr",IF('Start Page'!$AB$22="Megalitres (thousand cubic metres)","ML/Yr",IF('Start Page'!$AB$22="acre-feet","acre-ft/yr","")))</f>
        <v>MG/Yr</v>
      </c>
      <c r="T41" s="492" t="s">
        <v>748</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749</v>
      </c>
      <c r="D43" s="700" t="s">
        <v>724</v>
      </c>
      <c r="E43" s="463" t="s">
        <v>725</v>
      </c>
      <c r="F43" s="390">
        <f>'Interactive Data Grading'!D322</f>
        <v>3</v>
      </c>
      <c r="G43" s="152"/>
      <c r="H43" s="727">
        <f>IF(OR(W43=1,AND(W43=2,Q43=0)),O43*SUM(H23:H24),Q43)</f>
        <v>0.21547000000000002</v>
      </c>
      <c r="I43" s="728"/>
      <c r="J43" s="807" t="str">
        <f>IF('Start Page'!$AB$22="million gallons (US)","MG/Yr",IF('Start Page'!$AB$22="Megalitres (thousand cubic metres)","ML/Yr",IF('Start Page'!$AB$22="acre-feet","Acre-ft/Yr","")))</f>
        <v>MG/Yr</v>
      </c>
      <c r="K43" s="807"/>
      <c r="L43" s="807"/>
      <c r="M43" s="807"/>
      <c r="N43" s="807"/>
      <c r="O43" s="391">
        <v>2.5000000000000001E-3</v>
      </c>
      <c r="P43" s="467" t="s">
        <v>612</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750</v>
      </c>
      <c r="D46" s="1009"/>
      <c r="E46" s="1009"/>
      <c r="F46" s="1009"/>
      <c r="G46" s="164"/>
      <c r="H46" s="727">
        <f t="array" ref="H46">SUM(IF(ISNUMBER(H39:H43),H39:H43))</f>
        <v>2.196572653061232</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751</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752</v>
      </c>
      <c r="Y48" s="106" t="s">
        <v>753</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754</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1.7589387755102024</v>
      </c>
      <c r="Y50" s="854">
        <f>IFERROR(IF(W41=1,((H25)/(1-(O41*X41)))-(H25),Q41*H25/(H23+H25)),0)</f>
        <v>6.6938775510204107E-3</v>
      </c>
      <c r="Z50" s="855">
        <f>SUM(X50:Y50)</f>
        <v>1.7656326530612227</v>
      </c>
      <c r="AA50" s="1029"/>
      <c r="AB50" s="1029"/>
      <c r="AC50" s="1029"/>
    </row>
    <row r="51" spans="1:29">
      <c r="A51" s="827"/>
      <c r="B51" s="448"/>
      <c r="C51" s="1009" t="s">
        <v>755</v>
      </c>
      <c r="D51" s="1009"/>
      <c r="E51" s="1009"/>
      <c r="F51" s="1009"/>
      <c r="G51" s="728"/>
      <c r="H51" s="727">
        <f>IFERROR(H35-H46,"")</f>
        <v>12.858942198423897</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24396.480816326504</v>
      </c>
      <c r="Y51" s="856">
        <f>Y50*input_VPC</f>
        <v>14.759598367346944</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756</v>
      </c>
      <c r="D53" s="1010"/>
      <c r="E53" s="1010"/>
      <c r="F53" s="1010"/>
      <c r="G53" s="468"/>
      <c r="H53" s="727">
        <f>IFERROR(H46+H51,"")</f>
        <v>15.055514851485128</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757</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758</v>
      </c>
      <c r="D57" s="1010"/>
      <c r="E57" s="1010"/>
      <c r="F57" s="1010"/>
      <c r="G57" s="728"/>
      <c r="H57" s="727">
        <f>IFERROR(H35+H25+H26,"")</f>
        <v>24.060514851485127</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759</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760</v>
      </c>
      <c r="D61" s="700" t="s">
        <v>724</v>
      </c>
      <c r="E61" s="463" t="s">
        <v>725</v>
      </c>
      <c r="F61" s="390">
        <f>'Interactive Data Grading'!D350</f>
        <v>10</v>
      </c>
      <c r="G61" s="47"/>
      <c r="H61" s="256">
        <v>21.5</v>
      </c>
      <c r="I61" s="227"/>
      <c r="J61" s="228" t="str">
        <f>IF(ISBLANK('Start Page'!$AB$22),"",IF('Start Page'!$AB$22="Megalitres (thousand cubic metres)","kilometers","miles"))</f>
        <v>miles</v>
      </c>
      <c r="K61" s="228"/>
      <c r="L61" s="228"/>
      <c r="M61" s="228" t="s">
        <v>761</v>
      </c>
      <c r="N61" s="228"/>
      <c r="O61" s="118"/>
      <c r="P61" s="118"/>
      <c r="Q61" s="118"/>
      <c r="R61" s="118"/>
      <c r="S61" s="118"/>
      <c r="T61" s="118"/>
      <c r="U61" s="199"/>
      <c r="V61" s="827"/>
      <c r="W61" s="118"/>
      <c r="X61" s="118"/>
      <c r="Y61" s="118"/>
      <c r="Z61" s="118"/>
      <c r="AA61" s="118"/>
      <c r="AB61" s="206"/>
      <c r="AC61" s="206"/>
    </row>
    <row r="62" spans="1:29">
      <c r="A62" s="827"/>
      <c r="B62" s="448" t="s">
        <v>567</v>
      </c>
      <c r="C62" s="805" t="s">
        <v>762</v>
      </c>
      <c r="D62" s="700" t="s">
        <v>724</v>
      </c>
      <c r="E62" s="463" t="s">
        <v>725</v>
      </c>
      <c r="F62" s="390">
        <f>'Interactive Data Grading'!D374</f>
        <v>10</v>
      </c>
      <c r="G62" s="47"/>
      <c r="H62" s="396">
        <v>2034</v>
      </c>
      <c r="I62" s="227"/>
      <c r="J62" s="228"/>
      <c r="K62" s="789"/>
      <c r="L62" s="789"/>
      <c r="M62" s="228" t="s">
        <v>763</v>
      </c>
      <c r="N62" s="789"/>
      <c r="O62" s="118"/>
      <c r="P62" s="118"/>
      <c r="Q62" s="118"/>
      <c r="R62" s="118"/>
      <c r="S62" s="118"/>
      <c r="T62" s="118"/>
      <c r="U62" s="199"/>
      <c r="V62" s="827"/>
      <c r="W62" s="118"/>
      <c r="X62" s="118"/>
      <c r="Y62" s="118"/>
      <c r="Z62" s="118"/>
      <c r="AA62" s="118"/>
      <c r="AB62" s="206"/>
      <c r="AC62" s="206"/>
    </row>
    <row r="63" spans="1:29">
      <c r="A63" s="827"/>
      <c r="B63" s="448"/>
      <c r="C63" s="805" t="s">
        <v>764</v>
      </c>
      <c r="D63" s="47"/>
      <c r="E63" s="405"/>
      <c r="F63" s="210"/>
      <c r="G63" s="47"/>
      <c r="H63" s="858">
        <f>IF(ISERROR(H62/H61),"",H62/H61)</f>
        <v>94.604651162790702</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765</v>
      </c>
      <c r="D65" s="987"/>
      <c r="E65" s="987"/>
      <c r="F65" s="987"/>
      <c r="G65" s="210"/>
      <c r="H65" s="257" t="s">
        <v>49</v>
      </c>
      <c r="I65" s="118"/>
      <c r="J65" s="228"/>
      <c r="K65" s="228"/>
      <c r="L65" s="228"/>
      <c r="M65" s="229"/>
      <c r="N65" s="228"/>
      <c r="O65" s="118"/>
      <c r="P65" s="118"/>
      <c r="Q65" s="118"/>
      <c r="R65" s="118"/>
      <c r="S65" s="118"/>
      <c r="T65" s="118"/>
      <c r="U65" s="199"/>
      <c r="V65" s="827"/>
      <c r="W65" s="859">
        <f>IF(H65="Yes",1,0)</f>
        <v>0</v>
      </c>
      <c r="X65" s="171" t="s">
        <v>766</v>
      </c>
      <c r="Y65" s="171"/>
      <c r="Z65" s="171"/>
    </row>
    <row r="66" spans="1:26" ht="13.5" customHeight="1">
      <c r="A66" s="827"/>
      <c r="B66" s="448" t="s">
        <v>573</v>
      </c>
      <c r="C66" s="805" t="s">
        <v>767</v>
      </c>
      <c r="D66" s="700" t="s">
        <v>724</v>
      </c>
      <c r="E66" s="463" t="s">
        <v>725</v>
      </c>
      <c r="F66" s="390">
        <f>'Interactive Data Grading'!D398</f>
        <v>10</v>
      </c>
      <c r="G66" s="47"/>
      <c r="H66" s="256">
        <v>15.5</v>
      </c>
      <c r="I66" s="47"/>
      <c r="J66" s="228" t="str">
        <f>IF(ISBLANK('Start Page'!$AB$22),"",IF('Start Page'!AB22="Megalitres (thousand cubic metres)","metres","ft"))</f>
        <v>ft</v>
      </c>
      <c r="K66" s="228"/>
      <c r="L66" s="228"/>
      <c r="M66" s="228" t="s">
        <v>768</v>
      </c>
      <c r="N66" s="228"/>
      <c r="O66" s="230"/>
      <c r="P66" s="230"/>
      <c r="Q66" s="230"/>
      <c r="R66" s="230"/>
      <c r="S66" s="230"/>
      <c r="T66" s="230"/>
      <c r="U66" s="199"/>
      <c r="V66" s="827"/>
      <c r="W66" s="859">
        <f>IF(H65="Yes",10,F66)</f>
        <v>10</v>
      </c>
      <c r="X66" s="171" t="s">
        <v>769</v>
      </c>
      <c r="Y66" s="171"/>
      <c r="Z66" s="171"/>
    </row>
    <row r="67" spans="1:26" ht="14.45" customHeight="1">
      <c r="A67" s="827"/>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7"/>
      <c r="W67" s="859">
        <f>IF(H65="Yes",0,H66)</f>
        <v>15.5</v>
      </c>
      <c r="X67" s="171" t="s">
        <v>770</v>
      </c>
      <c r="Y67" s="171"/>
      <c r="Z67" s="171"/>
    </row>
    <row r="68" spans="1:26">
      <c r="A68" s="827"/>
      <c r="B68" s="448" t="s">
        <v>577</v>
      </c>
      <c r="C68" s="805" t="s">
        <v>771</v>
      </c>
      <c r="D68" s="700" t="s">
        <v>724</v>
      </c>
      <c r="E68" s="463" t="s">
        <v>725</v>
      </c>
      <c r="F68" s="390">
        <f>'Interactive Data Grading'!D422</f>
        <v>10</v>
      </c>
      <c r="G68" s="47"/>
      <c r="H68" s="256">
        <v>87.6</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772</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773</v>
      </c>
      <c r="D75" s="152"/>
      <c r="E75" s="410"/>
      <c r="F75" s="208" t="e">
        <f>'Interactive Data Grading'!#REF!</f>
        <v>#REF!</v>
      </c>
      <c r="G75" s="118"/>
      <c r="H75" s="863">
        <v>1000000</v>
      </c>
      <c r="I75" s="118"/>
      <c r="J75" s="228" t="s">
        <v>774</v>
      </c>
      <c r="K75" s="228"/>
      <c r="L75" s="228"/>
      <c r="M75" s="228"/>
      <c r="N75" s="118"/>
      <c r="O75" s="118"/>
      <c r="P75" s="118"/>
      <c r="Q75" s="118"/>
      <c r="R75" s="118"/>
      <c r="S75" s="118"/>
      <c r="T75" s="118"/>
      <c r="U75" s="199"/>
      <c r="V75" s="827"/>
      <c r="W75" s="118"/>
      <c r="X75" s="118"/>
      <c r="Y75" s="118"/>
      <c r="Z75" s="118"/>
    </row>
    <row r="76" spans="1:26" ht="14.25" customHeight="1">
      <c r="A76" s="827"/>
      <c r="B76" s="448" t="s">
        <v>580</v>
      </c>
      <c r="C76" s="805" t="s">
        <v>775</v>
      </c>
      <c r="D76" s="700" t="s">
        <v>724</v>
      </c>
      <c r="E76" s="425" t="s">
        <v>725</v>
      </c>
      <c r="F76" s="390">
        <f>'Interactive Data Grading'!D446</f>
        <v>10</v>
      </c>
      <c r="G76" s="118"/>
      <c r="H76" s="864">
        <v>13.87</v>
      </c>
      <c r="I76" s="118"/>
      <c r="J76" s="1017" t="s">
        <v>776</v>
      </c>
      <c r="K76" s="1018"/>
      <c r="L76" s="1018"/>
      <c r="M76" s="1019"/>
      <c r="N76" s="118"/>
      <c r="O76" s="1020" t="str">
        <f>IF(AND(NOT(ISBLANK(H76)),ISBLANK(J76)),"&lt;----Enter units","")</f>
        <v/>
      </c>
      <c r="P76" s="1020"/>
      <c r="Q76" s="1024" t="s">
        <v>777</v>
      </c>
      <c r="R76" s="1024"/>
      <c r="S76" s="1024"/>
      <c r="T76" s="118"/>
      <c r="U76" s="199"/>
      <c r="V76" s="827"/>
      <c r="W76" s="118"/>
      <c r="X76" s="118"/>
      <c r="Y76" s="118"/>
      <c r="Z76" s="118"/>
    </row>
    <row r="77" spans="1:26" ht="13.5" customHeight="1">
      <c r="A77" s="827"/>
      <c r="B77" s="448" t="s">
        <v>584</v>
      </c>
      <c r="C77" s="805" t="s">
        <v>778</v>
      </c>
      <c r="D77" s="700" t="s">
        <v>724</v>
      </c>
      <c r="E77" s="463" t="s">
        <v>725</v>
      </c>
      <c r="F77" s="390">
        <f>'Interactive Data Grading'!D469</f>
        <v>10</v>
      </c>
      <c r="G77" s="118"/>
      <c r="H77" s="864">
        <v>2204.94</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693323</v>
      </c>
      <c r="R77" s="1022"/>
      <c r="S77" s="1023"/>
      <c r="T77" s="195" t="s">
        <v>779</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780</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15"/>
      <c r="E84" s="1015"/>
      <c r="F84" s="1015"/>
      <c r="G84" s="1015"/>
      <c r="H84" s="1015"/>
      <c r="I84" s="1015"/>
      <c r="J84" s="1015"/>
      <c r="K84" s="1015"/>
      <c r="L84" s="1015"/>
      <c r="M84" s="1015"/>
      <c r="N84" s="1015"/>
      <c r="O84" s="1015"/>
      <c r="P84" s="1015"/>
      <c r="Q84" s="1015"/>
      <c r="R84" s="1016"/>
      <c r="S84" s="704" t="s">
        <v>781</v>
      </c>
      <c r="T84" s="239"/>
      <c r="U84" s="240"/>
      <c r="V84" s="81"/>
      <c r="W84" s="55">
        <f>'M36 Refs'!AN118</f>
        <v>0</v>
      </c>
      <c r="X84" s="49" t="str">
        <f>Dashboard!BR4</f>
        <v>Tier V (91-100)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782</v>
      </c>
      <c r="D87" s="742"/>
      <c r="E87" s="742"/>
      <c r="F87" s="470"/>
      <c r="G87" s="470"/>
      <c r="H87" s="470"/>
      <c r="I87" s="470"/>
      <c r="J87" s="470"/>
      <c r="K87" s="470"/>
      <c r="L87" s="499" t="s">
        <v>783</v>
      </c>
      <c r="N87" s="470"/>
      <c r="O87" s="118"/>
      <c r="P87" s="456"/>
      <c r="Q87" s="456"/>
      <c r="R87" s="456"/>
      <c r="S87" s="245"/>
      <c r="T87" s="245"/>
      <c r="U87" s="240"/>
      <c r="V87" s="82"/>
      <c r="AB87" s="49"/>
      <c r="AC87" s="49"/>
      <c r="AD87" s="49"/>
      <c r="AE87" s="49"/>
    </row>
    <row r="88" spans="1:31" s="46" customFormat="1" ht="19.5" customHeight="1">
      <c r="A88" s="82"/>
      <c r="B88" s="449"/>
      <c r="C88" s="717" t="s">
        <v>784</v>
      </c>
      <c r="D88" s="246"/>
      <c r="E88" s="246"/>
      <c r="F88" s="246"/>
      <c r="G88" s="246"/>
      <c r="H88" s="246"/>
      <c r="I88" s="246"/>
      <c r="J88" s="246"/>
      <c r="K88" s="246"/>
      <c r="L88" s="717" t="s">
        <v>785</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786</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787</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788</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789</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790</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E246" sqref="E246"/>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Kittanning District 440</v>
      </c>
      <c r="C1" s="495"/>
      <c r="D1" s="496"/>
      <c r="E1" s="750" t="s">
        <v>791</v>
      </c>
    </row>
    <row r="2" spans="1:20" ht="30.6" customHeight="1">
      <c r="A2" s="367"/>
      <c r="B2" s="749">
        <f>IF(ISBLANK('Start Page'!AB18),"",'Start Page'!AB18)</f>
        <v>2023</v>
      </c>
      <c r="C2" s="367"/>
      <c r="D2" s="367"/>
      <c r="E2" s="1034" t="s">
        <v>792</v>
      </c>
    </row>
    <row r="3" spans="1:20" ht="38.25" customHeight="1">
      <c r="A3" s="367"/>
      <c r="B3" s="706"/>
      <c r="C3" s="367"/>
      <c r="D3" s="367"/>
      <c r="E3" s="1035"/>
    </row>
    <row r="4" spans="1:20" ht="1.35" customHeight="1"/>
    <row r="5" spans="1:20" s="368" customFormat="1" ht="16.350000000000001" customHeight="1">
      <c r="A5" s="1045" t="s">
        <v>793</v>
      </c>
      <c r="B5" s="1046"/>
      <c r="C5" s="1036" t="s">
        <v>794</v>
      </c>
      <c r="D5" s="1036"/>
      <c r="E5" s="750" t="s">
        <v>795</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796</v>
      </c>
      <c r="T6" s="162" t="s">
        <v>797</v>
      </c>
    </row>
    <row r="7" spans="1:20" s="462" customFormat="1" ht="12">
      <c r="A7" s="458"/>
      <c r="B7" s="459" t="s">
        <v>798</v>
      </c>
      <c r="C7" s="460" t="s">
        <v>799</v>
      </c>
      <c r="D7" s="460" t="s">
        <v>800</v>
      </c>
      <c r="E7" s="628"/>
      <c r="F7" s="461"/>
      <c r="G7" s="674"/>
      <c r="H7" s="675" t="s">
        <v>801</v>
      </c>
      <c r="I7" s="675" t="s">
        <v>802</v>
      </c>
      <c r="J7" s="674" t="s">
        <v>803</v>
      </c>
      <c r="K7" s="674"/>
      <c r="L7" s="674"/>
      <c r="M7" s="674"/>
      <c r="N7" s="674"/>
      <c r="O7" s="674"/>
      <c r="P7" s="693" t="str">
        <f>VOS!C23</f>
        <v>&lt;25%</v>
      </c>
      <c r="Q7" s="694">
        <v>0</v>
      </c>
      <c r="R7" s="674">
        <f>VLOOKUP(D9,$P$7:$Q$15,2,FALSE)</f>
        <v>1</v>
      </c>
      <c r="S7" s="462" t="s">
        <v>517</v>
      </c>
      <c r="T7" s="462">
        <v>1</v>
      </c>
    </row>
    <row r="8" spans="1:20" ht="20.100000000000001" customHeight="1">
      <c r="A8" s="163"/>
      <c r="B8" s="441" t="s">
        <v>804</v>
      </c>
      <c r="C8" s="743" t="str">
        <f>VOS!B34</f>
        <v>Did the water utility supply any water from its own sources during the audit year?</v>
      </c>
      <c r="D8" s="264" t="s">
        <v>62</v>
      </c>
      <c r="E8" s="628"/>
      <c r="F8" s="258"/>
      <c r="I8" s="676"/>
      <c r="J8" s="669" t="s">
        <v>805</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0" t="s">
        <v>806</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807</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808</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809</v>
      </c>
      <c r="D20" s="631">
        <f>IF(D8="","",IF(D8="No","n/a",IF(G20=0,"",IF(R7=0,H9,I20))))</f>
        <v>10</v>
      </c>
      <c r="E20" s="628"/>
      <c r="F20" s="258"/>
      <c r="G20" s="670">
        <f>MIN(G9:G19)</f>
        <v>1</v>
      </c>
      <c r="H20" s="680">
        <f>MIN(H9:H19)</f>
        <v>10</v>
      </c>
      <c r="I20" s="680">
        <f t="array" ref="I20">MIN(IF(ISNUMBER(I9:I19),I9:I19))</f>
        <v>10</v>
      </c>
      <c r="J20" s="670" t="s">
        <v>810</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793</v>
      </c>
      <c r="B36" s="1046"/>
      <c r="C36" s="1036" t="s">
        <v>811</v>
      </c>
      <c r="D36" s="1036"/>
      <c r="E36" s="750" t="s">
        <v>795</v>
      </c>
      <c r="G36" s="681"/>
      <c r="H36" s="681" t="s">
        <v>812</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813</v>
      </c>
      <c r="C38" s="460" t="s">
        <v>799</v>
      </c>
      <c r="D38" s="460" t="s">
        <v>800</v>
      </c>
      <c r="E38" s="628"/>
      <c r="F38" s="461"/>
      <c r="G38" s="674"/>
      <c r="H38" s="675" t="s">
        <v>801</v>
      </c>
      <c r="I38" s="675"/>
      <c r="J38" s="674" t="s">
        <v>803</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49</v>
      </c>
      <c r="E41" s="628" t="str">
        <f t="shared" si="3"/>
        <v>Limiting</v>
      </c>
      <c r="F41" s="258"/>
      <c r="G41" s="683">
        <f t="shared" ref="G41:G42" si="4">IF(LEN(D41)&gt;0,1,0)</f>
        <v>1</v>
      </c>
      <c r="H41" s="677">
        <f>VLOOKUP('Interactive Data Grading'!D41,VOSEA!$E$6:$G$18,3,FALSE)</f>
        <v>9</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809</v>
      </c>
      <c r="D43" s="631">
        <f>IFERROR(IF(D8="No","n/a",IF(G43=0,"",H43)),"")</f>
        <v>9</v>
      </c>
      <c r="E43" s="628"/>
      <c r="F43" s="258"/>
      <c r="G43" s="683">
        <f>MIN(G39:G42)</f>
        <v>1</v>
      </c>
      <c r="H43" s="680">
        <f t="array" ref="H43">MIN(IF(ISNUMBER(H39:H42),H39:H42))</f>
        <v>9</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793</v>
      </c>
      <c r="B59" s="1046"/>
      <c r="C59" s="1036" t="s">
        <v>814</v>
      </c>
      <c r="D59" s="1036"/>
      <c r="E59" s="750" t="s">
        <v>795</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815</v>
      </c>
      <c r="C61" s="460" t="s">
        <v>799</v>
      </c>
      <c r="D61" s="460" t="s">
        <v>800</v>
      </c>
      <c r="E61" s="628"/>
      <c r="F61" s="461"/>
      <c r="G61" s="674"/>
      <c r="H61" s="675" t="s">
        <v>801</v>
      </c>
      <c r="I61" s="675" t="s">
        <v>802</v>
      </c>
      <c r="J61" s="674" t="s">
        <v>803</v>
      </c>
      <c r="K61" s="674"/>
      <c r="L61" s="674"/>
      <c r="M61" s="674"/>
      <c r="N61" s="674"/>
      <c r="O61" s="674"/>
      <c r="P61" s="674"/>
      <c r="Q61" s="674"/>
      <c r="R61" s="674"/>
    </row>
    <row r="62" spans="1:18" ht="18" customHeight="1">
      <c r="A62" s="163"/>
      <c r="B62" s="441" t="s">
        <v>816</v>
      </c>
      <c r="C62" s="743" t="str">
        <f>WI!B34</f>
        <v>Did the water utility import any water during the audit year?</v>
      </c>
      <c r="D62" s="264" t="s">
        <v>49</v>
      </c>
      <c r="E62" s="628"/>
      <c r="F62" s="258"/>
      <c r="I62" s="676"/>
      <c r="J62" s="669" t="s">
        <v>805</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2" t="s">
        <v>817</v>
      </c>
      <c r="D64" s="1043"/>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818</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819</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809</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793</v>
      </c>
      <c r="B89" s="1046"/>
      <c r="C89" s="1036" t="s">
        <v>820</v>
      </c>
      <c r="D89" s="1036"/>
      <c r="E89" s="750" t="s">
        <v>795</v>
      </c>
      <c r="G89" s="681"/>
      <c r="H89" s="681" t="s">
        <v>821</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822</v>
      </c>
      <c r="C91" s="460" t="s">
        <v>799</v>
      </c>
      <c r="D91" s="460" t="s">
        <v>800</v>
      </c>
      <c r="E91" s="628"/>
      <c r="F91" s="461"/>
      <c r="G91" s="674"/>
      <c r="H91" s="675" t="s">
        <v>801</v>
      </c>
      <c r="I91" s="675"/>
      <c r="J91" s="674" t="s">
        <v>803</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809</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793</v>
      </c>
      <c r="B112" s="1046"/>
      <c r="C112" s="1036" t="s">
        <v>823</v>
      </c>
      <c r="D112" s="1036"/>
      <c r="E112" s="750" t="s">
        <v>795</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
      </c>
      <c r="D113" s="1044"/>
      <c r="E113" s="629"/>
      <c r="F113" s="258"/>
      <c r="H113" s="673"/>
      <c r="I113" s="673"/>
    </row>
    <row r="114" spans="1:18" s="462" customFormat="1" ht="12">
      <c r="A114" s="458"/>
      <c r="B114" s="459" t="s">
        <v>824</v>
      </c>
      <c r="C114" s="460" t="s">
        <v>799</v>
      </c>
      <c r="D114" s="460" t="s">
        <v>800</v>
      </c>
      <c r="E114" s="628"/>
      <c r="F114" s="461"/>
      <c r="G114" s="674"/>
      <c r="H114" s="675" t="s">
        <v>801</v>
      </c>
      <c r="I114" s="675" t="s">
        <v>802</v>
      </c>
      <c r="J114" s="674" t="s">
        <v>803</v>
      </c>
      <c r="K114" s="674"/>
      <c r="L114" s="674"/>
      <c r="M114" s="674"/>
      <c r="N114" s="674"/>
      <c r="O114" s="674"/>
      <c r="P114" s="674"/>
      <c r="Q114" s="674"/>
      <c r="R114" s="674"/>
    </row>
    <row r="115" spans="1:18" ht="18" customHeight="1">
      <c r="A115" s="163"/>
      <c r="B115" s="163" t="s">
        <v>825</v>
      </c>
      <c r="C115" s="743" t="str">
        <f>WE!B34</f>
        <v>Did the water utility export any water during the audit year?</v>
      </c>
      <c r="D115" s="264" t="s">
        <v>49</v>
      </c>
      <c r="E115" s="628"/>
      <c r="F115" s="258"/>
      <c r="H115" s="669" t="s">
        <v>826</v>
      </c>
      <c r="I115" s="676"/>
      <c r="J115" s="669" t="s">
        <v>805</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42" t="s">
        <v>827</v>
      </c>
      <c r="D117" s="1043"/>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828</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829</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830</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809</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793</v>
      </c>
      <c r="B143" s="1046"/>
      <c r="C143" s="1036" t="s">
        <v>831</v>
      </c>
      <c r="D143" s="1036"/>
      <c r="E143" s="750" t="s">
        <v>795</v>
      </c>
      <c r="G143" s="681"/>
      <c r="H143" s="681" t="s">
        <v>826</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832</v>
      </c>
      <c r="C145" s="460" t="s">
        <v>799</v>
      </c>
      <c r="D145" s="460" t="s">
        <v>800</v>
      </c>
      <c r="E145" s="628"/>
      <c r="F145" s="461"/>
      <c r="G145" s="674"/>
      <c r="H145" s="675" t="s">
        <v>801</v>
      </c>
      <c r="I145" s="675"/>
      <c r="J145" s="674" t="s">
        <v>803</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809</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793</v>
      </c>
      <c r="B166" s="1046"/>
      <c r="C166" s="1036" t="s">
        <v>833</v>
      </c>
      <c r="D166" s="1036"/>
      <c r="E166" s="750" t="s">
        <v>795</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834</v>
      </c>
      <c r="C168" s="460" t="s">
        <v>799</v>
      </c>
      <c r="D168" s="460" t="s">
        <v>800</v>
      </c>
      <c r="E168" s="628"/>
      <c r="F168" s="461"/>
      <c r="G168" s="674"/>
      <c r="H168" s="675" t="s">
        <v>801</v>
      </c>
      <c r="I168" s="675"/>
      <c r="J168" s="674" t="s">
        <v>803</v>
      </c>
      <c r="K168" s="674"/>
      <c r="L168" s="674"/>
      <c r="M168" s="674"/>
      <c r="N168" s="674"/>
      <c r="O168" s="674"/>
      <c r="P168" s="674"/>
      <c r="Q168" s="674"/>
      <c r="R168" s="674"/>
    </row>
    <row r="169" spans="1:18" ht="20.100000000000001" customHeight="1">
      <c r="A169" s="163"/>
      <c r="B169" s="441" t="s">
        <v>835</v>
      </c>
      <c r="C169" s="743" t="str">
        <f>BMAC!B34</f>
        <v xml:space="preserve">Were any customers metered in the audit year? </v>
      </c>
      <c r="D169" s="264" t="s">
        <v>62</v>
      </c>
      <c r="E169" s="628"/>
      <c r="F169" s="258"/>
      <c r="H169" s="669" t="str">
        <f>IF(D169="",X,"")</f>
        <v/>
      </c>
      <c r="I169" s="676"/>
      <c r="J169" s="669" t="s">
        <v>836</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202</v>
      </c>
      <c r="E171" s="628" t="str">
        <f t="shared" si="13"/>
        <v/>
      </c>
      <c r="F171" s="258"/>
      <c r="G171" s="670">
        <f t="shared" ref="G171:G175" si="14">IF($D$169="No",1,IF(LEN(D171)&gt;0,1,0))</f>
        <v>1</v>
      </c>
      <c r="H171" s="684">
        <f>VLOOKUP('Interactive Data Grading'!D171,BMAC!$D$6:$J$15,7,FALSE)</f>
        <v>10</v>
      </c>
      <c r="I171" s="684">
        <f t="shared" ref="I171:I175" si="15">H171</f>
        <v>10</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809</v>
      </c>
      <c r="D177" s="631">
        <f>IF(D169="","",IF(D169="No","n/a",IF(G177=0,"",I177)))</f>
        <v>10</v>
      </c>
      <c r="E177" s="628"/>
      <c r="F177" s="258"/>
      <c r="G177" s="670">
        <f>MIN(G170:G176)</f>
        <v>1</v>
      </c>
      <c r="H177" s="680">
        <f>MIN(H169:H176)</f>
        <v>10</v>
      </c>
      <c r="I177" s="680">
        <f t="array" ref="I177">MIN(IF(ISNUMBER(I168:I176),I168:I176))</f>
        <v>10</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793</v>
      </c>
      <c r="B193" s="1046"/>
      <c r="C193" s="1036" t="s">
        <v>837</v>
      </c>
      <c r="D193" s="1036"/>
      <c r="E193" s="750" t="s">
        <v>795</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838</v>
      </c>
      <c r="C195" s="460" t="s">
        <v>799</v>
      </c>
      <c r="D195" s="460" t="s">
        <v>800</v>
      </c>
      <c r="E195" s="628"/>
      <c r="F195" s="461"/>
      <c r="G195" s="674"/>
      <c r="H195" s="675" t="s">
        <v>801</v>
      </c>
      <c r="I195" s="675"/>
      <c r="J195" s="674" t="s">
        <v>803</v>
      </c>
      <c r="K195" s="674"/>
      <c r="L195" s="674"/>
      <c r="M195" s="674"/>
      <c r="N195" s="674"/>
      <c r="O195" s="674"/>
      <c r="P195" s="674"/>
      <c r="Q195" s="674"/>
      <c r="R195" s="674"/>
    </row>
    <row r="196" spans="1:18" ht="27.6" customHeight="1">
      <c r="A196" s="163"/>
      <c r="B196" s="441" t="s">
        <v>839</v>
      </c>
      <c r="C196" s="743" t="str">
        <f>BUAC!B34</f>
        <v>Was there any billed consumption on unmetered accounts in the audit year?</v>
      </c>
      <c r="D196" s="264" t="s">
        <v>49</v>
      </c>
      <c r="E196" s="628"/>
      <c r="F196" s="258"/>
      <c r="H196" s="669" t="str">
        <f>IF(D196="",X,"")</f>
        <v/>
      </c>
      <c r="I196" s="676"/>
      <c r="J196" s="669" t="s">
        <v>836</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809</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793</v>
      </c>
      <c r="B216" s="1046"/>
      <c r="C216" s="1036" t="s">
        <v>840</v>
      </c>
      <c r="D216" s="1036"/>
      <c r="E216" s="750" t="s">
        <v>795</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841</v>
      </c>
      <c r="C218" s="460" t="s">
        <v>799</v>
      </c>
      <c r="D218" s="460" t="s">
        <v>800</v>
      </c>
      <c r="E218" s="628"/>
      <c r="F218" s="461"/>
      <c r="G218" s="674"/>
      <c r="H218" s="675" t="s">
        <v>801</v>
      </c>
      <c r="I218" s="675"/>
      <c r="J218" s="674" t="s">
        <v>803</v>
      </c>
      <c r="K218" s="674"/>
      <c r="L218" s="674"/>
      <c r="M218" s="674"/>
      <c r="N218" s="674"/>
      <c r="O218" s="674"/>
      <c r="P218" s="674"/>
      <c r="Q218" s="674"/>
      <c r="R218" s="674"/>
    </row>
    <row r="219" spans="1:18" ht="27.6" customHeight="1">
      <c r="A219" s="163"/>
      <c r="B219" s="441" t="s">
        <v>842</v>
      </c>
      <c r="C219" s="743" t="str">
        <f>UMAC!B34</f>
        <v>Did the water utility have any unbilled-metered consumption in the audit year?</v>
      </c>
      <c r="D219" s="264" t="s">
        <v>62</v>
      </c>
      <c r="E219" s="628"/>
      <c r="F219" s="258"/>
      <c r="H219" s="669" t="str">
        <f>IF(D219="",X,"")</f>
        <v/>
      </c>
      <c r="I219" s="676"/>
      <c r="J219" s="669" t="s">
        <v>836</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809</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793</v>
      </c>
      <c r="B240" s="1046"/>
      <c r="C240" s="1036" t="s">
        <v>843</v>
      </c>
      <c r="D240" s="1036"/>
      <c r="E240" s="750" t="s">
        <v>795</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844</v>
      </c>
      <c r="C242" s="460" t="s">
        <v>799</v>
      </c>
      <c r="D242" s="460" t="s">
        <v>800</v>
      </c>
      <c r="E242" s="628"/>
      <c r="F242" s="461"/>
      <c r="G242" s="674"/>
      <c r="H242" s="675" t="s">
        <v>801</v>
      </c>
      <c r="I242" s="675"/>
      <c r="J242" s="674" t="s">
        <v>803</v>
      </c>
      <c r="K242" s="674"/>
      <c r="L242" s="674"/>
      <c r="M242" s="674"/>
      <c r="N242" s="674"/>
      <c r="O242" s="674"/>
      <c r="P242" s="674"/>
      <c r="Q242" s="674"/>
      <c r="R242" s="674"/>
    </row>
    <row r="243" spans="1:18" ht="27.6" customHeight="1">
      <c r="A243" s="163"/>
      <c r="B243" s="441" t="s">
        <v>845</v>
      </c>
      <c r="C243" s="743" t="str">
        <f>UUAC!B34</f>
        <v xml:space="preserve">On the Worksheet, the status of the default option is: </v>
      </c>
      <c r="D243" s="262" t="str">
        <f>IF(AND(Worksheet!W26=2,Worksheet!Q26&gt;0),UUAC!A2,UUAC!A3)</f>
        <v>A system specific volume has been entered</v>
      </c>
      <c r="E243" s="628"/>
      <c r="F243" s="258"/>
      <c r="I243" s="676"/>
      <c r="J243" s="669" t="s">
        <v>846</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809</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793</v>
      </c>
      <c r="B263" s="1046"/>
      <c r="C263" s="1036" t="s">
        <v>847</v>
      </c>
      <c r="D263" s="1036"/>
      <c r="E263" s="750" t="s">
        <v>795</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This Data Grading Criteria is hidden when the 'default' input is used on the Worksheet</v>
      </c>
      <c r="D264" s="1038"/>
      <c r="E264" s="629"/>
      <c r="F264" s="258"/>
      <c r="H264" s="673"/>
      <c r="I264" s="673"/>
    </row>
    <row r="265" spans="1:18" s="462" customFormat="1" ht="12">
      <c r="A265" s="458"/>
      <c r="B265" s="459" t="s">
        <v>848</v>
      </c>
      <c r="C265" s="460" t="s">
        <v>799</v>
      </c>
      <c r="D265" s="460" t="s">
        <v>800</v>
      </c>
      <c r="E265" s="628"/>
      <c r="F265" s="461"/>
      <c r="G265" s="674"/>
      <c r="H265" s="675" t="s">
        <v>801</v>
      </c>
      <c r="I265" s="675"/>
      <c r="J265" s="674" t="s">
        <v>803</v>
      </c>
      <c r="K265" s="674"/>
      <c r="L265" s="674"/>
      <c r="M265" s="674"/>
      <c r="N265" s="674"/>
      <c r="O265" s="674"/>
      <c r="P265" s="674"/>
      <c r="Q265" s="674"/>
      <c r="R265" s="674"/>
    </row>
    <row r="266" spans="1:18" ht="27.6" customHeight="1">
      <c r="A266" s="163"/>
      <c r="B266" s="441" t="s">
        <v>849</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850</v>
      </c>
      <c r="I266" s="676"/>
      <c r="J266" s="669" t="s">
        <v>846</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37"/>
      <c r="O270" s="1037"/>
    </row>
    <row r="271" spans="1:18" ht="27.6" customHeight="1">
      <c r="A271" s="163"/>
      <c r="B271" s="163"/>
      <c r="C271" s="259" t="s">
        <v>809</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793</v>
      </c>
      <c r="B287" s="1046"/>
      <c r="C287" s="1036" t="s">
        <v>851</v>
      </c>
      <c r="D287" s="1036"/>
      <c r="E287" s="750" t="s">
        <v>795</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852</v>
      </c>
      <c r="C289" s="460" t="s">
        <v>799</v>
      </c>
      <c r="D289" s="460" t="s">
        <v>800</v>
      </c>
      <c r="E289" s="628"/>
      <c r="F289" s="461"/>
      <c r="G289" s="674"/>
      <c r="H289" s="675" t="s">
        <v>801</v>
      </c>
      <c r="I289" s="675"/>
      <c r="J289" s="674" t="s">
        <v>803</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853</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344</v>
      </c>
      <c r="E292" s="628" t="str">
        <f t="shared" si="17"/>
        <v/>
      </c>
      <c r="F292" s="258"/>
      <c r="G292" s="669">
        <f t="shared" si="16"/>
        <v>1</v>
      </c>
      <c r="H292" s="677">
        <f>VLOOKUP('Interactive Data Grading'!D292,CMI!$D$6:$J$16,7,FALSE)</f>
        <v>10</v>
      </c>
      <c r="I292" s="677">
        <f>H292</f>
        <v>10</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335</v>
      </c>
      <c r="E293" s="628" t="str">
        <f t="shared" si="17"/>
        <v>Limiting</v>
      </c>
      <c r="F293" s="258"/>
      <c r="G293" s="669">
        <f>IF(OR($D$292=CMI!$D$23,$D$292=CMI!$D$24,$D$292=CMI!$D$27),1,IF(LEN(D293)&gt;0,1,0))</f>
        <v>1</v>
      </c>
      <c r="H293" s="677">
        <f>VLOOKUP('Interactive Data Grading'!D293,CMI!$E$6:$J$16,6,FALSE)</f>
        <v>7</v>
      </c>
      <c r="I293" s="677">
        <f>IF(OR(D292=CMI!D23,D292=CMI!D24),X,H293)</f>
        <v>7</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f>IF(OR(D294=CMI!F23,D294=CMI!F24),X,H295)</f>
        <v>10</v>
      </c>
      <c r="J295" s="669" t="s">
        <v>297</v>
      </c>
    </row>
    <row r="296" spans="1:18" ht="29.45" customHeight="1">
      <c r="A296" s="163"/>
      <c r="B296" s="441" t="s">
        <v>299</v>
      </c>
      <c r="C296" s="743" t="str">
        <f>CMI!B40</f>
        <v>Which best describes how the input was derived?</v>
      </c>
      <c r="D296" s="264" t="s">
        <v>339</v>
      </c>
      <c r="E296" s="628" t="str">
        <f t="shared" si="17"/>
        <v/>
      </c>
      <c r="F296" s="258"/>
      <c r="G296" s="669">
        <f t="shared" si="16"/>
        <v>1</v>
      </c>
      <c r="H296" s="677">
        <f>VLOOKUP('Interactive Data Grading'!D296,CMI!$H$6:$J$16,3,FALSE)</f>
        <v>8</v>
      </c>
      <c r="I296" s="677">
        <f>H296</f>
        <v>8</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854</v>
      </c>
    </row>
    <row r="299" spans="1:18" ht="29.45" customHeight="1">
      <c r="A299" s="163"/>
      <c r="B299" s="441" t="s">
        <v>302</v>
      </c>
      <c r="C299" s="743" t="str">
        <f>CMI!B43</f>
        <v>Which best describes the reliability of meter installation records?</v>
      </c>
      <c r="D299" s="264" t="s">
        <v>325</v>
      </c>
      <c r="E299" s="628"/>
      <c r="F299" s="258"/>
      <c r="G299" s="669">
        <f t="shared" si="16"/>
        <v>1</v>
      </c>
      <c r="H299" s="677"/>
      <c r="I299" s="677"/>
      <c r="J299" s="669" t="s">
        <v>854</v>
      </c>
    </row>
    <row r="300" spans="1:18" ht="29.45" customHeight="1">
      <c r="A300" s="163"/>
      <c r="B300" s="163"/>
      <c r="C300" s="259" t="s">
        <v>809</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793</v>
      </c>
      <c r="B316" s="1046"/>
      <c r="C316" s="1036" t="s">
        <v>855</v>
      </c>
      <c r="D316" s="1036"/>
      <c r="E316" s="750" t="s">
        <v>795</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856</v>
      </c>
      <c r="C318" s="460" t="s">
        <v>799</v>
      </c>
      <c r="D318" s="460" t="s">
        <v>800</v>
      </c>
      <c r="E318" s="628"/>
      <c r="F318" s="461"/>
      <c r="G318" s="674"/>
      <c r="H318" s="675" t="s">
        <v>801</v>
      </c>
      <c r="I318" s="675"/>
      <c r="J318" s="674" t="s">
        <v>803</v>
      </c>
      <c r="K318" s="674"/>
      <c r="L318" s="674"/>
      <c r="M318" s="674"/>
      <c r="N318" s="674"/>
      <c r="O318" s="674"/>
      <c r="P318" s="674"/>
      <c r="Q318" s="674"/>
      <c r="R318" s="674"/>
    </row>
    <row r="319" spans="1:18" ht="27.6" customHeight="1">
      <c r="A319" s="163"/>
      <c r="B319" s="441" t="s">
        <v>857</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846</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809</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793</v>
      </c>
      <c r="B343" s="1046"/>
      <c r="C343" s="1036" t="s">
        <v>858</v>
      </c>
      <c r="D343" s="1036"/>
      <c r="E343" s="750" t="s">
        <v>795</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799</v>
      </c>
      <c r="D345" s="460" t="s">
        <v>800</v>
      </c>
      <c r="E345" s="628"/>
      <c r="F345" s="461"/>
      <c r="G345" s="674"/>
      <c r="H345" s="675" t="s">
        <v>801</v>
      </c>
      <c r="I345" s="675"/>
      <c r="J345" s="674" t="s">
        <v>803</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809</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793</v>
      </c>
      <c r="B366" s="1046"/>
      <c r="C366" s="1036" t="s">
        <v>859</v>
      </c>
      <c r="D366" s="1036"/>
      <c r="E366" s="750" t="s">
        <v>795</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799</v>
      </c>
      <c r="D368" s="460" t="s">
        <v>800</v>
      </c>
      <c r="E368" s="628"/>
      <c r="F368" s="461"/>
      <c r="G368" s="674"/>
      <c r="H368" s="675" t="s">
        <v>801</v>
      </c>
      <c r="I368" s="675"/>
      <c r="J368" s="674" t="s">
        <v>803</v>
      </c>
      <c r="K368" s="674" t="s">
        <v>860</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809</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793</v>
      </c>
      <c r="B390" s="1046"/>
      <c r="C390" s="1036" t="s">
        <v>861</v>
      </c>
      <c r="D390" s="1036"/>
      <c r="E390" s="750" t="s">
        <v>795</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799</v>
      </c>
      <c r="D392" s="460" t="s">
        <v>800</v>
      </c>
      <c r="E392" s="628"/>
      <c r="F392" s="461"/>
      <c r="G392" s="674"/>
      <c r="H392" s="675" t="s">
        <v>801</v>
      </c>
      <c r="I392" s="675"/>
      <c r="J392" s="674" t="s">
        <v>803</v>
      </c>
      <c r="K392" s="674"/>
      <c r="L392" s="674"/>
      <c r="M392" s="674"/>
      <c r="N392" s="674"/>
      <c r="O392" s="674"/>
      <c r="P392" s="674"/>
      <c r="Q392" s="674"/>
      <c r="R392" s="674"/>
    </row>
    <row r="393" spans="1:18" ht="27.6" customHeight="1">
      <c r="A393" s="163"/>
      <c r="B393" s="441" t="s">
        <v>862</v>
      </c>
      <c r="C393" s="745" t="str">
        <f>Lp!B34</f>
        <v xml:space="preserve">Are customer meters typically located at the curbstop or property line? </v>
      </c>
      <c r="D393" s="263" t="str">
        <f>IF(OR(Worksheet!H65="Yes",Worksheet!H65="No"),Worksheet!H65,"Select on Worksheet")</f>
        <v>No</v>
      </c>
      <c r="E393" s="628"/>
      <c r="F393" s="258"/>
      <c r="I393" s="676"/>
      <c r="J393" s="669" t="s">
        <v>863</v>
      </c>
      <c r="K393" s="669" t="s">
        <v>860</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809</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793</v>
      </c>
      <c r="B414" s="1046"/>
      <c r="C414" s="1036" t="s">
        <v>864</v>
      </c>
      <c r="D414" s="1036"/>
      <c r="E414" s="750" t="s">
        <v>795</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865</v>
      </c>
      <c r="C416" s="460" t="s">
        <v>799</v>
      </c>
      <c r="D416" s="460" t="s">
        <v>800</v>
      </c>
      <c r="E416" s="628"/>
      <c r="F416" s="461"/>
      <c r="G416" s="674"/>
      <c r="H416" s="675" t="s">
        <v>801</v>
      </c>
      <c r="I416" s="675"/>
      <c r="J416" s="674" t="s">
        <v>803</v>
      </c>
      <c r="K416" s="674" t="s">
        <v>866</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457</v>
      </c>
      <c r="E419" s="628" t="str">
        <f t="shared" si="25"/>
        <v/>
      </c>
      <c r="F419" s="258"/>
      <c r="G419" s="683">
        <f t="shared" si="26"/>
        <v>1</v>
      </c>
      <c r="H419" s="677">
        <f>VLOOKUP('Interactive Data Grading'!D419,AOP!$E$6:$H$17,4,FALSE)</f>
        <v>10</v>
      </c>
      <c r="I419" s="678">
        <f>H419</f>
        <v>10</v>
      </c>
      <c r="K419" s="707" t="str">
        <f>IFERROR(IF(OR($D$422=10,NOT(ISNUMBER($D$422))),"",IF(I419=$I$422,"Limiting","")),"")</f>
        <v/>
      </c>
    </row>
    <row r="420" spans="1:18" ht="27.6" customHeight="1">
      <c r="A420" s="163"/>
      <c r="B420" s="441" t="s">
        <v>867</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868</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809</v>
      </c>
      <c r="D422" s="631">
        <f>IF(G422&lt;1,"",I422)</f>
        <v>10</v>
      </c>
      <c r="E422" s="628"/>
      <c r="F422" s="258"/>
      <c r="G422" s="685">
        <f>MIN(G417:G421)</f>
        <v>1</v>
      </c>
      <c r="H422" s="680">
        <f>MIN(H417:H421)</f>
        <v>10</v>
      </c>
      <c r="I422" s="680">
        <f t="array" ref="I422">MIN(IF(ISNUMBER(I417:I421),I417:I421))</f>
        <v>10</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793</v>
      </c>
      <c r="B438" s="1046"/>
      <c r="C438" s="1036" t="s">
        <v>869</v>
      </c>
      <c r="D438" s="1036"/>
      <c r="E438" s="750" t="s">
        <v>795</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870</v>
      </c>
      <c r="C440" s="460" t="s">
        <v>799</v>
      </c>
      <c r="D440" s="460" t="s">
        <v>800</v>
      </c>
      <c r="E440" s="628"/>
      <c r="F440" s="461"/>
      <c r="G440" s="674"/>
      <c r="H440" s="675" t="s">
        <v>801</v>
      </c>
      <c r="I440" s="689"/>
      <c r="J440" s="674" t="s">
        <v>803</v>
      </c>
      <c r="K440" s="674"/>
      <c r="L440" s="674"/>
      <c r="M440" s="674"/>
      <c r="N440" s="674"/>
      <c r="O440" s="674"/>
      <c r="P440" s="674"/>
      <c r="Q440" s="674"/>
      <c r="R440" s="674"/>
    </row>
    <row r="441" spans="1:18" ht="27.6" customHeight="1">
      <c r="A441" s="163"/>
      <c r="B441" s="441" t="s">
        <v>871</v>
      </c>
      <c r="C441" s="743" t="str">
        <f>CRUC!B34</f>
        <v>Was any metered consumption billed on a volumetric basis in the audit period?</v>
      </c>
      <c r="D441" s="264" t="s">
        <v>62</v>
      </c>
      <c r="E441" s="628"/>
      <c r="F441" s="258"/>
      <c r="H441" s="677"/>
      <c r="I441" s="677"/>
      <c r="J441" s="690" t="s">
        <v>853</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478</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809</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793</v>
      </c>
      <c r="B462" s="1046"/>
      <c r="C462" s="1036" t="s">
        <v>872</v>
      </c>
      <c r="D462" s="1036"/>
      <c r="E462" s="750" t="s">
        <v>795</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873</v>
      </c>
      <c r="C464" s="460" t="s">
        <v>799</v>
      </c>
      <c r="D464" s="460" t="s">
        <v>800</v>
      </c>
      <c r="E464" s="628"/>
      <c r="F464" s="461"/>
      <c r="G464" s="674"/>
      <c r="H464" s="675" t="s">
        <v>801</v>
      </c>
      <c r="I464" s="675" t="s">
        <v>802</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494</v>
      </c>
      <c r="E465" s="628" t="str">
        <f>IF($D$469=10,"",IFERROR(IF(H465=MIN($H$465:$H$468),"Limiting",""),""))</f>
        <v/>
      </c>
      <c r="F465" s="258"/>
      <c r="H465" s="677">
        <f>VLOOKUP('Interactive Data Grading'!D465,VPC!$C$6:$G$18,5,FALSE)</f>
        <v>10</v>
      </c>
      <c r="I465" s="678">
        <f>H465</f>
        <v>10</v>
      </c>
      <c r="J465" s="690" t="s">
        <v>874</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809</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875</v>
      </c>
      <c r="AB2" s="547"/>
      <c r="AC2" s="544"/>
      <c r="AD2" s="544"/>
      <c r="AE2" s="544"/>
      <c r="AF2" s="544"/>
      <c r="AG2" s="544"/>
      <c r="AH2" s="544"/>
      <c r="AI2" s="544"/>
      <c r="AJ2" s="544"/>
      <c r="AK2" s="544"/>
      <c r="AL2" s="544"/>
      <c r="AM2" s="544"/>
      <c r="AN2" s="1060" t="s">
        <v>876</v>
      </c>
      <c r="AO2" s="1061"/>
      <c r="AP2" s="1061"/>
      <c r="AQ2" s="1062"/>
      <c r="AR2" s="772"/>
      <c r="AS2" s="1060" t="s">
        <v>877</v>
      </c>
      <c r="AT2" s="1061"/>
      <c r="AU2" s="1061"/>
      <c r="AV2" s="1062"/>
      <c r="AW2" s="772"/>
      <c r="AX2" s="1060" t="s">
        <v>878</v>
      </c>
      <c r="AY2" s="1061"/>
      <c r="AZ2" s="1061"/>
      <c r="BA2" s="1062"/>
      <c r="BB2" s="735"/>
      <c r="BC2" s="89"/>
      <c r="BL2" s="487"/>
      <c r="BN2" s="535"/>
      <c r="BO2" s="668">
        <f>LEN(C4)</f>
        <v>0</v>
      </c>
      <c r="BP2" s="382" t="s">
        <v>879</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705</v>
      </c>
      <c r="P3" s="552" t="str">
        <f>IF(ISBLANK('Start Page'!AB9),"Enter info on the Start Page",'Start Page'!AB9&amp;IF(ISBLANK('Start Page'!AM28),"","  ("&amp;'Start Page'!AM28&amp;")"))</f>
        <v>PAW- Kittanning District 440</v>
      </c>
      <c r="Q3" s="552"/>
      <c r="R3" s="552"/>
      <c r="S3" s="552"/>
      <c r="T3" s="552"/>
      <c r="U3" s="552"/>
      <c r="V3" s="552"/>
      <c r="W3" s="552"/>
      <c r="X3" s="552"/>
      <c r="Y3" s="552"/>
      <c r="Z3" s="552"/>
      <c r="AA3" s="552"/>
      <c r="AB3" s="552"/>
      <c r="AC3" s="549"/>
      <c r="AD3" s="550"/>
      <c r="AE3" s="551"/>
      <c r="AF3" s="548" t="s">
        <v>706</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880</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V (91-100)</v>
      </c>
      <c r="BS4" s="382"/>
      <c r="BT4" s="382"/>
      <c r="BU4" s="187"/>
      <c r="BV4" s="187"/>
      <c r="BW4" s="187"/>
    </row>
    <row r="5" spans="1:77" ht="15" customHeight="1">
      <c r="A5" s="89"/>
      <c r="B5" s="271"/>
      <c r="C5" s="1050" t="s">
        <v>881</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882</v>
      </c>
      <c r="AE5" s="610"/>
      <c r="AF5" s="610"/>
      <c r="AG5" s="610"/>
      <c r="AH5" s="1057" t="s">
        <v>883</v>
      </c>
      <c r="AI5" s="1057"/>
      <c r="AJ5" s="1057"/>
      <c r="AK5" s="1057"/>
      <c r="AL5" s="1057"/>
      <c r="AM5" s="1057"/>
      <c r="AN5" s="1057"/>
      <c r="AO5" s="1057"/>
      <c r="AP5" s="1057"/>
      <c r="AQ5" s="1057"/>
      <c r="AR5" s="1057"/>
      <c r="AS5" s="505" t="s">
        <v>884</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885</v>
      </c>
      <c r="Z6" s="1052">
        <v>0.73699999999999999</v>
      </c>
      <c r="AA6" s="1052"/>
      <c r="AB6" s="761" t="s">
        <v>886</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887</v>
      </c>
      <c r="BM6" s="536"/>
      <c r="BN6" s="537"/>
      <c r="BO6" s="584"/>
      <c r="BP6" s="584"/>
      <c r="BQ6" s="584"/>
      <c r="BR6" s="584">
        <f>IFERROR(IF(ISBLANK('Start Page'!$AB$22),"N/A*",IF('M36 Refs'!AN118&gt;0,"",ROUND('M36 Refs'!AH118,0))),"")</f>
        <v>92</v>
      </c>
      <c r="BS6" s="585"/>
      <c r="BT6" s="584"/>
      <c r="BU6" s="586"/>
      <c r="BV6" s="586"/>
      <c r="BW6" s="586"/>
      <c r="BX6" s="50"/>
      <c r="BY6" s="50"/>
    </row>
    <row r="7" spans="1:77" s="190" customFormat="1" ht="12.95" customHeight="1">
      <c r="A7" s="189"/>
      <c r="B7" s="265"/>
      <c r="C7" s="50"/>
      <c r="D7" s="193"/>
      <c r="E7" s="711"/>
      <c r="F7" s="193"/>
      <c r="G7" s="193"/>
      <c r="H7" s="553"/>
      <c r="I7" s="654" t="s">
        <v>888</v>
      </c>
      <c r="J7" s="1049">
        <f>BR6</f>
        <v>92</v>
      </c>
      <c r="K7" s="1049"/>
      <c r="L7" s="655"/>
      <c r="M7" s="655"/>
      <c r="N7" s="655"/>
      <c r="O7" s="655"/>
      <c r="P7" s="655"/>
      <c r="Q7" s="654" t="s">
        <v>889</v>
      </c>
      <c r="R7" s="1048" t="str">
        <f>IF(BO2&gt;0,"",BR4)</f>
        <v>Tier V (91-100)</v>
      </c>
      <c r="S7" s="1048"/>
      <c r="T7" s="1048"/>
      <c r="U7" s="1048"/>
      <c r="V7" s="1048"/>
      <c r="W7" s="553"/>
      <c r="X7" s="763" t="s">
        <v>890</v>
      </c>
      <c r="AD7" s="497"/>
      <c r="AE7" s="719"/>
      <c r="AF7" s="719"/>
      <c r="AG7" s="719"/>
      <c r="AH7" s="1051" t="s">
        <v>891</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892</v>
      </c>
      <c r="BP7" s="587"/>
      <c r="BQ7" s="587"/>
      <c r="BR7" s="587" t="s">
        <v>893</v>
      </c>
      <c r="BS7" s="584"/>
      <c r="BT7" s="584"/>
      <c r="BU7" s="586"/>
      <c r="BV7" s="586"/>
      <c r="BW7" s="586"/>
      <c r="BX7" s="50"/>
      <c r="BY7" s="50"/>
    </row>
    <row r="8" spans="1:77" ht="12.95" customHeight="1">
      <c r="A8" s="89"/>
      <c r="B8" s="265"/>
      <c r="C8" s="497"/>
      <c r="D8" s="497"/>
      <c r="E8" s="712"/>
      <c r="F8" s="497"/>
      <c r="G8" s="497"/>
      <c r="H8" s="1056" t="s">
        <v>894</v>
      </c>
      <c r="I8" s="1056"/>
      <c r="J8" s="1053" t="s">
        <v>586</v>
      </c>
      <c r="K8" s="1053"/>
      <c r="L8" s="1053"/>
      <c r="M8" s="1053"/>
      <c r="N8" s="1053"/>
      <c r="O8" s="1053"/>
      <c r="P8" s="1054" t="s">
        <v>895</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896</v>
      </c>
      <c r="BS8" s="382">
        <f>BR6</f>
        <v>92</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897</v>
      </c>
      <c r="BP9" s="382">
        <v>25</v>
      </c>
      <c r="BQ9" s="382"/>
      <c r="BR9" s="382" t="s">
        <v>893</v>
      </c>
      <c r="BS9" s="595">
        <f>SUM(BP8:BP12)/150</f>
        <v>1.2666666666666666</v>
      </c>
      <c r="BT9" s="382"/>
      <c r="BU9" s="187"/>
      <c r="BV9" s="187"/>
      <c r="BW9" s="187"/>
    </row>
    <row r="10" spans="1:77" ht="12.95" customHeight="1">
      <c r="A10" s="89"/>
      <c r="B10" s="265"/>
      <c r="C10" s="542"/>
      <c r="D10" s="542"/>
      <c r="E10" s="50"/>
      <c r="F10" s="50"/>
      <c r="G10" s="50"/>
      <c r="H10" s="542"/>
      <c r="I10" s="784" t="s">
        <v>898</v>
      </c>
      <c r="J10" s="542"/>
      <c r="K10" s="542"/>
      <c r="L10" s="542"/>
      <c r="M10" s="542"/>
      <c r="N10" s="542"/>
      <c r="O10" s="782" t="s">
        <v>899</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900</v>
      </c>
      <c r="BP10" s="382">
        <v>25</v>
      </c>
      <c r="BQ10" s="382"/>
      <c r="BR10" s="382" t="s">
        <v>901</v>
      </c>
      <c r="BS10" s="382">
        <f>SUM(BP8:BP13)-SUM(BS8:BS9)</f>
        <v>106.73333333333333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902</v>
      </c>
      <c r="BP11" s="382">
        <v>20</v>
      </c>
      <c r="BQ11" s="382"/>
      <c r="BR11" s="382"/>
      <c r="BS11" s="382"/>
      <c r="BT11" s="382"/>
      <c r="BU11" s="617" t="s">
        <v>903</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904</v>
      </c>
      <c r="BP12" s="382">
        <v>20</v>
      </c>
      <c r="BQ12" s="382"/>
      <c r="BR12" s="382"/>
      <c r="BS12" s="382"/>
      <c r="BT12" s="382"/>
      <c r="BU12" s="588" t="s">
        <v>905</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906</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907</v>
      </c>
      <c r="BN13" s="538"/>
      <c r="BO13" s="382" t="s">
        <v>908</v>
      </c>
      <c r="BP13" s="382">
        <v>10</v>
      </c>
      <c r="BQ13" s="382"/>
      <c r="BR13" s="382"/>
      <c r="BS13" s="382"/>
      <c r="BT13" s="382"/>
      <c r="BU13" s="588" t="s">
        <v>909</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
      </c>
      <c r="AC14" s="1058"/>
      <c r="AD14" s="1058"/>
      <c r="AE14" s="1058"/>
      <c r="AF14" s="557"/>
      <c r="AG14" s="500"/>
      <c r="AH14" s="555"/>
      <c r="AI14" s="555"/>
      <c r="AJ14" s="193"/>
      <c r="AK14" s="193"/>
      <c r="AL14" s="1058" t="str">
        <f>IF(BS22&lt;0,"negative result check inputs",IF($BS$23=0,"result is below 10th %ile",IF($BS$22&gt;$BS$23,"result is above 90th %ile","")))</f>
        <v/>
      </c>
      <c r="AM14" s="1058"/>
      <c r="AN14" s="1058"/>
      <c r="AO14" s="1058"/>
      <c r="AP14" s="193"/>
      <c r="AQ14" s="193"/>
      <c r="AR14" s="193"/>
      <c r="AS14" s="193"/>
      <c r="AT14" s="193"/>
      <c r="AU14" s="193"/>
      <c r="AV14" s="1058" t="str">
        <f>IF(BS29&lt;0,"negative result check inputs",IF($BS$30=0,"result is below 10th %ile",IF($BS$29&gt;$BS$30,"result is above 90th %ile","")))</f>
        <v/>
      </c>
      <c r="AW14" s="1058"/>
      <c r="AX14" s="1058"/>
      <c r="AY14" s="1058"/>
      <c r="AZ14" s="193"/>
      <c r="BA14" s="193"/>
      <c r="BB14" s="272"/>
      <c r="BC14" s="89"/>
      <c r="BN14" s="538"/>
      <c r="BO14" s="382"/>
      <c r="BP14" s="611" t="s">
        <v>910</v>
      </c>
      <c r="BQ14" s="612" t="s">
        <v>911</v>
      </c>
      <c r="BR14" s="382"/>
      <c r="BS14" s="382"/>
      <c r="BT14" s="382"/>
      <c r="BU14" s="589" t="s">
        <v>912</v>
      </c>
      <c r="BV14" s="589" t="s">
        <v>913</v>
      </c>
      <c r="BW14" s="589" t="s">
        <v>914</v>
      </c>
    </row>
    <row r="15" spans="1:77" ht="15" customHeight="1">
      <c r="A15" s="89"/>
      <c r="B15" s="265"/>
      <c r="C15" s="50"/>
      <c r="D15" s="50"/>
      <c r="E15" s="711"/>
      <c r="F15" s="783" t="s">
        <v>915</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916</v>
      </c>
      <c r="BP15" s="590"/>
      <c r="BR15" s="579" t="s">
        <v>917</v>
      </c>
      <c r="BS15" s="606">
        <f>IF($BO$2&gt;0,"",IFERROR(SUM(N49:N50)/Worksheet!H62,""))</f>
        <v>28.879830002795789</v>
      </c>
      <c r="BT15" s="591"/>
      <c r="BU15" s="664" t="s">
        <v>911</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918</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919</v>
      </c>
      <c r="BO16" s="591" t="s">
        <v>920</v>
      </c>
      <c r="BP16" s="593">
        <f>SUM(BP17:BP20)</f>
        <v>57.801400497346833</v>
      </c>
      <c r="BQ16" s="758">
        <f>IF($BD$7="ML/Yr",BW16,BU16)</f>
        <v>5.075047838800522</v>
      </c>
      <c r="BR16" s="579" t="s">
        <v>921</v>
      </c>
      <c r="BS16" s="614">
        <f>IF(BS15="","",IF(BS15&lt;BQ16,0,IF(BS15&gt;BQ20,BQ20,BS15)))</f>
        <v>28.879830002795789</v>
      </c>
      <c r="BT16" s="591" t="s">
        <v>920</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916</v>
      </c>
      <c r="AD17" s="193"/>
      <c r="AE17" s="656"/>
      <c r="AF17" s="656"/>
      <c r="AG17" s="657"/>
      <c r="AH17" s="649"/>
      <c r="AI17" s="649"/>
      <c r="AJ17" s="656"/>
      <c r="AK17" s="656"/>
      <c r="AL17" s="656"/>
      <c r="AM17" s="656" t="s">
        <v>922</v>
      </c>
      <c r="AN17" s="193"/>
      <c r="AO17" s="656"/>
      <c r="AP17" s="656"/>
      <c r="AQ17" s="656"/>
      <c r="AR17" s="656"/>
      <c r="AS17" s="656"/>
      <c r="AT17" s="656"/>
      <c r="AU17" s="656"/>
      <c r="AV17" s="656"/>
      <c r="AW17" s="656" t="s">
        <v>923</v>
      </c>
      <c r="AX17" s="50"/>
      <c r="AY17" s="577"/>
      <c r="AZ17" s="577"/>
      <c r="BA17" s="193"/>
      <c r="BB17" s="272"/>
      <c r="BC17" s="89"/>
      <c r="BE17" s="50" t="s">
        <v>924</v>
      </c>
      <c r="BF17" s="50" t="s">
        <v>925</v>
      </c>
      <c r="BN17" s="535"/>
      <c r="BO17" s="591" t="s">
        <v>926</v>
      </c>
      <c r="BP17" s="593">
        <f>BQ17</f>
        <v>9.3314489693766607</v>
      </c>
      <c r="BQ17" s="758">
        <f t="shared" ref="BQ17:BQ20" si="0">IF($BD$7="ML/Yr",BW17,BU17)</f>
        <v>9.3314489693766607</v>
      </c>
      <c r="BR17" s="591" t="s">
        <v>927</v>
      </c>
      <c r="BS17" s="595">
        <f>SUM(BP16:BP20)/125</f>
        <v>0.92482240795754933</v>
      </c>
      <c r="BT17" s="591" t="s">
        <v>926</v>
      </c>
      <c r="BU17" s="605">
        <v>9.3314489693766607</v>
      </c>
      <c r="BV17" s="594"/>
      <c r="BW17" s="762">
        <f>IF($Z$6="",BU17/0.737,BU17/$Z$6)</f>
        <v>12.66139615926277</v>
      </c>
      <c r="BX17" s="50" t="s">
        <v>928</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28.879830002795789</v>
      </c>
      <c r="AB18" s="1059"/>
      <c r="AC18" s="1059"/>
      <c r="AD18" s="730" t="str">
        <f>BD13</f>
        <v>$/conn/year</v>
      </c>
      <c r="AE18" s="731"/>
      <c r="AF18" s="732"/>
      <c r="AG18" s="732"/>
      <c r="AH18" s="733"/>
      <c r="AI18" s="733"/>
      <c r="AJ18" s="731"/>
      <c r="AK18" s="1059">
        <f>BS22</f>
        <v>14.940205611943881</v>
      </c>
      <c r="AL18" s="1059"/>
      <c r="AM18" s="1059"/>
      <c r="AN18" s="730" t="str">
        <f>BD13</f>
        <v>$/conn/year</v>
      </c>
      <c r="AO18" s="731"/>
      <c r="AP18" s="731"/>
      <c r="AQ18" s="731"/>
      <c r="AR18" s="731"/>
      <c r="AS18" s="731"/>
      <c r="AT18" s="731"/>
      <c r="AU18" s="1059">
        <f>BS29</f>
        <v>13.939624390851911</v>
      </c>
      <c r="AV18" s="1059"/>
      <c r="AW18" s="1059"/>
      <c r="AX18" s="730" t="str">
        <f>BD13</f>
        <v>$/conn/year</v>
      </c>
      <c r="AY18" s="576"/>
      <c r="AZ18" s="193"/>
      <c r="BA18" s="193"/>
      <c r="BB18" s="272"/>
      <c r="BC18" s="89"/>
      <c r="BD18" s="50" t="s">
        <v>912</v>
      </c>
      <c r="BE18" s="182">
        <f>(((5.41*Worksheet!H61)+(0.15*Worksheet!H62)+(7.5*(Worksheet!H62*Worksheet!W67/5280)))*Worksheet!H68)/1000000*365</f>
        <v>14.906204315113634</v>
      </c>
      <c r="BN18" s="535"/>
      <c r="BO18" s="591" t="s">
        <v>929</v>
      </c>
      <c r="BP18" s="593">
        <f>BQ18-BQ17</f>
        <v>8.9525318444022357</v>
      </c>
      <c r="BQ18" s="758">
        <f t="shared" si="0"/>
        <v>18.283980813778896</v>
      </c>
      <c r="BR18" s="591" t="s">
        <v>901</v>
      </c>
      <c r="BS18" s="595">
        <f>SUM(BP16:BP20)-SUM(BS16,BS17)</f>
        <v>85.798148583940332</v>
      </c>
      <c r="BT18" s="591" t="s">
        <v>929</v>
      </c>
      <c r="BU18" s="605">
        <v>18.283980813778896</v>
      </c>
      <c r="BV18" s="594"/>
      <c r="BW18" s="762">
        <f>IF($Z$6="",BU18/0.737,BU18/$Z$6)</f>
        <v>24.808657820595517</v>
      </c>
      <c r="BX18" s="50" t="s">
        <v>930</v>
      </c>
      <c r="BY18" s="591"/>
      <c r="BZ18" s="595"/>
    </row>
    <row r="19" spans="1:78" ht="15" customHeight="1">
      <c r="A19" s="89"/>
      <c r="B19" s="265"/>
      <c r="C19" s="50"/>
      <c r="D19" s="193"/>
      <c r="E19" s="711"/>
      <c r="F19" s="193"/>
      <c r="G19" s="193"/>
      <c r="H19" s="193"/>
      <c r="I19" s="193"/>
      <c r="J19" s="193"/>
      <c r="K19" s="193"/>
      <c r="L19" s="811" t="s">
        <v>931</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913</v>
      </c>
      <c r="BE19" s="182">
        <f>BE18*1000000/325851.427242</f>
        <v>45.745401336061192</v>
      </c>
      <c r="BF19" s="181">
        <f>BE19*325851.427242/Worksheet!H62/365</f>
        <v>20.07812975998927</v>
      </c>
      <c r="BG19" s="50" t="str">
        <f>IF(BD7="Acre-ft/yr",1,"")</f>
        <v/>
      </c>
      <c r="BJ19" s="187"/>
      <c r="BN19" s="535"/>
      <c r="BO19" s="591" t="s">
        <v>932</v>
      </c>
      <c r="BP19" s="593">
        <f>BQ19-BQ18</f>
        <v>13.300705385813597</v>
      </c>
      <c r="BQ19" s="758">
        <f t="shared" si="0"/>
        <v>31.584686199592493</v>
      </c>
      <c r="BR19" s="591"/>
      <c r="BS19" s="591"/>
      <c r="BT19" s="591" t="s">
        <v>932</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914</v>
      </c>
      <c r="BE20" s="182">
        <f>(((18*Worksheet!H61)+(0.8*Worksheet!H62)+(25*(Worksheet!H62*Worksheet!W67/1000)))*Worksheet!H68)/1000000*365</f>
        <v>89.603138250000001</v>
      </c>
      <c r="BN20" s="535"/>
      <c r="BO20" s="591" t="s">
        <v>933</v>
      </c>
      <c r="BP20" s="593">
        <f>BQ20-BQ19</f>
        <v>26.21671429775434</v>
      </c>
      <c r="BQ20" s="758">
        <f t="shared" si="0"/>
        <v>57.801400497346833</v>
      </c>
      <c r="BR20" s="591"/>
      <c r="BS20" s="591"/>
      <c r="BT20" s="591" t="s">
        <v>933</v>
      </c>
      <c r="BU20" s="605">
        <v>57.801400497346833</v>
      </c>
      <c r="BV20" s="594"/>
      <c r="BW20" s="762">
        <f>IF($Z$6="",BU20/0.737,BU20/$Z$6)</f>
        <v>78.427951828150384</v>
      </c>
      <c r="BX20" s="613" t="s">
        <v>934</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910</v>
      </c>
      <c r="BQ21" s="612" t="s">
        <v>911</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922</v>
      </c>
      <c r="BP22" s="590"/>
      <c r="BQ22" s="590"/>
      <c r="BR22" s="579" t="s">
        <v>917</v>
      </c>
      <c r="BS22" s="606">
        <f>IF($BO$2&gt;0,"",IFERROR(N49/Worksheet!H62,""))</f>
        <v>14.940205611943881</v>
      </c>
      <c r="BT22" s="576"/>
      <c r="BU22" s="664" t="s">
        <v>911</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919</v>
      </c>
      <c r="BO23" s="591" t="s">
        <v>920</v>
      </c>
      <c r="BP23" s="593">
        <f>SUM(BP24:BP27)</f>
        <v>24.233075430263664</v>
      </c>
      <c r="BQ23" s="758">
        <f>IF($BD$7="ML/Yr",BW23,BU23)</f>
        <v>0.26714599111167436</v>
      </c>
      <c r="BR23" s="579" t="s">
        <v>921</v>
      </c>
      <c r="BS23" s="614">
        <f>IF(BS22="","",IF(BS22&lt;BQ23,0,IF(BS22&gt;BQ27,BQ27,BS22)))</f>
        <v>14.940205611943881</v>
      </c>
      <c r="BT23" s="591" t="s">
        <v>920</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926</v>
      </c>
      <c r="BP24" s="593">
        <f>BQ24</f>
        <v>0.87495347188920114</v>
      </c>
      <c r="BQ24" s="758">
        <f t="shared" ref="BQ24:BQ27" si="1">IF($BD$7="ML/Yr",BW24,BU24)</f>
        <v>0.87495347188920114</v>
      </c>
      <c r="BR24" s="591" t="s">
        <v>927</v>
      </c>
      <c r="BS24" s="595">
        <f>SUM(BP23:BP27)/125</f>
        <v>0.38772920688421864</v>
      </c>
      <c r="BT24" s="591" t="s">
        <v>926</v>
      </c>
      <c r="BU24" s="605">
        <v>0.87495347188920114</v>
      </c>
      <c r="BV24" s="594"/>
      <c r="BW24" s="762">
        <f>IF($Z$6="",BU24/0.737,BU24/$Z$6)</f>
        <v>1.1871824584656732</v>
      </c>
      <c r="BX24" s="50" t="s">
        <v>928</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result is below 10th %ile</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
      </c>
      <c r="AW25" s="1058"/>
      <c r="AX25" s="1058"/>
      <c r="AY25" s="1058"/>
      <c r="AZ25" s="193"/>
      <c r="BA25" s="193"/>
      <c r="BB25" s="266"/>
      <c r="BC25" s="89"/>
      <c r="BN25" s="535"/>
      <c r="BO25" s="591" t="s">
        <v>929</v>
      </c>
      <c r="BP25" s="593">
        <f>BQ25-BQ24</f>
        <v>5.2798362211473915</v>
      </c>
      <c r="BQ25" s="758">
        <f t="shared" si="1"/>
        <v>6.1547896930365926</v>
      </c>
      <c r="BR25" s="591" t="s">
        <v>901</v>
      </c>
      <c r="BS25" s="595">
        <f>SUM(BP23:BP27)-SUM(BS23,BS24)</f>
        <v>33.138216041699231</v>
      </c>
      <c r="BT25" s="591" t="s">
        <v>929</v>
      </c>
      <c r="BU25" s="605">
        <v>6.1547896930365926</v>
      </c>
      <c r="BV25" s="594"/>
      <c r="BW25" s="762">
        <f>IF($Z$6="",BU25/0.737,BU25/$Z$6)</f>
        <v>8.3511393392626765</v>
      </c>
      <c r="BX25" s="50" t="s">
        <v>930</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932</v>
      </c>
      <c r="BP26" s="593">
        <f>BQ26-BQ25</f>
        <v>7.97433526183511</v>
      </c>
      <c r="BQ26" s="758">
        <f t="shared" si="1"/>
        <v>14.129124954871703</v>
      </c>
      <c r="BR26" s="591"/>
      <c r="BS26" s="591"/>
      <c r="BT26" s="591" t="s">
        <v>932</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935</v>
      </c>
      <c r="BN27" s="535"/>
      <c r="BO27" s="591" t="s">
        <v>933</v>
      </c>
      <c r="BP27" s="593">
        <f>BQ27-BQ26</f>
        <v>10.103950475391962</v>
      </c>
      <c r="BQ27" s="758">
        <f t="shared" si="1"/>
        <v>24.233075430263664</v>
      </c>
      <c r="BR27" s="591"/>
      <c r="BS27" s="591"/>
      <c r="BT27" s="591" t="s">
        <v>933</v>
      </c>
      <c r="BU27" s="605">
        <v>24.233075430263664</v>
      </c>
      <c r="BV27" s="594"/>
      <c r="BW27" s="762">
        <f>IF($Z$6="",BU27/0.737,BU27/$Z$6)</f>
        <v>32.880699362637266</v>
      </c>
      <c r="BX27" s="613" t="s">
        <v>934</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936</v>
      </c>
      <c r="AD28" s="658"/>
      <c r="AE28" s="659"/>
      <c r="AF28" s="659"/>
      <c r="AG28" s="658"/>
      <c r="AH28" s="658"/>
      <c r="AI28" s="658"/>
      <c r="AJ28" s="658"/>
      <c r="AK28" s="658"/>
      <c r="AL28" s="658"/>
      <c r="AM28" s="656" t="s">
        <v>937</v>
      </c>
      <c r="AN28" s="659"/>
      <c r="AO28" s="659"/>
      <c r="AP28" s="659"/>
      <c r="AQ28" s="659"/>
      <c r="AR28" s="659"/>
      <c r="AS28" s="659"/>
      <c r="AT28" s="659"/>
      <c r="AU28" s="659"/>
      <c r="AV28" s="660"/>
      <c r="AW28" s="656" t="s">
        <v>938</v>
      </c>
      <c r="AX28" s="193"/>
      <c r="AY28" s="193"/>
      <c r="AZ28" s="193"/>
      <c r="BA28" s="193"/>
      <c r="BB28" s="266"/>
      <c r="BC28" s="89"/>
      <c r="BD28" s="50">
        <f>IF(ISBLANK('Start Page'!$AB$22),0,1)</f>
        <v>1</v>
      </c>
      <c r="BE28" s="174" t="s">
        <v>939</v>
      </c>
      <c r="BN28" s="535"/>
      <c r="BP28" s="611" t="s">
        <v>910</v>
      </c>
      <c r="BQ28" s="612" t="s">
        <v>911</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20.27924576916411</v>
      </c>
      <c r="AB29" s="1063"/>
      <c r="AC29" s="1063"/>
      <c r="AD29" s="729" t="str">
        <f>BD10</f>
        <v>gal/conn/day</v>
      </c>
      <c r="AE29" s="729"/>
      <c r="AF29" s="734"/>
      <c r="AG29" s="734"/>
      <c r="AH29" s="575"/>
      <c r="AI29" s="575"/>
      <c r="AJ29" s="575"/>
      <c r="AK29" s="1063">
        <f>BS43</f>
        <v>2.9587056384763568</v>
      </c>
      <c r="AL29" s="1063"/>
      <c r="AM29" s="1063"/>
      <c r="AN29" s="730" t="str">
        <f>BD10</f>
        <v>gal/conn/day</v>
      </c>
      <c r="AO29" s="575"/>
      <c r="AP29" s="575"/>
      <c r="AQ29" s="575"/>
      <c r="AR29" s="575"/>
      <c r="AS29" s="575"/>
      <c r="AT29" s="575"/>
      <c r="AU29" s="1069">
        <f>BS55</f>
        <v>17.320540130687753</v>
      </c>
      <c r="AV29" s="1069"/>
      <c r="AW29" s="1069"/>
      <c r="AX29" s="730" t="str">
        <f>BD10</f>
        <v>gal/conn/day</v>
      </c>
      <c r="AY29" s="575"/>
      <c r="AZ29" s="193"/>
      <c r="BA29" s="193"/>
      <c r="BB29" s="266"/>
      <c r="BC29" s="89"/>
      <c r="BD29" s="737" t="b">
        <f>IF('Interactive Data Grading'!D465=VPC!C28,TRUE,FALSE)</f>
        <v>0</v>
      </c>
      <c r="BE29" s="50" t="s">
        <v>940</v>
      </c>
      <c r="BO29" s="590" t="s">
        <v>923</v>
      </c>
      <c r="BP29" s="590"/>
      <c r="BQ29" s="590"/>
      <c r="BR29" s="579" t="s">
        <v>917</v>
      </c>
      <c r="BS29" s="606">
        <f>IF($BO$2&gt;0,"",IFERROR(N50/Worksheet!H62,""))</f>
        <v>13.939624390851911</v>
      </c>
      <c r="BT29" s="576"/>
      <c r="BU29" s="664" t="s">
        <v>911</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941</v>
      </c>
      <c r="BN30" s="609" t="s">
        <v>919</v>
      </c>
      <c r="BO30" s="591" t="s">
        <v>920</v>
      </c>
      <c r="BP30" s="593">
        <f>SUM(BP31:BP34)</f>
        <v>35.54734395994759</v>
      </c>
      <c r="BQ30" s="758">
        <f>IF($BD$7="ML/Yr",BW30,BU30)</f>
        <v>1.9039650877460725</v>
      </c>
      <c r="BR30" s="579" t="s">
        <v>921</v>
      </c>
      <c r="BS30" s="614">
        <f>IF(BS29="","",IF(BS29&lt;BQ30,0,IF(BS29&gt;BQ34,BQ34,BS29)))</f>
        <v>13.939624390851911</v>
      </c>
      <c r="BT30" s="591" t="s">
        <v>920</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942</v>
      </c>
      <c r="BN31" s="535"/>
      <c r="BO31" s="591" t="s">
        <v>926</v>
      </c>
      <c r="BP31" s="593">
        <f>BQ31</f>
        <v>3.7255465834551216</v>
      </c>
      <c r="BQ31" s="758">
        <f t="shared" ref="BQ31:BQ34" si="2">IF($BD$7="ML/Yr",BW31,BU31)</f>
        <v>3.7255465834551216</v>
      </c>
      <c r="BR31" s="591" t="s">
        <v>927</v>
      </c>
      <c r="BS31" s="595">
        <f>SUM(BP30:BP34)/125</f>
        <v>0.56875750335916142</v>
      </c>
      <c r="BT31" s="591" t="s">
        <v>926</v>
      </c>
      <c r="BU31" s="605">
        <v>3.7255465834551216</v>
      </c>
      <c r="BV31" s="594"/>
      <c r="BW31" s="762">
        <f>IF($Z$6="",BU31/0.737,BU31/$Z$6)</f>
        <v>5.0550157170354435</v>
      </c>
      <c r="BX31" s="50" t="s">
        <v>928</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87.6</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929</v>
      </c>
      <c r="BP32" s="593">
        <f>BQ32-BQ31</f>
        <v>4.2242209408171547</v>
      </c>
      <c r="BQ32" s="758">
        <f t="shared" si="2"/>
        <v>7.9497675242722758</v>
      </c>
      <c r="BR32" s="591" t="s">
        <v>901</v>
      </c>
      <c r="BS32" s="595">
        <f>SUM(BP30:BP34)-SUM(BS30,BS31)</f>
        <v>56.586306025684109</v>
      </c>
      <c r="BT32" s="591" t="s">
        <v>929</v>
      </c>
      <c r="BU32" s="605">
        <v>7.9497675242722758</v>
      </c>
      <c r="BV32" s="594"/>
      <c r="BW32" s="762">
        <f>IF($Z$6="",BU32/0.737,BU32/$Z$6)</f>
        <v>10.786658784629953</v>
      </c>
      <c r="BX32" s="50" t="s">
        <v>930</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932</v>
      </c>
      <c r="BP33" s="593">
        <f>BQ33-BQ32</f>
        <v>8.3367570590545697</v>
      </c>
      <c r="BQ33" s="758">
        <f t="shared" si="2"/>
        <v>16.286524583326845</v>
      </c>
      <c r="BR33" s="591"/>
      <c r="BS33" s="591"/>
      <c r="BT33" s="591" t="s">
        <v>932</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933</v>
      </c>
      <c r="BP34" s="593">
        <f>BQ34-BQ33</f>
        <v>19.260819376620745</v>
      </c>
      <c r="BQ34" s="758">
        <f t="shared" si="2"/>
        <v>35.54734395994759</v>
      </c>
      <c r="BR34" s="591"/>
      <c r="BS34" s="591"/>
      <c r="BT34" s="591" t="s">
        <v>933</v>
      </c>
      <c r="BU34" s="605">
        <v>35.54734395994759</v>
      </c>
      <c r="BV34" s="594"/>
      <c r="BW34" s="762">
        <f>IF($Z$6="",BU34/0.737,BU34/$Z$6)</f>
        <v>48.232488412411925</v>
      </c>
      <c r="BX34" s="613" t="s">
        <v>934</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910</v>
      </c>
      <c r="BQ35" s="612" t="s">
        <v>911</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936</v>
      </c>
      <c r="BP36" s="590"/>
      <c r="BQ36" s="590"/>
      <c r="BR36" s="579" t="s">
        <v>917</v>
      </c>
      <c r="BS36" s="607">
        <f>IF($BO$2&gt;0,"",IFERROR((BS55+BS43),""))</f>
        <v>20.27924576916411</v>
      </c>
      <c r="BT36" s="591"/>
      <c r="BU36" s="664" t="s">
        <v>911</v>
      </c>
      <c r="BV36" s="592"/>
      <c r="BW36" s="592"/>
      <c r="BX36" s="540"/>
      <c r="BY36" s="50" t="s">
        <v>943</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result is below 10th %ile</v>
      </c>
      <c r="AJ37" s="1058"/>
      <c r="AK37" s="1058"/>
      <c r="AL37" s="1058"/>
      <c r="AM37" s="193"/>
      <c r="AN37" s="193"/>
      <c r="AO37" s="193"/>
      <c r="AP37" s="193"/>
      <c r="AQ37" s="193"/>
      <c r="AR37" s="193"/>
      <c r="AS37" s="193"/>
      <c r="AT37" s="1058" t="str">
        <f>IF(BS69&lt;0,"negative result check inputs",IF($BS$70=0,"result is below 10th %ile",IF($BS$69&gt;$BS$70,"result is above 90th %ile","")))</f>
        <v/>
      </c>
      <c r="AU37" s="1058"/>
      <c r="AV37" s="1058"/>
      <c r="AW37" s="1058"/>
      <c r="AX37" s="193"/>
      <c r="AY37" s="193"/>
      <c r="AZ37" s="193"/>
      <c r="BA37" s="193"/>
      <c r="BB37" s="266"/>
      <c r="BC37" s="89"/>
      <c r="BD37" s="178"/>
      <c r="BF37" s="177"/>
      <c r="BN37" s="609" t="s">
        <v>919</v>
      </c>
      <c r="BO37" s="591" t="s">
        <v>920</v>
      </c>
      <c r="BP37" s="592">
        <f>SUM(BP38:BP41)</f>
        <v>125.15100211248117</v>
      </c>
      <c r="BQ37" s="613">
        <f>IF($BD$7="ML/Yr",BW37,BU37)</f>
        <v>21.095211492757553</v>
      </c>
      <c r="BR37" s="579" t="s">
        <v>921</v>
      </c>
      <c r="BS37" s="615">
        <f>IF(BS36="","",IF(BS36&lt;BQ37,0,IF(BS36&gt;BQ41,BQ41,BS36)))</f>
        <v>0</v>
      </c>
      <c r="BT37" s="591" t="s">
        <v>920</v>
      </c>
      <c r="BU37" s="603">
        <v>21.095211492757553</v>
      </c>
      <c r="BV37" s="592"/>
      <c r="BW37" s="597">
        <f>BU37*3.78541</f>
        <v>79.854024536799372</v>
      </c>
      <c r="BX37" s="541"/>
      <c r="BY37" s="50" t="s">
        <v>944</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926</v>
      </c>
      <c r="BP38" s="588">
        <f>BQ38</f>
        <v>29.480551398162277</v>
      </c>
      <c r="BQ38" s="613">
        <f t="shared" ref="BQ38:BQ41" si="3">IF($BD$7="ML/Yr",BW38,BU38)</f>
        <v>29.480551398162277</v>
      </c>
      <c r="BR38" s="591" t="s">
        <v>927</v>
      </c>
      <c r="BS38" s="595">
        <f>SUM(BP37:BP41)/125</f>
        <v>2.0024160337996988</v>
      </c>
      <c r="BT38" s="591" t="s">
        <v>926</v>
      </c>
      <c r="BU38" s="604">
        <v>29.480551398162277</v>
      </c>
      <c r="BV38" s="592"/>
      <c r="BW38" s="597">
        <f>BU38*3.78541</f>
        <v>111.59597406811747</v>
      </c>
      <c r="BX38" s="50" t="s">
        <v>945</v>
      </c>
      <c r="BY38" s="591" t="s">
        <v>927</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929</v>
      </c>
      <c r="BP39" s="588">
        <f>BQ39-BQ38</f>
        <v>15.908823434416718</v>
      </c>
      <c r="BQ39" s="613">
        <f t="shared" si="3"/>
        <v>45.389374832578994</v>
      </c>
      <c r="BR39" s="591" t="s">
        <v>901</v>
      </c>
      <c r="BS39" s="595">
        <f>SUM(BP37:BP41)-SUM(BS37,BS38)</f>
        <v>248.29958819116263</v>
      </c>
      <c r="BT39" s="591" t="s">
        <v>929</v>
      </c>
      <c r="BU39" s="604">
        <v>45.389374832578994</v>
      </c>
      <c r="BV39" s="592"/>
      <c r="BW39" s="597">
        <f t="shared" ref="BW39:BW41" si="4">BU39*3.78541</f>
        <v>171.81739338499287</v>
      </c>
      <c r="BX39" s="50" t="s">
        <v>946</v>
      </c>
      <c r="BY39" s="591" t="s">
        <v>901</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947</v>
      </c>
      <c r="AK40" s="578"/>
      <c r="AL40" s="580"/>
      <c r="AM40" s="577"/>
      <c r="AN40" s="577"/>
      <c r="AO40" s="577"/>
      <c r="AP40" s="577"/>
      <c r="AQ40" s="577"/>
      <c r="AR40" s="577"/>
      <c r="AS40" s="577"/>
      <c r="AT40" s="577"/>
      <c r="AU40" s="656" t="s">
        <v>948</v>
      </c>
      <c r="AV40" s="577"/>
      <c r="AW40" s="193"/>
      <c r="AX40" s="193"/>
      <c r="AY40" s="193"/>
      <c r="AZ40" s="193"/>
      <c r="BA40" s="193"/>
      <c r="BB40" s="266"/>
      <c r="BC40" s="89"/>
      <c r="BD40" s="178"/>
      <c r="BE40" s="178"/>
      <c r="BF40" s="178"/>
      <c r="BG40" s="178"/>
      <c r="BO40" s="591" t="s">
        <v>932</v>
      </c>
      <c r="BP40" s="588">
        <f>BQ40-BQ39</f>
        <v>30.842317024915928</v>
      </c>
      <c r="BQ40" s="613">
        <f t="shared" si="3"/>
        <v>76.231691857494923</v>
      </c>
      <c r="BR40" s="591"/>
      <c r="BS40" s="591"/>
      <c r="BT40" s="591" t="s">
        <v>932</v>
      </c>
      <c r="BU40" s="604">
        <v>76.231691857494923</v>
      </c>
      <c r="BV40" s="592"/>
      <c r="BW40" s="597">
        <f t="shared" si="4"/>
        <v>288.56820867427984</v>
      </c>
      <c r="BX40" s="50" t="s">
        <v>949</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0.86265704713211355</v>
      </c>
      <c r="AI41" s="1068"/>
      <c r="AJ41" s="1068"/>
      <c r="AK41" s="729" t="s">
        <v>950</v>
      </c>
      <c r="AL41" s="661"/>
      <c r="AM41" s="662"/>
      <c r="AN41" s="658"/>
      <c r="AO41" s="658"/>
      <c r="AP41" s="658"/>
      <c r="AQ41" s="658"/>
      <c r="AR41" s="658"/>
      <c r="AS41" s="1067">
        <f>BS69</f>
        <v>1638.6036570148322</v>
      </c>
      <c r="AT41" s="1067"/>
      <c r="AU41" s="1067"/>
      <c r="AV41" s="729" t="str">
        <f>BD11</f>
        <v>gal/mile/day</v>
      </c>
      <c r="AW41" s="193"/>
      <c r="AX41" s="193"/>
      <c r="AY41" s="193"/>
      <c r="AZ41" s="193"/>
      <c r="BA41" s="193"/>
      <c r="BB41" s="266"/>
      <c r="BC41" s="89"/>
      <c r="BD41" s="178"/>
      <c r="BE41" s="178"/>
      <c r="BF41" s="178"/>
      <c r="BG41" s="178"/>
      <c r="BO41" s="591" t="s">
        <v>933</v>
      </c>
      <c r="BP41" s="588">
        <f>BQ41-BQ40</f>
        <v>48.919310254986243</v>
      </c>
      <c r="BQ41" s="613">
        <f t="shared" si="3"/>
        <v>125.15100211248117</v>
      </c>
      <c r="BR41" s="591"/>
      <c r="BS41" s="591"/>
      <c r="BT41" s="591" t="s">
        <v>933</v>
      </c>
      <c r="BU41" s="604">
        <v>125.15100211248117</v>
      </c>
      <c r="BV41" s="592"/>
      <c r="BW41" s="597">
        <f t="shared" si="4"/>
        <v>473.74785490660736</v>
      </c>
      <c r="BX41" s="50" t="s">
        <v>951</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952</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910</v>
      </c>
      <c r="BQ42" s="612" t="s">
        <v>911</v>
      </c>
      <c r="BR42" s="591"/>
      <c r="BS42" s="591"/>
      <c r="BT42" s="591"/>
      <c r="BU42" s="592"/>
      <c r="BV42" s="592"/>
      <c r="BW42" s="592"/>
      <c r="BX42" s="601" t="s">
        <v>953</v>
      </c>
    </row>
    <row r="43" spans="1:78" ht="15" customHeight="1">
      <c r="A43" s="89"/>
      <c r="B43" s="488"/>
      <c r="C43" s="370"/>
      <c r="D43" s="370"/>
      <c r="E43" s="173" t="s">
        <v>954</v>
      </c>
      <c r="F43" s="50"/>
      <c r="G43" s="50"/>
      <c r="H43" s="50"/>
      <c r="I43" s="50"/>
      <c r="J43" s="50"/>
      <c r="K43" s="50"/>
      <c r="L43" s="50"/>
      <c r="M43" s="371"/>
      <c r="N43" s="371"/>
      <c r="O43" s="173" t="s">
        <v>274</v>
      </c>
      <c r="P43" s="193"/>
      <c r="Q43" s="193"/>
      <c r="R43" s="193"/>
      <c r="S43" s="193"/>
      <c r="T43" s="193"/>
      <c r="U43" s="193"/>
      <c r="V43" s="193"/>
      <c r="W43" s="193"/>
      <c r="X43" s="193"/>
      <c r="Y43" s="50"/>
      <c r="Z43" s="1064" t="s">
        <v>955</v>
      </c>
      <c r="AA43" s="1064"/>
      <c r="AB43" s="1064"/>
      <c r="AC43" s="1064"/>
      <c r="AD43" s="1064"/>
      <c r="AE43" s="1064"/>
      <c r="AF43" s="1064"/>
      <c r="AG43" s="1064"/>
      <c r="AH43" s="1064"/>
      <c r="AI43" s="1064"/>
      <c r="AJ43" s="1064"/>
      <c r="AK43" s="1065">
        <f>IF(OR(ISBLANK('Start Page'!$AB$22),LEN(Worksheet!C70)&gt;0),"",VLOOKUP(BD7,BD18:BE20,2,FALSE))</f>
        <v>14.906204315113634</v>
      </c>
      <c r="AL43" s="1065"/>
      <c r="AM43" s="1065"/>
      <c r="AN43" s="1065"/>
      <c r="AO43" s="773" t="str">
        <f>BD7</f>
        <v>MG/Yr</v>
      </c>
      <c r="AP43" s="575"/>
      <c r="AQ43" s="575"/>
      <c r="AR43" s="575"/>
      <c r="AS43" s="1065">
        <f>IF(BG19=1,BF19,IFERROR(AK43*1000000/Worksheet!H62/365,""))</f>
        <v>20.07812975998927</v>
      </c>
      <c r="AT43" s="1065"/>
      <c r="AU43" s="1065"/>
      <c r="AV43" s="1065"/>
      <c r="AW43" s="572" t="str">
        <f>BD10</f>
        <v>gal/conn/day</v>
      </c>
      <c r="AX43" s="575"/>
      <c r="AY43" s="575"/>
      <c r="AZ43" s="575"/>
      <c r="BA43" s="193"/>
      <c r="BB43" s="266"/>
      <c r="BC43" s="89"/>
      <c r="BD43" s="176"/>
      <c r="BO43" s="590" t="s">
        <v>937</v>
      </c>
      <c r="BP43" s="590"/>
      <c r="BQ43" s="590"/>
      <c r="BR43" s="579" t="s">
        <v>917</v>
      </c>
      <c r="BS43" s="607">
        <f>IF($BO$2&gt;0,"",IF(ISERROR(1/Worksheet!H62),"",IF('Start Page'!$AB$22="Acre-feet",Worksheet!H46*325851/1000000,Worksheet!H46)*1000000/365/Worksheet!H62))</f>
        <v>2.9587056384763568</v>
      </c>
      <c r="BT43" s="591"/>
      <c r="BU43" s="664" t="s">
        <v>911</v>
      </c>
      <c r="BV43" s="592"/>
      <c r="BW43" s="592"/>
      <c r="BX43" s="613" t="s">
        <v>934</v>
      </c>
      <c r="BY43" s="50" t="s">
        <v>943</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956</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919</v>
      </c>
      <c r="BO44" s="591" t="s">
        <v>920</v>
      </c>
      <c r="BP44" s="592">
        <f>SUM(BP45:BP48)</f>
        <v>16.320999291962284</v>
      </c>
      <c r="BQ44" s="613">
        <f>IF($BD$7="ML/Yr",BW44,BU44)</f>
        <v>1.1863793690124249</v>
      </c>
      <c r="BR44" s="579" t="s">
        <v>921</v>
      </c>
      <c r="BS44" s="615">
        <f>IF(BS43="","",IF(BS43&lt;BQ44,0,IF(BS43&gt;BQ48,BQ48,BS43)))</f>
        <v>2.9587056384763568</v>
      </c>
      <c r="BT44" s="591" t="s">
        <v>920</v>
      </c>
      <c r="BU44" s="604">
        <v>1.1863793690124249</v>
      </c>
      <c r="BV44" s="592"/>
      <c r="BW44" s="597">
        <f>BU44*3.78541</f>
        <v>4.4909323272533239</v>
      </c>
      <c r="BX44" s="541"/>
      <c r="BY44" s="50" t="s">
        <v>944</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957</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926</v>
      </c>
      <c r="BP45" s="588">
        <f>BQ45</f>
        <v>2.7528558495753783</v>
      </c>
      <c r="BQ45" s="613">
        <f t="shared" ref="BQ45:BQ48" si="5">IF($BD$7="ML/Yr",BW45,BU45)</f>
        <v>2.7528558495753783</v>
      </c>
      <c r="BR45" s="591" t="s">
        <v>927</v>
      </c>
      <c r="BS45" s="595">
        <f>SUM(BP44:BP48)/125</f>
        <v>0.26113598867139654</v>
      </c>
      <c r="BT45" s="591" t="s">
        <v>926</v>
      </c>
      <c r="BU45" s="604">
        <v>2.7528558495753783</v>
      </c>
      <c r="BV45" s="592"/>
      <c r="BW45" s="597">
        <f t="shared" ref="BW45:BW48" si="6">BU45*3.78541</f>
        <v>10.420688061541133</v>
      </c>
      <c r="BX45" s="50" t="s">
        <v>945</v>
      </c>
      <c r="BY45" s="591" t="s">
        <v>927</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929</v>
      </c>
      <c r="BP46" s="588">
        <f>BQ46-BQ45</f>
        <v>2.5474471374368308</v>
      </c>
      <c r="BQ46" s="613">
        <f t="shared" si="5"/>
        <v>5.3003029870122091</v>
      </c>
      <c r="BR46" s="591" t="s">
        <v>901</v>
      </c>
      <c r="BS46" s="595">
        <f>SUM(BP44:BP48)-SUM(BS44,BS45)</f>
        <v>29.422156956776814</v>
      </c>
      <c r="BT46" s="591" t="s">
        <v>929</v>
      </c>
      <c r="BU46" s="604">
        <v>5.3003029870122091</v>
      </c>
      <c r="BV46" s="592"/>
      <c r="BW46" s="597">
        <f t="shared" si="6"/>
        <v>20.063819930065886</v>
      </c>
      <c r="BX46" s="50" t="s">
        <v>946</v>
      </c>
      <c r="BY46" s="591" t="s">
        <v>901</v>
      </c>
      <c r="BZ46" s="595" t="str">
        <f>IF(BZ45="","",SUM(BP44:BP48)-SUM(BZ44,BZ45))</f>
        <v/>
      </c>
    </row>
    <row r="47" spans="1:78" ht="12.95" customHeight="1">
      <c r="A47" s="89"/>
      <c r="B47" s="488"/>
      <c r="C47" s="50"/>
      <c r="D47" s="193"/>
      <c r="E47" s="711"/>
      <c r="F47" s="193"/>
      <c r="G47" s="193"/>
      <c r="H47" s="193"/>
      <c r="I47" s="1076" t="s">
        <v>958</v>
      </c>
      <c r="J47" s="1076"/>
      <c r="K47" s="1076"/>
      <c r="L47" s="1076"/>
      <c r="M47" s="572"/>
      <c r="N47" s="1076" t="s">
        <v>896</v>
      </c>
      <c r="O47" s="1076"/>
      <c r="P47" s="1076"/>
      <c r="Q47" s="1076"/>
      <c r="R47" s="1072" t="s">
        <v>959</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932</v>
      </c>
      <c r="BP47" s="588">
        <f>BQ47-BQ46</f>
        <v>4.0544051080008483</v>
      </c>
      <c r="BQ47" s="613">
        <f t="shared" si="5"/>
        <v>9.3547080950130574</v>
      </c>
      <c r="BR47" s="591"/>
      <c r="BS47" s="591"/>
      <c r="BT47" s="591" t="s">
        <v>932</v>
      </c>
      <c r="BU47" s="604">
        <v>9.3547080950130574</v>
      </c>
      <c r="BV47" s="592"/>
      <c r="BW47" s="597">
        <f t="shared" si="6"/>
        <v>35.411405569943376</v>
      </c>
      <c r="BX47" s="50" t="s">
        <v>949</v>
      </c>
    </row>
    <row r="48" spans="1:78" ht="15" customHeight="1">
      <c r="A48" s="89"/>
      <c r="B48" s="488"/>
      <c r="C48" s="118"/>
      <c r="D48" s="118"/>
      <c r="E48" s="711"/>
      <c r="F48" s="118"/>
      <c r="G48" s="118"/>
      <c r="H48" s="118"/>
      <c r="I48" s="1076" t="str">
        <f>BD7</f>
        <v>MG/Yr</v>
      </c>
      <c r="J48" s="1076"/>
      <c r="K48" s="1076"/>
      <c r="L48" s="1076"/>
      <c r="M48" s="572"/>
      <c r="N48" s="1076" t="s">
        <v>960</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933</v>
      </c>
      <c r="BP48" s="588">
        <f>BQ48-BQ47</f>
        <v>6.9662911969492267</v>
      </c>
      <c r="BQ48" s="613">
        <f t="shared" si="5"/>
        <v>16.320999291962284</v>
      </c>
      <c r="BR48" s="591"/>
      <c r="BS48" s="591"/>
      <c r="BT48" s="591" t="s">
        <v>933</v>
      </c>
      <c r="BU48" s="604">
        <v>16.320999291962284</v>
      </c>
      <c r="BV48" s="592"/>
      <c r="BW48" s="597">
        <f t="shared" si="6"/>
        <v>61.781673929786955</v>
      </c>
      <c r="BX48" s="50" t="s">
        <v>951</v>
      </c>
    </row>
    <row r="49" spans="1:78" ht="15" customHeight="1">
      <c r="A49" s="89"/>
      <c r="B49" s="488"/>
      <c r="C49" s="118"/>
      <c r="D49" s="118"/>
      <c r="E49" s="711"/>
      <c r="F49" s="118"/>
      <c r="G49" s="118"/>
      <c r="H49" s="180" t="s">
        <v>745</v>
      </c>
      <c r="I49" s="1074">
        <f>IF(ISBLANK('Start Page'!$AB$22),"",Worksheet!H46)</f>
        <v>2.196572653061232</v>
      </c>
      <c r="J49" s="1074"/>
      <c r="K49" s="1074"/>
      <c r="L49" s="1074"/>
      <c r="M49" s="558"/>
      <c r="N49" s="1075">
        <f>IF(OR(ISBLANK('Start Page'!$AB$22),ISBLANK(Worksheet!J76)),"",(SUM(Worksheet!H43+Worksheet!H39+Worksheet!X50)*Worksheet!H76)*INDEX(Sheet1!B2:D4,MATCH('Start Page'!AB22,Sheet1!A2:A4,0),MATCH(Worksheet!J76,Sheet1!B1:D1,0))+Worksheet!Y50*Worksheet!H77)</f>
        <v>30388.378214693854</v>
      </c>
      <c r="O49" s="1075"/>
      <c r="P49" s="1075"/>
      <c r="Q49" s="1075"/>
      <c r="R49" s="1066" t="s">
        <v>580</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953</v>
      </c>
    </row>
    <row r="50" spans="1:78" ht="15" customHeight="1">
      <c r="A50" s="89"/>
      <c r="B50" s="488"/>
      <c r="C50" s="118"/>
      <c r="D50" s="118"/>
      <c r="E50" s="711"/>
      <c r="F50" s="118"/>
      <c r="G50" s="118"/>
      <c r="H50" s="180" t="s">
        <v>954</v>
      </c>
      <c r="I50" s="1074">
        <f>IF(ISBLANK('Start Page'!$AB$22),"",Worksheet!H51)</f>
        <v>12.858942198423897</v>
      </c>
      <c r="J50" s="1074"/>
      <c r="K50" s="1074"/>
      <c r="L50" s="1074"/>
      <c r="M50" s="558"/>
      <c r="N50" s="1075">
        <f>IFERROR(IF(Worksheet!H41="Select under/over","",IF(ISBLANK('Start Page'!AB22),"",Worksheet!H51*(IF(BD29=FALSE,Worksheet!H77,IF(BD29=TRUE,Worksheet!H76*INDEX(Sheet1!B2:D4,MATCH('Start Page'!AB22,Sheet1!A2:A4,0),MATCH(Worksheet!J76,Sheet1!B1:D1,0)),""))))),"")</f>
        <v>28353.196010992786</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934</v>
      </c>
    </row>
    <row r="51" spans="1:78" ht="15" customHeight="1">
      <c r="A51" s="89"/>
      <c r="B51" s="488"/>
      <c r="C51" s="118"/>
      <c r="D51" s="118"/>
      <c r="E51" s="711"/>
      <c r="F51" s="118"/>
      <c r="G51" s="118"/>
      <c r="H51" s="180" t="s">
        <v>961</v>
      </c>
      <c r="I51" s="1074">
        <f>IF(ISBLANK('Start Page'!$AB$22),"",SUM(Worksheet!H25:H26))</f>
        <v>9.004999999999999</v>
      </c>
      <c r="J51" s="1074"/>
      <c r="K51" s="1074"/>
      <c r="L51" s="1074"/>
      <c r="M51" s="558"/>
      <c r="N51" s="1075">
        <f>IFERROR(IF(SUM(Sheet1!D90:D91)=0,"",SUM(Sheet1!D90:D91)),"")</f>
        <v>19855.484700000001</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962</v>
      </c>
      <c r="I52" s="1074">
        <f>IF(SUM(I49:I51)=0,"",SUM(I49:I51))</f>
        <v>24.060514851485127</v>
      </c>
      <c r="J52" s="1074"/>
      <c r="K52" s="1074"/>
      <c r="L52" s="1074"/>
      <c r="M52" s="558"/>
      <c r="N52" s="1075">
        <f>IF(SUM(N49:N51)=0,"",SUM(N49:N51))</f>
        <v>78597.058925686637</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910</v>
      </c>
      <c r="BQ53" s="612" t="s">
        <v>911</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963</v>
      </c>
      <c r="BP55" s="590"/>
      <c r="BQ55" s="590"/>
      <c r="BR55" s="579" t="s">
        <v>917</v>
      </c>
      <c r="BS55" s="607">
        <f>IF($BO$2&gt;0,"",IF(Worksheet!H51="","",IF(ISERROR(1/Worksheet!H62),"",IF('Start Page'!$AB$22="Megalitres (thousand cubic metres)",Worksheet!H51*1000000/365/Worksheet!H62,IF('Start Page'!$AB$22="Million gallons (US)",Worksheet!H51*1000000,Worksheet!H51*325851)/365/Worksheet!H62))))</f>
        <v>17.320540130687753</v>
      </c>
      <c r="BT55" s="591"/>
      <c r="BU55" s="664" t="s">
        <v>911</v>
      </c>
      <c r="BV55" s="592"/>
      <c r="BW55" s="592"/>
      <c r="BX55" s="541"/>
      <c r="BY55" s="50" t="s">
        <v>943</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919</v>
      </c>
      <c r="BO56" s="591" t="s">
        <v>920</v>
      </c>
      <c r="BP56" s="592">
        <f>SUM(BP57:BP60)</f>
        <v>115.43298001472428</v>
      </c>
      <c r="BQ56" s="613">
        <f>IF($BD$7="ML/Yr",BW56,BU56)</f>
        <v>16.277522142556361</v>
      </c>
      <c r="BR56" s="579" t="s">
        <v>921</v>
      </c>
      <c r="BS56" s="615">
        <f>IF(BS55="","",IF(BS55&lt;BQ56,0,IF(BS55&gt;BQ60,BQ60,BS55)))</f>
        <v>17.320540130687753</v>
      </c>
      <c r="BT56" s="591" t="s">
        <v>920</v>
      </c>
      <c r="BU56" s="603">
        <v>16.277522142556361</v>
      </c>
      <c r="BV56" s="592"/>
      <c r="BW56" s="597">
        <f t="shared" ref="BW56:BW60" si="7">BU56*3.78541</f>
        <v>61.617095093654278</v>
      </c>
      <c r="BX56" s="541"/>
      <c r="BY56" s="50" t="s">
        <v>944</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926</v>
      </c>
      <c r="BP57" s="588">
        <f>BQ57</f>
        <v>22.721688432860574</v>
      </c>
      <c r="BQ57" s="613">
        <f t="shared" ref="BQ57:BQ60" si="8">IF($BD$7="ML/Yr",BW57,BU57)</f>
        <v>22.721688432860574</v>
      </c>
      <c r="BR57" s="591" t="s">
        <v>927</v>
      </c>
      <c r="BS57" s="595">
        <f>SUM(BP56:BP60)/125</f>
        <v>1.8469276802355887</v>
      </c>
      <c r="BT57" s="591" t="s">
        <v>926</v>
      </c>
      <c r="BU57" s="603">
        <v>22.721688432860574</v>
      </c>
      <c r="BV57" s="592"/>
      <c r="BW57" s="597">
        <f t="shared" si="7"/>
        <v>86.010906610634748</v>
      </c>
      <c r="BX57" s="50" t="s">
        <v>945</v>
      </c>
      <c r="BY57" s="591" t="s">
        <v>927</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929</v>
      </c>
      <c r="BP58" s="588">
        <f>BQ58-BQ57</f>
        <v>14.053484230273789</v>
      </c>
      <c r="BQ58" s="613">
        <f t="shared" si="8"/>
        <v>36.775172663134363</v>
      </c>
      <c r="BR58" s="591" t="s">
        <v>901</v>
      </c>
      <c r="BS58" s="595">
        <f>SUM(BP56:BP60)-SUM(BS56,BS57)</f>
        <v>211.69849221852525</v>
      </c>
      <c r="BT58" s="591" t="s">
        <v>929</v>
      </c>
      <c r="BU58" s="603">
        <v>36.775172663134363</v>
      </c>
      <c r="BV58" s="592"/>
      <c r="BW58" s="597">
        <f t="shared" si="7"/>
        <v>139.20910635075546</v>
      </c>
      <c r="BX58" s="50" t="s">
        <v>946</v>
      </c>
      <c r="BY58" s="591" t="s">
        <v>901</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932</v>
      </c>
      <c r="BP59" s="588">
        <f>BQ59-BQ58</f>
        <v>29.603369869319486</v>
      </c>
      <c r="BQ59" s="613">
        <f t="shared" si="8"/>
        <v>66.378542532453849</v>
      </c>
      <c r="BR59" s="591"/>
      <c r="BS59" s="591"/>
      <c r="BT59" s="591" t="s">
        <v>932</v>
      </c>
      <c r="BU59" s="603">
        <v>66.378542532453849</v>
      </c>
      <c r="BV59" s="592"/>
      <c r="BW59" s="597">
        <f t="shared" si="7"/>
        <v>251.26999868777614</v>
      </c>
      <c r="BX59" s="50" t="s">
        <v>949</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933</v>
      </c>
      <c r="BP60" s="588">
        <f>BQ60-BQ59</f>
        <v>49.05443748227043</v>
      </c>
      <c r="BQ60" s="613">
        <f t="shared" si="8"/>
        <v>115.43298001472428</v>
      </c>
      <c r="BR60" s="591"/>
      <c r="BS60" s="591"/>
      <c r="BT60" s="591" t="s">
        <v>933</v>
      </c>
      <c r="BU60" s="603">
        <v>115.43298001472428</v>
      </c>
      <c r="BV60" s="592"/>
      <c r="BW60" s="597">
        <f t="shared" si="7"/>
        <v>436.96115687753746</v>
      </c>
      <c r="BX60" s="50" t="s">
        <v>951</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910</v>
      </c>
      <c r="BQ61" s="612" t="s">
        <v>911</v>
      </c>
      <c r="BR61" s="576"/>
      <c r="BS61" s="576"/>
      <c r="BT61" s="576"/>
      <c r="BU61" s="594"/>
      <c r="BV61" s="592"/>
      <c r="BW61" s="594"/>
      <c r="BX61" s="601" t="s">
        <v>953</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964</v>
      </c>
      <c r="BP62" s="590"/>
      <c r="BQ62" s="590"/>
      <c r="BR62" s="579" t="s">
        <v>917</v>
      </c>
      <c r="BS62" s="607">
        <f>IF($BO$2&gt;0,"",IFERROR(IF(ISERROR(1/AK43),"",I50/AK43),""))</f>
        <v>0.86265704713211355</v>
      </c>
      <c r="BT62" s="576"/>
      <c r="BU62" s="664" t="s">
        <v>911</v>
      </c>
      <c r="BV62" s="594"/>
      <c r="BW62" s="594"/>
      <c r="BX62" s="613" t="s">
        <v>934</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919</v>
      </c>
      <c r="BO63" s="591" t="s">
        <v>920</v>
      </c>
      <c r="BP63" s="592">
        <f>SUM(BP64:BP67)</f>
        <v>5.6785169995812712</v>
      </c>
      <c r="BQ63" s="592">
        <f>BU63</f>
        <v>0.88524096981003719</v>
      </c>
      <c r="BR63" s="579" t="s">
        <v>921</v>
      </c>
      <c r="BS63" s="615">
        <f>IF(BS62="","",IF(BS62&lt;BQ63,0,IF(BS62&gt;BQ67,BQ67,BS62)))</f>
        <v>0</v>
      </c>
      <c r="BT63" s="591" t="s">
        <v>920</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926</v>
      </c>
      <c r="BP64" s="592">
        <f>BQ64</f>
        <v>1.1802115431372406</v>
      </c>
      <c r="BQ64" s="592">
        <f t="shared" ref="BQ64:BQ67" si="9">BU64</f>
        <v>1.1802115431372406</v>
      </c>
      <c r="BR64" s="591" t="s">
        <v>927</v>
      </c>
      <c r="BS64" s="595">
        <f>SUM(BP63:BP67)/125</f>
        <v>9.0856271993300333E-2</v>
      </c>
      <c r="BT64" s="591" t="s">
        <v>926</v>
      </c>
      <c r="BU64" s="603">
        <v>1.1802115431372406</v>
      </c>
      <c r="BV64" s="594"/>
      <c r="BW64" s="594"/>
      <c r="BX64" s="50" t="s">
        <v>965</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929</v>
      </c>
      <c r="BP65" s="592">
        <f>BQ65-BQ64</f>
        <v>0.66786196495481698</v>
      </c>
      <c r="BQ65" s="592">
        <f t="shared" si="9"/>
        <v>1.8480735080920576</v>
      </c>
      <c r="BR65" s="591" t="s">
        <v>901</v>
      </c>
      <c r="BS65" s="595">
        <f>SUM(BP63:BP67)-SUM(BS63,BS64)</f>
        <v>11.266177727169243</v>
      </c>
      <c r="BT65" s="591" t="s">
        <v>929</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932</v>
      </c>
      <c r="BP66" s="592">
        <f>BQ66-BQ65</f>
        <v>1.3196245561942783</v>
      </c>
      <c r="BQ66" s="592">
        <f t="shared" si="9"/>
        <v>3.1676980642863359</v>
      </c>
      <c r="BR66" s="591"/>
      <c r="BS66" s="591"/>
      <c r="BT66" s="591" t="s">
        <v>932</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933</v>
      </c>
      <c r="BP67" s="592">
        <f>BQ67-BQ66</f>
        <v>2.5108189352949353</v>
      </c>
      <c r="BQ67" s="592">
        <f t="shared" si="9"/>
        <v>5.6785169995812712</v>
      </c>
      <c r="BR67" s="591"/>
      <c r="BS67" s="591"/>
      <c r="BT67" s="591" t="s">
        <v>933</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910</v>
      </c>
      <c r="BQ68" s="612" t="s">
        <v>911</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966</v>
      </c>
      <c r="BP69" s="590"/>
      <c r="BQ69" s="590"/>
      <c r="BR69" s="579" t="s">
        <v>917</v>
      </c>
      <c r="BS69" s="608">
        <f>IF($BO$2&gt;0,"",IF(Worksheet!H51="","",IF(ISERROR(1/Worksheet!H61),"",IF('Start Page'!$AB$22="Acre-feet",Worksheet!H51*325851/1000000,Worksheet!H51)*1000000/365/Worksheet!H61)))</f>
        <v>1638.6036570148322</v>
      </c>
      <c r="BT69" s="576"/>
      <c r="BU69" s="664" t="s">
        <v>911</v>
      </c>
      <c r="BV69" s="594"/>
      <c r="BW69" s="594"/>
      <c r="BX69" s="541"/>
      <c r="BY69" s="50" t="s">
        <v>943</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919</v>
      </c>
      <c r="BO70" s="591" t="s">
        <v>920</v>
      </c>
      <c r="BP70" s="600">
        <f>SUM(BP71:BP74)</f>
        <v>6074.127474647431</v>
      </c>
      <c r="BQ70" s="613">
        <f>IF($BD$7="ML/Yr",BW70,BU70)</f>
        <v>879.72156275907298</v>
      </c>
      <c r="BR70" s="579" t="s">
        <v>921</v>
      </c>
      <c r="BS70" s="616">
        <f>IF(BS69="","",IF(BS69&lt;BQ70,0,IF(BS69&gt;BQ74,BQ74,BS69)))</f>
        <v>1638.6036570148322</v>
      </c>
      <c r="BT70" s="591" t="s">
        <v>920</v>
      </c>
      <c r="BU70" s="602">
        <v>879.72156275907298</v>
      </c>
      <c r="BV70" s="594"/>
      <c r="BW70" s="598">
        <f>BU70*3.78541/1.60934</f>
        <v>2069.2375762013139</v>
      </c>
      <c r="BX70" s="541"/>
      <c r="BY70" s="50" t="s">
        <v>944</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926</v>
      </c>
      <c r="BP71" s="616">
        <f>BQ71</f>
        <v>1289.3731309804823</v>
      </c>
      <c r="BQ71" s="613">
        <f t="shared" ref="BQ71:BQ74" si="10">IF($BD$7="ML/Yr",BW71,BU71)</f>
        <v>1289.3731309804823</v>
      </c>
      <c r="BR71" s="591" t="s">
        <v>927</v>
      </c>
      <c r="BS71" s="595">
        <f>SUM(BP70:BP74)/125</f>
        <v>97.186039594358903</v>
      </c>
      <c r="BT71" s="591" t="s">
        <v>926</v>
      </c>
      <c r="BU71" s="602">
        <v>1289.3731309804823</v>
      </c>
      <c r="BV71" s="594"/>
      <c r="BW71" s="598">
        <f>BU71*3.78541/1.60934</f>
        <v>3032.799746321366</v>
      </c>
      <c r="BX71" s="50" t="s">
        <v>967</v>
      </c>
      <c r="BY71" s="591" t="s">
        <v>927</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929</v>
      </c>
      <c r="BP72" s="616">
        <f>BQ72-BQ71</f>
        <v>759.55275547112319</v>
      </c>
      <c r="BQ72" s="613">
        <f t="shared" si="10"/>
        <v>2048.9258864516055</v>
      </c>
      <c r="BR72" s="591" t="s">
        <v>901</v>
      </c>
      <c r="BS72" s="600">
        <f>SUM(BP70:BP74)-SUM(BS70,BS71)</f>
        <v>10412.465252685672</v>
      </c>
      <c r="BT72" s="591" t="s">
        <v>929</v>
      </c>
      <c r="BU72" s="602">
        <v>2048.9258864516055</v>
      </c>
      <c r="BV72" s="594"/>
      <c r="BW72" s="598">
        <f t="shared" ref="BW72:BW74" si="11">BU72*3.78541/1.60934</f>
        <v>4819.3821938389483</v>
      </c>
      <c r="BX72" s="50" t="s">
        <v>946</v>
      </c>
      <c r="BY72" s="591" t="s">
        <v>901</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932</v>
      </c>
      <c r="BP73" s="616">
        <f>BQ73-BQ72</f>
        <v>1590.6845140948462</v>
      </c>
      <c r="BQ73" s="613">
        <f t="shared" si="10"/>
        <v>3639.6104005464517</v>
      </c>
      <c r="BR73" s="591"/>
      <c r="BS73" s="591"/>
      <c r="BT73" s="591" t="s">
        <v>932</v>
      </c>
      <c r="BU73" s="602">
        <v>3639.6104005464517</v>
      </c>
      <c r="BV73" s="594"/>
      <c r="BW73" s="598">
        <f t="shared" si="11"/>
        <v>8560.9116820140825</v>
      </c>
      <c r="BX73" s="50" t="s">
        <v>949</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933</v>
      </c>
      <c r="BP74" s="616">
        <f>BQ74-BQ73</f>
        <v>2434.5170741009792</v>
      </c>
      <c r="BQ74" s="613">
        <f t="shared" si="10"/>
        <v>6074.127474647431</v>
      </c>
      <c r="BR74" s="591"/>
      <c r="BS74" s="591"/>
      <c r="BT74" s="591" t="s">
        <v>933</v>
      </c>
      <c r="BU74" s="602">
        <v>6074.127474647431</v>
      </c>
      <c r="BV74" s="594"/>
      <c r="BW74" s="598">
        <f t="shared" si="11"/>
        <v>14287.262408071094</v>
      </c>
      <c r="BX74" s="50" t="s">
        <v>968</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969</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910</v>
      </c>
      <c r="BQ76" s="612" t="s">
        <v>911</v>
      </c>
      <c r="BR76" s="576"/>
      <c r="BS76" s="576"/>
      <c r="BT76" s="576"/>
      <c r="BU76" s="594"/>
      <c r="BV76" s="594"/>
      <c r="BW76" s="594"/>
      <c r="BX76" s="613" t="s">
        <v>934</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970</v>
      </c>
      <c r="BP77" s="590"/>
      <c r="BT77" s="576"/>
      <c r="BU77" s="664" t="s">
        <v>911</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919</v>
      </c>
      <c r="BO78" s="591" t="s">
        <v>920</v>
      </c>
      <c r="BP78" s="600">
        <v>0</v>
      </c>
      <c r="BQ78" s="767">
        <f>IF($BD$7="ML/Yr",BW78,BU78)</f>
        <v>52.334191473572488</v>
      </c>
      <c r="BS78" s="616"/>
      <c r="BT78" s="591" t="s">
        <v>920</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926</v>
      </c>
      <c r="BP79" s="616">
        <f>BQ79-BQ78</f>
        <v>7.6622700288460379</v>
      </c>
      <c r="BQ79" s="767">
        <f>IF($BD$7="ML/Yr",BW79,BU79)</f>
        <v>59.996461502418526</v>
      </c>
      <c r="BS79" s="595"/>
      <c r="BT79" s="591" t="s">
        <v>926</v>
      </c>
      <c r="BU79" s="602">
        <v>59.996461502418526</v>
      </c>
      <c r="BV79" s="594"/>
      <c r="BW79" s="598">
        <f t="shared" ref="BW79:BW82" si="12">BU79*0.70324961490205</f>
        <v>42.192488447061493</v>
      </c>
      <c r="BX79" s="50" t="s">
        <v>971</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929</v>
      </c>
      <c r="BP80" s="616">
        <f>BQ80-BQ79</f>
        <v>10.003538497581474</v>
      </c>
      <c r="BQ80" s="767">
        <f>IF($BD$7="ML/Yr",BW80,BU80)</f>
        <v>70</v>
      </c>
      <c r="BS80" s="600"/>
      <c r="BT80" s="591" t="s">
        <v>929</v>
      </c>
      <c r="BU80" s="602">
        <v>70</v>
      </c>
      <c r="BV80" s="594"/>
      <c r="BW80" s="598">
        <f t="shared" si="12"/>
        <v>49.227473043143497</v>
      </c>
      <c r="BX80" s="50" t="s">
        <v>949</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932</v>
      </c>
      <c r="BP81" s="616">
        <f>BQ81-BQ80</f>
        <v>11.988291197308087</v>
      </c>
      <c r="BQ81" s="767">
        <f>IF($BD$7="ML/Yr",BW81,BU81)</f>
        <v>81.988291197308087</v>
      </c>
      <c r="BS81" s="591"/>
      <c r="BT81" s="591" t="s">
        <v>932</v>
      </c>
      <c r="BU81" s="602">
        <v>81.988291197308087</v>
      </c>
      <c r="BV81" s="594"/>
      <c r="BW81" s="598">
        <f t="shared" si="12"/>
        <v>57.658234210984041</v>
      </c>
      <c r="BX81" s="50" t="s">
        <v>972</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933</v>
      </c>
      <c r="BP82" s="616">
        <f>BQ82-BQ81</f>
        <v>15.011708802691913</v>
      </c>
      <c r="BQ82" s="767">
        <f>IF($BD$7="ML/Yr",BW82,BU82)</f>
        <v>97</v>
      </c>
      <c r="BS82" s="591"/>
      <c r="BT82" s="591" t="s">
        <v>933</v>
      </c>
      <c r="BU82" s="602">
        <v>97</v>
      </c>
      <c r="BV82" s="594"/>
      <c r="BW82" s="598">
        <f t="shared" si="12"/>
        <v>68.215212645498852</v>
      </c>
      <c r="BX82" s="601" t="s">
        <v>973</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35.265808526427506</v>
      </c>
      <c r="BQ83" s="608">
        <f>BP83+BQ78</f>
        <v>87.6</v>
      </c>
      <c r="BX83" s="613" t="s">
        <v>934</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974</v>
      </c>
      <c r="C2" s="1084"/>
      <c r="D2" s="1084"/>
      <c r="E2" s="1084"/>
      <c r="F2" s="1084"/>
      <c r="G2" s="1084"/>
      <c r="H2" s="1084"/>
    </row>
    <row r="3" spans="2:21" ht="6.6" customHeight="1">
      <c r="F3" s="497"/>
      <c r="G3" s="497"/>
      <c r="H3" s="497"/>
    </row>
    <row r="4" spans="2:21" ht="13.35" customHeight="1">
      <c r="F4" s="200" t="s">
        <v>705</v>
      </c>
      <c r="G4" s="747" t="str">
        <f>IF(ISBLANK('Start Page'!AB9),"&lt;&lt; Please enter system details on the Start Page &gt;&gt;",'Start Page'!AB9&amp;IF(ISBLANK('Start Page'!AM28),"","  ("&amp;'Start Page'!AM28&amp;")"))</f>
        <v>PAW- Kittanning District 440</v>
      </c>
      <c r="H4" s="748" t="str">
        <f>IF(ISBLANK('Start Page'!AB19),"",'Start Page'!AB19)</f>
        <v>Calendar</v>
      </c>
    </row>
    <row r="5" spans="2:21" ht="13.35" customHeight="1">
      <c r="F5" s="200" t="s">
        <v>706</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975</v>
      </c>
      <c r="G7" s="1083"/>
      <c r="H7" s="1083"/>
    </row>
    <row r="8" spans="2:21" ht="5.45" customHeight="1">
      <c r="F8" s="814"/>
      <c r="G8" s="814"/>
      <c r="H8" s="814"/>
    </row>
    <row r="9" spans="2:21" ht="16.350000000000001" customHeight="1">
      <c r="F9" s="403" t="s">
        <v>976</v>
      </c>
      <c r="G9" s="403" t="s">
        <v>977</v>
      </c>
      <c r="H9" s="403" t="s">
        <v>978</v>
      </c>
    </row>
    <row r="10" spans="2:21" ht="28.9" customHeight="1">
      <c r="B10" s="427"/>
      <c r="C10" s="411"/>
      <c r="D10" s="427"/>
      <c r="F10" s="1077" t="s">
        <v>979</v>
      </c>
      <c r="G10" s="1080"/>
      <c r="H10" s="1080"/>
    </row>
    <row r="11" spans="2:21" ht="28.9" customHeight="1">
      <c r="B11" s="704" t="s">
        <v>876</v>
      </c>
      <c r="C11" s="411"/>
      <c r="D11" s="704" t="s">
        <v>877</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980</v>
      </c>
      <c r="G13" s="1080"/>
      <c r="H13" s="1080"/>
      <c r="J13" s="697"/>
      <c r="K13" s="697"/>
      <c r="L13" s="697"/>
      <c r="M13" s="697"/>
      <c r="N13" s="697"/>
      <c r="O13" s="697"/>
      <c r="P13" s="697"/>
      <c r="Q13" s="697"/>
      <c r="R13" s="697"/>
      <c r="S13" s="697"/>
      <c r="T13" s="697"/>
      <c r="U13" s="697"/>
    </row>
    <row r="14" spans="2:21" ht="28.9" customHeight="1">
      <c r="B14" s="704" t="s">
        <v>876</v>
      </c>
      <c r="C14" s="411"/>
      <c r="D14" s="704" t="s">
        <v>877</v>
      </c>
      <c r="F14" s="1078"/>
      <c r="G14" s="1081"/>
      <c r="H14" s="1081"/>
    </row>
    <row r="15" spans="2:21" ht="28.9" customHeight="1">
      <c r="B15" s="705"/>
      <c r="C15" s="411"/>
      <c r="D15" s="705"/>
      <c r="F15" s="1079"/>
      <c r="G15" s="1082"/>
      <c r="H15" s="1082"/>
    </row>
    <row r="16" spans="2:21" ht="28.9" customHeight="1">
      <c r="B16" s="427"/>
      <c r="C16" s="411"/>
      <c r="D16" s="427"/>
      <c r="F16" s="1077" t="s">
        <v>981</v>
      </c>
      <c r="G16" s="1080"/>
      <c r="H16" s="1080"/>
    </row>
    <row r="17" spans="2:8" ht="28.9" customHeight="1">
      <c r="B17" s="704" t="s">
        <v>876</v>
      </c>
      <c r="C17" s="411"/>
      <c r="D17" s="704" t="s">
        <v>877</v>
      </c>
      <c r="F17" s="1078"/>
      <c r="G17" s="1081"/>
      <c r="H17" s="1081"/>
    </row>
    <row r="18" spans="2:8" ht="28.9" customHeight="1">
      <c r="B18" s="427"/>
      <c r="C18" s="411"/>
      <c r="D18" s="427"/>
      <c r="F18" s="1079"/>
      <c r="G18" s="1082"/>
      <c r="H18" s="1082"/>
    </row>
    <row r="19" spans="2:8" ht="28.9" customHeight="1">
      <c r="B19" s="427"/>
      <c r="C19" s="411"/>
      <c r="D19" s="427"/>
      <c r="F19" s="1077" t="s">
        <v>982</v>
      </c>
      <c r="G19" s="1080"/>
      <c r="H19" s="1080"/>
    </row>
    <row r="20" spans="2:8" ht="28.9" customHeight="1">
      <c r="B20" s="704" t="s">
        <v>876</v>
      </c>
      <c r="C20" s="411"/>
      <c r="D20" s="704" t="s">
        <v>877</v>
      </c>
      <c r="F20" s="1078"/>
      <c r="G20" s="1081"/>
      <c r="H20" s="1081"/>
    </row>
    <row r="21" spans="2:8" ht="28.9" customHeight="1">
      <c r="B21" s="427"/>
      <c r="C21" s="411"/>
      <c r="D21" s="427"/>
      <c r="F21" s="1079"/>
      <c r="G21" s="1082"/>
      <c r="H21" s="1082"/>
    </row>
    <row r="22" spans="2:8" ht="28.9" customHeight="1">
      <c r="B22" s="427"/>
      <c r="C22" s="411"/>
      <c r="D22" s="427"/>
      <c r="F22" s="1077" t="s">
        <v>983</v>
      </c>
      <c r="G22" s="1080"/>
      <c r="H22" s="1080"/>
    </row>
    <row r="23" spans="2:8" ht="28.9" customHeight="1">
      <c r="B23" s="704" t="s">
        <v>876</v>
      </c>
      <c r="C23" s="411"/>
      <c r="D23" s="704" t="s">
        <v>877</v>
      </c>
      <c r="F23" s="1078"/>
      <c r="G23" s="1081"/>
      <c r="H23" s="1081"/>
    </row>
    <row r="24" spans="2:8" ht="28.9" customHeight="1">
      <c r="B24" s="427"/>
      <c r="C24" s="411"/>
      <c r="D24" s="427"/>
      <c r="F24" s="1079"/>
      <c r="G24" s="1082"/>
      <c r="H24" s="1082"/>
    </row>
    <row r="25" spans="2:8" ht="28.9" customHeight="1">
      <c r="B25" s="427"/>
      <c r="C25" s="411"/>
      <c r="D25" s="427"/>
      <c r="F25" s="1077" t="s">
        <v>984</v>
      </c>
      <c r="G25" s="1085"/>
      <c r="H25" s="1085"/>
    </row>
    <row r="26" spans="2:8" ht="28.9" customHeight="1">
      <c r="B26" s="704" t="s">
        <v>876</v>
      </c>
      <c r="C26" s="411"/>
      <c r="D26" s="704" t="s">
        <v>877</v>
      </c>
      <c r="F26" s="1078"/>
      <c r="G26" s="1086"/>
      <c r="H26" s="1086"/>
    </row>
    <row r="27" spans="2:8" ht="28.9" customHeight="1">
      <c r="B27" s="427"/>
      <c r="C27" s="411"/>
      <c r="D27" s="427"/>
      <c r="F27" s="1079"/>
      <c r="G27" s="1087"/>
      <c r="H27" s="1087"/>
    </row>
    <row r="28" spans="2:8" ht="28.9" customHeight="1">
      <c r="B28" s="427"/>
      <c r="C28" s="411"/>
      <c r="D28" s="427"/>
      <c r="F28" s="1077" t="s">
        <v>985</v>
      </c>
      <c r="G28" s="1080"/>
      <c r="H28" s="1080"/>
    </row>
    <row r="29" spans="2:8" ht="28.9" customHeight="1">
      <c r="B29" s="704" t="s">
        <v>876</v>
      </c>
      <c r="C29" s="411"/>
      <c r="D29" s="704" t="s">
        <v>877</v>
      </c>
      <c r="F29" s="1078"/>
      <c r="G29" s="1081"/>
      <c r="H29" s="1081"/>
    </row>
    <row r="30" spans="2:8" ht="28.9" customHeight="1">
      <c r="B30" s="427"/>
      <c r="C30" s="411"/>
      <c r="D30" s="427"/>
      <c r="F30" s="1079"/>
      <c r="G30" s="1082"/>
      <c r="H30" s="1082"/>
    </row>
    <row r="31" spans="2:8" ht="28.9" customHeight="1">
      <c r="B31" s="427"/>
      <c r="C31" s="411"/>
      <c r="D31" s="427"/>
      <c r="F31" s="1077" t="s">
        <v>986</v>
      </c>
      <c r="G31" s="1080"/>
      <c r="H31" s="1080"/>
    </row>
    <row r="32" spans="2:8" ht="28.9" customHeight="1">
      <c r="B32" s="704" t="s">
        <v>876</v>
      </c>
      <c r="C32" s="411"/>
      <c r="D32" s="704" t="s">
        <v>877</v>
      </c>
      <c r="F32" s="1078"/>
      <c r="G32" s="1081"/>
      <c r="H32" s="1081"/>
    </row>
    <row r="33" spans="2:8" ht="28.9" customHeight="1">
      <c r="B33" s="427"/>
      <c r="C33" s="411"/>
      <c r="D33" s="427"/>
      <c r="F33" s="1079"/>
      <c r="G33" s="1082"/>
      <c r="H33" s="1082"/>
    </row>
    <row r="34" spans="2:8" ht="28.9" customHeight="1">
      <c r="B34" s="427"/>
      <c r="C34" s="411"/>
      <c r="D34" s="427"/>
      <c r="F34" s="1077" t="s">
        <v>987</v>
      </c>
      <c r="G34" s="1085"/>
      <c r="H34" s="1085"/>
    </row>
    <row r="35" spans="2:8" ht="28.9" customHeight="1">
      <c r="B35" s="704" t="s">
        <v>876</v>
      </c>
      <c r="C35" s="411"/>
      <c r="D35" s="704" t="s">
        <v>877</v>
      </c>
      <c r="F35" s="1078"/>
      <c r="G35" s="1086"/>
      <c r="H35" s="1086"/>
    </row>
    <row r="36" spans="2:8" ht="28.9" customHeight="1">
      <c r="B36" s="427"/>
      <c r="C36" s="411"/>
      <c r="D36" s="427"/>
      <c r="F36" s="1079"/>
      <c r="G36" s="1087"/>
      <c r="H36" s="1087"/>
    </row>
    <row r="37" spans="2:8" ht="28.9" customHeight="1">
      <c r="B37" s="427"/>
      <c r="C37" s="411"/>
      <c r="D37" s="427"/>
      <c r="F37" s="1077" t="s">
        <v>988</v>
      </c>
      <c r="G37" s="1085"/>
      <c r="H37" s="1085"/>
    </row>
    <row r="38" spans="2:8" ht="28.9" customHeight="1">
      <c r="B38" s="704" t="s">
        <v>876</v>
      </c>
      <c r="C38" s="411"/>
      <c r="D38" s="704" t="s">
        <v>877</v>
      </c>
      <c r="F38" s="1078"/>
      <c r="G38" s="1086"/>
      <c r="H38" s="1086"/>
    </row>
    <row r="39" spans="2:8" ht="28.9" customHeight="1">
      <c r="B39" s="427"/>
      <c r="C39" s="411"/>
      <c r="D39" s="427"/>
      <c r="F39" s="1079"/>
      <c r="G39" s="1087"/>
      <c r="H39" s="1087"/>
    </row>
    <row r="40" spans="2:8" ht="28.9" customHeight="1">
      <c r="B40" s="427"/>
      <c r="C40" s="411"/>
      <c r="D40" s="427"/>
      <c r="F40" s="1077" t="s">
        <v>989</v>
      </c>
      <c r="G40" s="1085"/>
      <c r="H40" s="1085"/>
    </row>
    <row r="41" spans="2:8" ht="28.9" customHeight="1">
      <c r="B41" s="704" t="s">
        <v>876</v>
      </c>
      <c r="C41" s="411"/>
      <c r="D41" s="704" t="s">
        <v>877</v>
      </c>
      <c r="F41" s="1078"/>
      <c r="G41" s="1086"/>
      <c r="H41" s="1086"/>
    </row>
    <row r="42" spans="2:8" ht="28.9" customHeight="1">
      <c r="B42" s="427"/>
      <c r="C42" s="411"/>
      <c r="D42" s="427"/>
      <c r="F42" s="1079"/>
      <c r="G42" s="1087"/>
      <c r="H42" s="1087"/>
    </row>
    <row r="43" spans="2:8" ht="28.9" customHeight="1">
      <c r="B43" s="427"/>
      <c r="C43" s="411"/>
      <c r="D43" s="427"/>
      <c r="F43" s="1077" t="s">
        <v>990</v>
      </c>
      <c r="G43" s="1085"/>
      <c r="H43" s="1085"/>
    </row>
    <row r="44" spans="2:8" ht="28.9" customHeight="1">
      <c r="B44" s="704" t="s">
        <v>876</v>
      </c>
      <c r="C44" s="411"/>
      <c r="D44" s="704" t="s">
        <v>877</v>
      </c>
      <c r="F44" s="1078"/>
      <c r="G44" s="1086"/>
      <c r="H44" s="1086"/>
    </row>
    <row r="45" spans="2:8" ht="28.9" customHeight="1">
      <c r="B45" s="427"/>
      <c r="C45" s="411"/>
      <c r="D45" s="427"/>
      <c r="F45" s="1079"/>
      <c r="G45" s="1087"/>
      <c r="H45" s="1087"/>
    </row>
    <row r="46" spans="2:8" ht="28.9" customHeight="1">
      <c r="B46" s="427"/>
      <c r="C46" s="411"/>
      <c r="D46" s="427"/>
      <c r="F46" s="1077" t="s">
        <v>991</v>
      </c>
      <c r="G46" s="1085"/>
      <c r="H46" s="1085"/>
    </row>
    <row r="47" spans="2:8" ht="28.9" customHeight="1">
      <c r="B47" s="704" t="s">
        <v>876</v>
      </c>
      <c r="C47" s="411"/>
      <c r="D47" s="704" t="s">
        <v>877</v>
      </c>
      <c r="F47" s="1078"/>
      <c r="G47" s="1086"/>
      <c r="H47" s="1086"/>
    </row>
    <row r="48" spans="2:8" ht="28.9" customHeight="1">
      <c r="B48" s="427"/>
      <c r="C48" s="411"/>
      <c r="D48" s="427"/>
      <c r="F48" s="1079"/>
      <c r="G48" s="1087"/>
      <c r="H48" s="1087"/>
    </row>
    <row r="49" spans="2:8" ht="28.9" customHeight="1">
      <c r="B49" s="427"/>
      <c r="C49" s="411"/>
      <c r="D49" s="427"/>
      <c r="F49" s="1077" t="s">
        <v>992</v>
      </c>
      <c r="G49" s="1085"/>
      <c r="H49" s="1085"/>
    </row>
    <row r="50" spans="2:8" ht="28.9" customHeight="1">
      <c r="B50" s="704" t="s">
        <v>876</v>
      </c>
      <c r="C50" s="411"/>
      <c r="D50" s="704" t="s">
        <v>877</v>
      </c>
      <c r="F50" s="1078"/>
      <c r="G50" s="1086"/>
      <c r="H50" s="1086"/>
    </row>
    <row r="51" spans="2:8" ht="28.9" customHeight="1">
      <c r="B51" s="427"/>
      <c r="C51" s="411"/>
      <c r="D51" s="427"/>
      <c r="F51" s="1079"/>
      <c r="G51" s="1087"/>
      <c r="H51" s="1087"/>
    </row>
    <row r="52" spans="2:8" ht="28.9" customHeight="1">
      <c r="B52" s="427"/>
      <c r="C52" s="411"/>
      <c r="D52" s="427"/>
      <c r="F52" s="1077" t="s">
        <v>993</v>
      </c>
      <c r="G52" s="1085"/>
      <c r="H52" s="1085"/>
    </row>
    <row r="53" spans="2:8" ht="28.9" customHeight="1">
      <c r="B53" s="704" t="s">
        <v>876</v>
      </c>
      <c r="C53" s="411"/>
      <c r="D53" s="704" t="s">
        <v>877</v>
      </c>
      <c r="F53" s="1078"/>
      <c r="G53" s="1086"/>
      <c r="H53" s="1086"/>
    </row>
    <row r="54" spans="2:8" ht="28.9" customHeight="1">
      <c r="B54" s="427"/>
      <c r="C54" s="411"/>
      <c r="D54" s="427"/>
      <c r="F54" s="1079"/>
      <c r="G54" s="1087"/>
      <c r="H54" s="1087"/>
    </row>
    <row r="55" spans="2:8" ht="28.9" customHeight="1">
      <c r="B55" s="427"/>
      <c r="C55" s="411"/>
      <c r="D55" s="427"/>
      <c r="F55" s="1077" t="s">
        <v>994</v>
      </c>
      <c r="G55" s="1085"/>
      <c r="H55" s="1085"/>
    </row>
    <row r="56" spans="2:8" ht="28.9" customHeight="1">
      <c r="B56" s="704" t="s">
        <v>876</v>
      </c>
      <c r="C56" s="411"/>
      <c r="D56" s="704" t="s">
        <v>877</v>
      </c>
      <c r="F56" s="1078"/>
      <c r="G56" s="1086"/>
      <c r="H56" s="1086"/>
    </row>
    <row r="57" spans="2:8" ht="28.9" customHeight="1">
      <c r="B57" s="427"/>
      <c r="C57" s="411"/>
      <c r="D57" s="427"/>
      <c r="F57" s="1079"/>
      <c r="G57" s="1087"/>
      <c r="H57" s="1087"/>
    </row>
    <row r="58" spans="2:8" ht="28.9" customHeight="1">
      <c r="B58" s="427"/>
      <c r="C58" s="411"/>
      <c r="D58" s="427"/>
      <c r="F58" s="1077" t="s">
        <v>995</v>
      </c>
      <c r="G58" s="1085"/>
      <c r="H58" s="1085"/>
    </row>
    <row r="59" spans="2:8" ht="28.9" customHeight="1">
      <c r="B59" s="704" t="s">
        <v>876</v>
      </c>
      <c r="C59" s="411"/>
      <c r="D59" s="704" t="s">
        <v>877</v>
      </c>
      <c r="F59" s="1078"/>
      <c r="G59" s="1086"/>
      <c r="H59" s="1086"/>
    </row>
    <row r="60" spans="2:8" ht="28.9" customHeight="1">
      <c r="B60" s="427"/>
      <c r="C60" s="411"/>
      <c r="D60" s="427"/>
      <c r="F60" s="1079"/>
      <c r="G60" s="1087"/>
      <c r="H60" s="1087"/>
    </row>
    <row r="61" spans="2:8" ht="28.9" customHeight="1">
      <c r="B61" s="427"/>
      <c r="C61" s="411"/>
      <c r="D61" s="427"/>
      <c r="F61" s="1077" t="s">
        <v>996</v>
      </c>
      <c r="G61" s="1085"/>
      <c r="H61" s="1085"/>
    </row>
    <row r="62" spans="2:8" ht="28.9" customHeight="1">
      <c r="B62" s="704" t="s">
        <v>876</v>
      </c>
      <c r="C62" s="411"/>
      <c r="D62" s="704" t="s">
        <v>877</v>
      </c>
      <c r="F62" s="1078"/>
      <c r="G62" s="1086"/>
      <c r="H62" s="1086"/>
    </row>
    <row r="63" spans="2:8" ht="28.9" customHeight="1">
      <c r="B63" s="427"/>
      <c r="C63" s="411"/>
      <c r="D63" s="427"/>
      <c r="F63" s="1079"/>
      <c r="G63" s="1087"/>
      <c r="H63" s="1087"/>
    </row>
    <row r="64" spans="2:8" ht="28.9" customHeight="1">
      <c r="B64" s="427"/>
      <c r="C64" s="411"/>
      <c r="D64" s="427"/>
      <c r="F64" s="1077" t="s">
        <v>997</v>
      </c>
      <c r="G64" s="1085"/>
      <c r="H64" s="1085"/>
    </row>
    <row r="65" spans="2:8" ht="28.9" customHeight="1">
      <c r="B65" s="704" t="s">
        <v>876</v>
      </c>
      <c r="C65" s="411"/>
      <c r="D65" s="704" t="s">
        <v>877</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998</v>
      </c>
      <c r="C1" s="7" t="s">
        <v>776</v>
      </c>
      <c r="D1" s="7" t="s">
        <v>999</v>
      </c>
      <c r="F1" s="17" t="s">
        <v>1000</v>
      </c>
      <c r="G1" s="18"/>
      <c r="M1" s="28" t="s">
        <v>1001</v>
      </c>
      <c r="N1" s="7" t="s">
        <v>562</v>
      </c>
      <c r="O1" s="7" t="s">
        <v>1002</v>
      </c>
      <c r="P1" s="7" t="s">
        <v>1003</v>
      </c>
    </row>
    <row r="2" spans="1:16">
      <c r="A2" s="7" t="s">
        <v>562</v>
      </c>
      <c r="B2" s="19">
        <f>1000000/(F2*100)</f>
        <v>1336.8055610095364</v>
      </c>
      <c r="C2" s="19">
        <v>1000</v>
      </c>
      <c r="D2" s="19">
        <f>1000/F5</f>
        <v>3785.4117999999999</v>
      </c>
      <c r="E2" s="9"/>
      <c r="F2" s="869">
        <v>7.4805194500000001</v>
      </c>
      <c r="G2" s="15" t="s">
        <v>1004</v>
      </c>
      <c r="H2" s="8" t="s">
        <v>1005</v>
      </c>
      <c r="M2" s="7" t="s">
        <v>562</v>
      </c>
      <c r="N2" s="19">
        <v>1</v>
      </c>
      <c r="O2" s="19">
        <f>F4</f>
        <v>3.7854117999999999</v>
      </c>
      <c r="P2" s="29">
        <v>3.068883289737228</v>
      </c>
    </row>
    <row r="3" spans="1:16">
      <c r="A3" s="7" t="s">
        <v>1002</v>
      </c>
      <c r="B3" s="19">
        <f>1000000/F4/(F2*100)</f>
        <v>353.14666716301156</v>
      </c>
      <c r="C3" s="19">
        <f>1000/F4</f>
        <v>264.17205124155845</v>
      </c>
      <c r="D3" s="19">
        <v>1000</v>
      </c>
      <c r="F3" s="20">
        <v>43560</v>
      </c>
      <c r="G3" s="15" t="s">
        <v>1006</v>
      </c>
      <c r="H3" s="10"/>
      <c r="M3" s="7" t="s">
        <v>1002</v>
      </c>
      <c r="N3" s="19">
        <f>1/O2</f>
        <v>0.26417205124155846</v>
      </c>
      <c r="O3" s="19">
        <v>1</v>
      </c>
      <c r="P3" s="19">
        <v>0.8107131936708255</v>
      </c>
    </row>
    <row r="4" spans="1:16">
      <c r="A4" s="7" t="s">
        <v>1003</v>
      </c>
      <c r="B4" s="19">
        <f>F3/100</f>
        <v>435.6</v>
      </c>
      <c r="C4" s="19">
        <f>F3*F2/1000</f>
        <v>325.851427242</v>
      </c>
      <c r="D4" s="19">
        <f>F3*F2*F4/1000</f>
        <v>1233.4818377287083</v>
      </c>
      <c r="F4" s="26">
        <v>3.7854117999999999</v>
      </c>
      <c r="G4" s="15" t="s">
        <v>1007</v>
      </c>
      <c r="H4" s="10"/>
      <c r="M4" s="7" t="s">
        <v>1003</v>
      </c>
      <c r="N4" s="29">
        <f>325851.427242/1000000</f>
        <v>0.325851427242</v>
      </c>
      <c r="O4" s="19">
        <v>1.2334818377287082</v>
      </c>
      <c r="P4" s="19">
        <v>1</v>
      </c>
    </row>
    <row r="5" spans="1:16">
      <c r="F5" s="25">
        <f>1/F4</f>
        <v>0.26417205124155846</v>
      </c>
      <c r="G5" s="16" t="s">
        <v>1008</v>
      </c>
      <c r="H5" s="10"/>
    </row>
    <row r="6" spans="1:16" ht="13.5" thickBot="1">
      <c r="H6" s="10"/>
    </row>
    <row r="7" spans="1:16" ht="13.5" thickBot="1">
      <c r="A7" s="10" t="s">
        <v>1009</v>
      </c>
      <c r="B7" s="11">
        <v>1</v>
      </c>
      <c r="C7" s="8" t="s">
        <v>1010</v>
      </c>
      <c r="D7" s="8">
        <f>MATCH(C7,A2:A4,0)</f>
        <v>1</v>
      </c>
      <c r="H7" s="10"/>
    </row>
    <row r="8" spans="1:16" ht="13.5" thickBot="1">
      <c r="A8" s="10"/>
      <c r="E8" s="8">
        <f>INDEX($B$2:$D$4,MATCH(C7,A2:A4,0),MATCH(C9,B1:D1,0))</f>
        <v>1336.8055610095364</v>
      </c>
      <c r="H8" s="10"/>
    </row>
    <row r="9" spans="1:16" ht="13.5" thickBot="1">
      <c r="A9" s="10" t="s">
        <v>1011</v>
      </c>
      <c r="B9" s="12">
        <v>10</v>
      </c>
      <c r="C9" s="8" t="s">
        <v>998</v>
      </c>
      <c r="D9" s="8">
        <f>MATCH(C9,B1:D1,0)</f>
        <v>1</v>
      </c>
      <c r="H9" s="10"/>
    </row>
    <row r="11" spans="1:16">
      <c r="B11" s="10" t="s">
        <v>1012</v>
      </c>
      <c r="C11" s="13">
        <f>B7*B9*E8</f>
        <v>13368.055610095364</v>
      </c>
      <c r="I11" s="8" t="s">
        <v>1013</v>
      </c>
    </row>
    <row r="12" spans="1:16">
      <c r="G12" s="8" t="s">
        <v>1014</v>
      </c>
      <c r="I12" s="27" t="s">
        <v>1015</v>
      </c>
      <c r="J12" s="27"/>
      <c r="K12" s="7"/>
      <c r="L12" s="27" t="s">
        <v>1016</v>
      </c>
    </row>
    <row r="13" spans="1:16" ht="14.25">
      <c r="G13" s="8" t="s">
        <v>1017</v>
      </c>
      <c r="H13" s="870">
        <v>547500</v>
      </c>
      <c r="I13" s="871" t="s">
        <v>1018</v>
      </c>
      <c r="J13" s="30" t="s">
        <v>1019</v>
      </c>
      <c r="K13" s="8">
        <f>H13*INDEX(N2:P4,MATCH(I13,M2:M4,0),MATCH(L13,N1:P1,0))</f>
        <v>2072512.9605</v>
      </c>
      <c r="L13" s="871" t="s">
        <v>1002</v>
      </c>
    </row>
    <row r="14" spans="1:16">
      <c r="K14" s="9"/>
    </row>
    <row r="15" spans="1:16">
      <c r="B15" s="8" t="s">
        <v>1020</v>
      </c>
      <c r="H15" s="789"/>
    </row>
    <row r="16" spans="1:16">
      <c r="B16" s="7" t="s">
        <v>998</v>
      </c>
      <c r="C16" s="7" t="s">
        <v>776</v>
      </c>
      <c r="D16" s="7" t="s">
        <v>999</v>
      </c>
      <c r="H16" s="8">
        <f>1500000000/1000000*365</f>
        <v>547500</v>
      </c>
      <c r="I16" s="789" t="s">
        <v>1021</v>
      </c>
    </row>
    <row r="17" spans="1:5">
      <c r="A17" s="7" t="s">
        <v>1010</v>
      </c>
      <c r="B17" s="8">
        <f>1000000/(7.48*100)</f>
        <v>1336.8983957219252</v>
      </c>
      <c r="C17" s="8">
        <v>1000</v>
      </c>
      <c r="D17" s="8">
        <f>1000000/CONVERT(1000,"l","gal")</f>
        <v>3785.4117839999994</v>
      </c>
    </row>
    <row r="18" spans="1:5">
      <c r="A18" s="7" t="s">
        <v>1022</v>
      </c>
      <c r="B18" s="8">
        <f>1000000/CONVERT((7.48*100),"gal","l")</f>
        <v>353.171192992177</v>
      </c>
      <c r="C18" s="8">
        <f>1000000/CONVERT(1000,"gal","l")</f>
        <v>264.17205235814845</v>
      </c>
      <c r="D18" s="8">
        <v>1000</v>
      </c>
    </row>
    <row r="19" spans="1:5">
      <c r="A19" s="7" t="s">
        <v>1023</v>
      </c>
      <c r="B19" s="8">
        <f>43560/100</f>
        <v>435.6</v>
      </c>
      <c r="C19" s="8">
        <f>43560/(1000/7.48)</f>
        <v>325.8288</v>
      </c>
      <c r="D19" s="8">
        <f>F3/(CONVERT(1000,"l","gal")/F2)</f>
        <v>1233.4818325150852</v>
      </c>
    </row>
    <row r="21" spans="1:5" ht="13.5" thickBot="1"/>
    <row r="22" spans="1:5" ht="13.5" thickBot="1">
      <c r="A22" s="10" t="s">
        <v>1020</v>
      </c>
      <c r="B22" s="11">
        <v>5</v>
      </c>
      <c r="C22" s="8" t="s">
        <v>776</v>
      </c>
      <c r="D22" s="8">
        <f>MATCH(C22,B16:D16,0)</f>
        <v>2</v>
      </c>
    </row>
    <row r="23" spans="1:5" ht="13.5" thickBot="1">
      <c r="A23" s="10"/>
      <c r="E23" s="8">
        <f>INDEX($B$2:$D$4,MATCH(C24,A2:A4,0),MATCH(C22,B1:D1,0))</f>
        <v>1000</v>
      </c>
    </row>
    <row r="24" spans="1:5" ht="13.5" thickBot="1">
      <c r="A24" s="10" t="s">
        <v>1024</v>
      </c>
      <c r="B24" s="12">
        <v>5000</v>
      </c>
      <c r="C24" s="8" t="s">
        <v>1010</v>
      </c>
      <c r="D24" s="8">
        <f>MATCH(C24,A17:A19,0)</f>
        <v>1</v>
      </c>
    </row>
    <row r="26" spans="1:5">
      <c r="B26" s="10" t="s">
        <v>1012</v>
      </c>
      <c r="C26" s="14">
        <f>(B22*E23)/B24</f>
        <v>1</v>
      </c>
    </row>
    <row r="27" spans="1:5">
      <c r="C27" s="8" t="s">
        <v>1025</v>
      </c>
    </row>
    <row r="28" spans="1:5">
      <c r="C28" s="8" t="s">
        <v>1026</v>
      </c>
    </row>
    <row r="31" spans="1:5">
      <c r="A31" s="9" t="s">
        <v>1027</v>
      </c>
    </row>
    <row r="33" spans="1:2">
      <c r="B33" s="8" t="s">
        <v>1028</v>
      </c>
    </row>
    <row r="37" spans="1:2">
      <c r="A37" s="9" t="s">
        <v>1029</v>
      </c>
    </row>
    <row r="38" spans="1:2">
      <c r="A38" s="21" t="s">
        <v>1030</v>
      </c>
    </row>
    <row r="39" spans="1:2">
      <c r="A39" s="8" t="s">
        <v>1031</v>
      </c>
    </row>
    <row r="40" spans="1:2">
      <c r="A40" s="8" t="s">
        <v>1032</v>
      </c>
    </row>
    <row r="42" spans="1:2">
      <c r="A42" s="24" t="s">
        <v>1033</v>
      </c>
    </row>
    <row r="43" spans="1:2">
      <c r="A43" s="24" t="s">
        <v>1034</v>
      </c>
    </row>
    <row r="44" spans="1:2">
      <c r="A44" s="24" t="s">
        <v>1035</v>
      </c>
    </row>
    <row r="45" spans="1:2">
      <c r="A45" s="24" t="s">
        <v>1036</v>
      </c>
    </row>
    <row r="47" spans="1:2">
      <c r="A47" s="22" t="s">
        <v>1037</v>
      </c>
    </row>
    <row r="48" spans="1:2">
      <c r="A48" s="22" t="s">
        <v>1038</v>
      </c>
    </row>
    <row r="49" spans="1:1">
      <c r="A49" s="22" t="s">
        <v>1039</v>
      </c>
    </row>
    <row r="50" spans="1:1">
      <c r="A50" s="22" t="s">
        <v>1036</v>
      </c>
    </row>
    <row r="52" spans="1:1">
      <c r="A52" s="23" t="s">
        <v>1040</v>
      </c>
    </row>
    <row r="53" spans="1:1">
      <c r="A53" s="23" t="s">
        <v>1038</v>
      </c>
    </row>
    <row r="54" spans="1:1">
      <c r="A54" s="23" t="s">
        <v>1039</v>
      </c>
    </row>
    <row r="55" spans="1:1">
      <c r="A55" s="23" t="s">
        <v>1036</v>
      </c>
    </row>
    <row r="78" spans="1:6">
      <c r="A78" s="789" t="s">
        <v>1041</v>
      </c>
      <c r="E78" s="8" t="str">
        <f>"Total Volume of NRW = "&amp;TEXT(SUM(C90,C91,C94,C95,C97,C99),"#,###")&amp;" "&amp;Worksheet!J15</f>
        <v>Total Volume of NRW = 24 MG/Yr</v>
      </c>
    </row>
    <row r="79" spans="1:6" ht="16.5">
      <c r="B79" s="46"/>
      <c r="C79" s="46"/>
      <c r="D79" s="46"/>
      <c r="E79" s="8" t="str">
        <f>IFERROR("Total Cost of NRW = $"&amp;TEXT(SUM(D90,D91,D94,D95,D96,D97,D99),"#,###")&amp;"/Yr","")</f>
        <v>Total Cost of NRW = $78,597/Yr</v>
      </c>
      <c r="F79" s="46"/>
    </row>
    <row r="80" spans="1:6">
      <c r="A80"/>
      <c r="B80"/>
      <c r="C80" s="47" t="str">
        <f>"Volume ("&amp;Worksheet!J15&amp;")"</f>
        <v>Volume (MG/Yr)</v>
      </c>
      <c r="D80" s="47" t="s">
        <v>1042</v>
      </c>
      <c r="E80" s="79" t="s">
        <v>1043</v>
      </c>
      <c r="F80"/>
    </row>
    <row r="81" spans="1:6">
      <c r="A81" s="118" t="s">
        <v>1044</v>
      </c>
      <c r="B81" s="118"/>
      <c r="C81" s="100">
        <f>IF(Dashboard!BO$2&gt;0,"",Worksheet!H15)</f>
        <v>111.351</v>
      </c>
      <c r="D81" s="872">
        <f>IF(Dashboard!BO$2&gt;0,"",C81*(Worksheet!$H$77))</f>
        <v>245522.27394000001</v>
      </c>
      <c r="E81" s="489">
        <f>D81</f>
        <v>245522.27394000001</v>
      </c>
      <c r="F81" s="75" t="s">
        <v>1045</v>
      </c>
    </row>
    <row r="82" spans="1:6">
      <c r="A82" s="118" t="str">
        <f>A81&amp;" MA"</f>
        <v>Vol. from own sources: MA</v>
      </c>
      <c r="B82" s="118"/>
      <c r="C82" s="100">
        <f>IF(Dashboard!BO$2&gt;0,"",Worksheet!X15)</f>
        <v>1.11351</v>
      </c>
      <c r="D82" s="872">
        <f>IF(Dashboard!BO$2&gt;0,"",C82*(Worksheet!$H$77))</f>
        <v>2455.2227394000001</v>
      </c>
      <c r="E82" s="489">
        <f t="shared" ref="E82:E100" si="0">D82</f>
        <v>2455.2227394000001</v>
      </c>
      <c r="F82"/>
    </row>
    <row r="83" spans="1:6">
      <c r="A83" t="s">
        <v>1046</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1047</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732</v>
      </c>
      <c r="B87"/>
      <c r="C87" s="100">
        <f>IF(Dashboard!BO$2&gt;0,"",Worksheet!H19)</f>
        <v>110.24851485148514</v>
      </c>
      <c r="D87" s="872">
        <f>IF(Dashboard!BO$2&gt;0,"",C87*(Worksheet!$H$77))</f>
        <v>243091.36033663366</v>
      </c>
      <c r="E87" s="489">
        <f t="shared" si="0"/>
        <v>243091.36033663366</v>
      </c>
      <c r="F87"/>
    </row>
    <row r="88" spans="1:6">
      <c r="A88" s="118" t="s">
        <v>1048</v>
      </c>
      <c r="B88"/>
      <c r="C88" s="100">
        <f>IF(Dashboard!BO$2&gt;0,"",Worksheet!H23)</f>
        <v>86.188000000000002</v>
      </c>
      <c r="D88" s="872">
        <f>IF(Dashboard!BO$2&gt;0,"",C88*(Worksheet!$H$76*1000))</f>
        <v>1195427.56</v>
      </c>
      <c r="E88" s="489">
        <f t="shared" si="0"/>
        <v>1195427.56</v>
      </c>
      <c r="F88"/>
    </row>
    <row r="89" spans="1:6">
      <c r="A89" s="118" t="s">
        <v>1049</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0.32800000000000001</v>
      </c>
      <c r="D90" s="873">
        <f>IF(Dashboard!BO$2&gt;0,"",IF(ISBLANK('Start Page'!AB22),"",IF(AND(ISBLANK(Worksheet!H77),Worksheet!Z77&lt;&gt;1),"",Worksheet!H25*(IF(Dashboard!BD29=FALSE,Worksheet!H77,IF(Dashboard!BD29=TRUE,Worksheet!H76*INDEX(Sheet1!B2:D4,MATCH('Start Page'!AB22,Sheet1!A2:A4,0),MATCH(Worksheet!J76,Sheet1!B1:D1,0)),""))))))</f>
        <v>723.22032000000002</v>
      </c>
      <c r="E90" s="796">
        <f t="shared" si="0"/>
        <v>723.22032000000002</v>
      </c>
      <c r="F90"/>
    </row>
    <row r="91" spans="1:6">
      <c r="A91" s="797" t="str">
        <f>"Unbilled Unmetered (UUAC) valued at "&amp;A76&amp;""</f>
        <v xml:space="preserve">Unbilled Unmetered (UUAC) valued at </v>
      </c>
      <c r="B91" s="794"/>
      <c r="C91" s="795">
        <f>IF(Dashboard!BO$2&gt;0,"",Worksheet!H26)</f>
        <v>8.6769999999999996</v>
      </c>
      <c r="D91" s="873">
        <f>IF(Dashboard!BO$2&gt;0,"",IF(ISBLANK('Start Page'!AB22),"",IF(AND(ISBLANK(Worksheet!H77),Worksheet!Z77&lt;&gt;1),"",Worksheet!H26*(IF(Dashboard!BD29=FALSE,Worksheet!H77,IF(Dashboard!BD29=TRUE,Worksheet!H76*INDEX(Sheet1!B2:D4,MATCH('Start Page'!AB22,Sheet1!A2:A4,0),MATCH(Worksheet!J76,Sheet1!B1:D1,0)),""))))))</f>
        <v>19132.264380000001</v>
      </c>
      <c r="E91" s="796">
        <f t="shared" si="0"/>
        <v>19132.264380000001</v>
      </c>
      <c r="F91"/>
    </row>
    <row r="92" spans="1:6">
      <c r="A92" s="118" t="s">
        <v>1050</v>
      </c>
      <c r="B92" s="874" t="s">
        <v>1051</v>
      </c>
      <c r="C92" s="100">
        <f>IF(Dashboard!BO$2&gt;0,"",Worksheet!H30)</f>
        <v>95.193000000000012</v>
      </c>
      <c r="D92" s="872">
        <f>IF(Dashboard!BO$2&gt;0,"",C92*(Worksheet!$H$76*1000))</f>
        <v>1320326.9100000001</v>
      </c>
      <c r="E92" s="489">
        <f t="shared" si="0"/>
        <v>1320326.9100000001</v>
      </c>
      <c r="F92"/>
    </row>
    <row r="93" spans="1:6">
      <c r="A93" t="s">
        <v>1052</v>
      </c>
      <c r="B93"/>
      <c r="C93" s="100">
        <f>IF(Dashboard!BO$2&gt;0,"",Worksheet!H35)</f>
        <v>15.055514851485128</v>
      </c>
      <c r="D93" s="872"/>
      <c r="E93" s="489">
        <f t="shared" si="0"/>
        <v>0</v>
      </c>
      <c r="F93"/>
    </row>
    <row r="94" spans="1:6">
      <c r="A94" s="171" t="s">
        <v>1053</v>
      </c>
      <c r="B94" s="118"/>
      <c r="C94" s="102">
        <f>IF(Dashboard!BO$2&gt;0,"",Worksheet!H43)</f>
        <v>0.21547000000000002</v>
      </c>
      <c r="D94" s="875">
        <f>IF(Dashboard!BO$2&gt;0,"",IF(ISBLANK('Start Page'!AB22),"",IF(AND(ISBLANK(Worksheet!H77),Worksheet!Z77&lt;&gt;1),"",C94*Worksheet!H76*INDEX(Sheet1!B2:D4,MATCH('Start Page'!AB22,Sheet1!A2:A4,0),MATCH(Worksheet!J76,Sheet1!B1:D1,0)))))</f>
        <v>2988.5689000000002</v>
      </c>
      <c r="E94" s="490">
        <f t="shared" si="0"/>
        <v>2988.5689000000002</v>
      </c>
      <c r="F94" s="103"/>
    </row>
    <row r="95" spans="1:6">
      <c r="A95" s="785" t="s">
        <v>1054</v>
      </c>
      <c r="B95" s="785"/>
      <c r="C95" s="786">
        <f>Worksheet!X50</f>
        <v>1.7589387755102024</v>
      </c>
      <c r="D95" s="876">
        <f>IF(Dashboard!BO$2&gt;0,"",IF(ISBLANK('Start Page'!AB22),"",IF(AND(ISBLANK(Worksheet!H77),Worksheet!Z77&lt;&gt;1),"",C95*Worksheet!H76*INDEX(Sheet1!B2:D4,MATCH('Start Page'!AB22,Sheet1!A2:A4,0),MATCH(Worksheet!J76,Sheet1!B1:D1,0)))))</f>
        <v>24396.480816326504</v>
      </c>
      <c r="E95" s="787">
        <f t="shared" si="0"/>
        <v>24396.480816326504</v>
      </c>
      <c r="F95" s="103"/>
    </row>
    <row r="96" spans="1:6">
      <c r="A96" s="785" t="s">
        <v>1055</v>
      </c>
      <c r="B96" s="785"/>
      <c r="C96" s="786">
        <f>Worksheet!Y50</f>
        <v>6.6938775510204107E-3</v>
      </c>
      <c r="D96" s="876">
        <f>C96*input_VPC</f>
        <v>14.759598367346944</v>
      </c>
      <c r="E96" s="787">
        <f t="shared" si="0"/>
        <v>14.759598367346944</v>
      </c>
      <c r="F96" s="788" t="s">
        <v>1056</v>
      </c>
    </row>
    <row r="97" spans="1:7">
      <c r="A97" s="171" t="s">
        <v>1057</v>
      </c>
      <c r="B97" s="118"/>
      <c r="C97" s="102">
        <f>IF(Dashboard!BO$2&gt;0,"",Worksheet!H39)</f>
        <v>0.21547000000000002</v>
      </c>
      <c r="D97" s="875">
        <f>IF(Dashboard!BO$2&gt;0,"",IF(ISBLANK('Start Page'!AB22),"",IF(AND(ISBLANK(Worksheet!H77),Worksheet!Z77&lt;&gt;1),"",C97*Worksheet!H76*INDEX(Sheet1!B2:D4,MATCH('Start Page'!AB22,Sheet1!A2:A4,0),MATCH(Worksheet!J76,Sheet1!B1:D1,0)))))</f>
        <v>2988.5689000000002</v>
      </c>
      <c r="E97" s="490">
        <f t="shared" si="0"/>
        <v>2988.5689000000002</v>
      </c>
      <c r="F97" s="103"/>
    </row>
    <row r="98" spans="1:7">
      <c r="A98" s="792" t="s">
        <v>750</v>
      </c>
      <c r="B98" s="792"/>
      <c r="C98" s="793">
        <f>IF(Dashboard!BO$2&gt;0,"",Worksheet!H46)</f>
        <v>2.196572653061232</v>
      </c>
      <c r="D98" s="877">
        <f>IF(Dashboard!BO$2&gt;0,"",SUM(D94:D97))</f>
        <v>30388.378214693847</v>
      </c>
      <c r="E98" s="489">
        <f t="shared" si="0"/>
        <v>30388.378214693847</v>
      </c>
      <c r="F98"/>
    </row>
    <row r="99" spans="1:7">
      <c r="A99" s="171" t="str">
        <f>"Real Losses valued at "&amp;A76&amp;""</f>
        <v xml:space="preserve">Real Losses valued at </v>
      </c>
      <c r="B99" s="118"/>
      <c r="C99" s="102">
        <f>IF(Dashboard!BO$2&gt;0,"",Worksheet!H51)</f>
        <v>12.858942198423897</v>
      </c>
      <c r="D99" s="878">
        <f>IF(Dashboard!BO$2&gt;0,"",Dashboard!N50)</f>
        <v>28353.196010992786</v>
      </c>
      <c r="E99" s="490">
        <f t="shared" si="0"/>
        <v>28353.196010992786</v>
      </c>
      <c r="F99" s="489"/>
    </row>
    <row r="100" spans="1:7">
      <c r="A100" t="s">
        <v>758</v>
      </c>
      <c r="B100"/>
      <c r="C100" s="100">
        <f>IF(Dashboard!BO$2&gt;0,"",Worksheet!H57)</f>
        <v>24.060514851485127</v>
      </c>
      <c r="D100" s="101">
        <f>IF(Dashboard!BO$2&gt;0,"",D98+D99+D90+D91)</f>
        <v>78597.058925686637</v>
      </c>
      <c r="E100" s="489">
        <f t="shared" si="0"/>
        <v>78597.058925686637</v>
      </c>
      <c r="F100"/>
      <c r="G100" s="104"/>
    </row>
    <row r="101" spans="1:7">
      <c r="A101" s="789"/>
    </row>
    <row r="102" spans="1:7">
      <c r="A102" s="789" t="s">
        <v>1058</v>
      </c>
      <c r="C102" s="790">
        <f>C95+C96</f>
        <v>1.7656326530612227</v>
      </c>
      <c r="D102" s="104">
        <f>D95+D96</f>
        <v>24411.24041469385</v>
      </c>
      <c r="E102" s="104">
        <f>E95+E96</f>
        <v>24411.24041469385</v>
      </c>
    </row>
    <row r="104" spans="1:7">
      <c r="D104" s="104"/>
    </row>
    <row r="113" spans="7:15">
      <c r="G113" s="791"/>
    </row>
    <row r="122" spans="7:15" ht="75.599999999999994" customHeight="1">
      <c r="L122" s="781" t="s">
        <v>1059</v>
      </c>
      <c r="M122" s="779"/>
      <c r="N122" s="781" t="str">
        <f>Dashboard!BO3</f>
        <v>ok</v>
      </c>
      <c r="O122" s="779"/>
    </row>
    <row r="123" spans="7:15" ht="75.599999999999994" customHeight="1">
      <c r="L123" s="781" t="s">
        <v>1060</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1061</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1062</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581</v>
      </c>
      <c r="C5" s="373"/>
      <c r="D5" s="373"/>
      <c r="E5" s="650" t="s">
        <v>705</v>
      </c>
      <c r="F5" s="1102" t="str">
        <f>IF(ISBLANK('Start Page'!AB9),"&lt;&lt; Please enter system details on the Start Page &gt;&gt;",'Start Page'!AB9&amp;IF(ISBLANK('Start Page'!AM28),"","  ("&amp;'Start Page'!AM28&amp;")"))</f>
        <v>PAW- Kittanning District 440</v>
      </c>
      <c r="G5" s="1103"/>
      <c r="H5" s="375"/>
      <c r="I5" s="4"/>
    </row>
    <row r="6" spans="2:16" ht="18" customHeight="1">
      <c r="B6" s="372"/>
      <c r="C6" s="381"/>
      <c r="D6" s="373"/>
      <c r="E6" s="650" t="s">
        <v>706</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889</v>
      </c>
      <c r="F7" s="651" t="str">
        <f>Dashboard!BR4</f>
        <v>Tier V (91-100)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1063</v>
      </c>
      <c r="E9" s="1104" t="s">
        <v>1064</v>
      </c>
      <c r="F9" s="1105"/>
      <c r="G9" s="1106"/>
      <c r="H9" s="276" t="s">
        <v>1065</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1066</v>
      </c>
      <c r="G11" s="283" t="s">
        <v>1067</v>
      </c>
      <c r="H11" s="284" t="s">
        <v>1068</v>
      </c>
      <c r="I11" s="4"/>
      <c r="K11" s="755"/>
      <c r="L11" s="99"/>
      <c r="M11" s="99"/>
      <c r="N11" s="99"/>
      <c r="O11" s="99"/>
      <c r="P11" s="99"/>
    </row>
    <row r="12" spans="2:16" ht="15.75" customHeight="1">
      <c r="B12" s="1089" t="s">
        <v>1069</v>
      </c>
      <c r="C12" s="285"/>
      <c r="D12" s="286"/>
      <c r="E12" s="1098" t="s">
        <v>1050</v>
      </c>
      <c r="F12" s="1098"/>
      <c r="G12" s="287">
        <f>Worksheet!H23</f>
        <v>86.188000000000002</v>
      </c>
      <c r="H12" s="881"/>
      <c r="I12" s="4"/>
      <c r="K12" s="756"/>
    </row>
    <row r="13" spans="2:16" ht="22.5" customHeight="1">
      <c r="B13" s="1089"/>
      <c r="C13" s="288"/>
      <c r="D13" s="286"/>
      <c r="E13" s="1098"/>
      <c r="F13" s="290">
        <f>Worksheet!H23+Worksheet!H24</f>
        <v>86.188000000000002</v>
      </c>
      <c r="G13" s="485" t="s">
        <v>1070</v>
      </c>
      <c r="H13" s="291">
        <f>SUM(G12+G14)</f>
        <v>86.188000000000002</v>
      </c>
      <c r="I13" s="4"/>
      <c r="K13" s="118"/>
      <c r="L13" s="99"/>
      <c r="M13" s="99"/>
      <c r="N13" s="99"/>
      <c r="O13" s="99"/>
      <c r="P13" s="99"/>
    </row>
    <row r="14" spans="2:16" ht="15.75" customHeight="1">
      <c r="B14" s="1100" t="s">
        <v>1071</v>
      </c>
      <c r="C14" s="292"/>
      <c r="D14" s="286"/>
      <c r="E14" s="293"/>
      <c r="F14" s="294"/>
      <c r="G14" s="295">
        <f>Worksheet!H24</f>
        <v>0</v>
      </c>
      <c r="H14" s="882"/>
      <c r="I14" s="4"/>
      <c r="K14" s="118"/>
    </row>
    <row r="15" spans="2:16" ht="15.75" customHeight="1">
      <c r="B15" s="1101"/>
      <c r="C15" s="292"/>
      <c r="D15" s="286"/>
      <c r="E15" s="296">
        <f>Worksheet!H30</f>
        <v>95.193000000000012</v>
      </c>
      <c r="F15" s="1099" t="s">
        <v>1072</v>
      </c>
      <c r="G15" s="883" t="s">
        <v>1073</v>
      </c>
      <c r="H15" s="1096" t="s">
        <v>1074</v>
      </c>
      <c r="I15" s="4"/>
      <c r="K15" s="118"/>
      <c r="L15" s="99"/>
      <c r="M15" s="99"/>
      <c r="N15" s="99"/>
      <c r="O15" s="99"/>
      <c r="P15" s="99"/>
    </row>
    <row r="16" spans="2:16" ht="15.75" customHeight="1">
      <c r="B16" s="297"/>
      <c r="C16" s="285"/>
      <c r="D16" s="286"/>
      <c r="E16" s="194"/>
      <c r="F16" s="1098"/>
      <c r="G16" s="298">
        <f>Worksheet!H25</f>
        <v>0.32800000000000001</v>
      </c>
      <c r="H16" s="1097"/>
      <c r="I16" s="4"/>
      <c r="K16" s="118"/>
    </row>
    <row r="17" spans="2:16" ht="22.5" customHeight="1">
      <c r="B17" s="299">
        <f>Worksheet!AG15</f>
        <v>110.24851485148514</v>
      </c>
      <c r="C17" s="300"/>
      <c r="D17" s="301"/>
      <c r="E17" s="194"/>
      <c r="F17" s="302">
        <f>Worksheet!H25+Worksheet!H26</f>
        <v>9.004999999999999</v>
      </c>
      <c r="G17" s="289" t="s">
        <v>1075</v>
      </c>
      <c r="H17" s="881"/>
      <c r="I17" s="4"/>
      <c r="K17" s="118"/>
      <c r="L17" s="99"/>
      <c r="M17" s="99"/>
      <c r="N17" s="99"/>
      <c r="O17" s="99"/>
      <c r="P17" s="99"/>
    </row>
    <row r="18" spans="2:16" ht="15.75" customHeight="1">
      <c r="B18" s="297"/>
      <c r="C18" s="1110" t="s">
        <v>1076</v>
      </c>
      <c r="D18" s="286"/>
      <c r="E18" s="303"/>
      <c r="F18" s="294"/>
      <c r="G18" s="304">
        <f>Worksheet!H26</f>
        <v>8.6769999999999996</v>
      </c>
      <c r="H18" s="881"/>
      <c r="I18" s="4"/>
      <c r="K18" s="118"/>
    </row>
    <row r="19" spans="2:16" ht="22.5" customHeight="1">
      <c r="B19" s="297"/>
      <c r="C19" s="1110"/>
      <c r="D19" s="815" t="s">
        <v>1077</v>
      </c>
      <c r="E19" s="282"/>
      <c r="F19" s="884"/>
      <c r="G19" s="485" t="s">
        <v>1078</v>
      </c>
      <c r="H19" s="305">
        <f>Worksheet!H25+Worksheet!H26+Worksheet!H46+Worksheet!H51</f>
        <v>24.060514851485127</v>
      </c>
      <c r="I19" s="4"/>
      <c r="K19" s="118"/>
      <c r="L19" s="99"/>
      <c r="M19" s="99"/>
      <c r="N19" s="99"/>
      <c r="O19" s="99"/>
      <c r="P19" s="99"/>
    </row>
    <row r="20" spans="2:16" ht="15.75" customHeight="1">
      <c r="B20" s="297"/>
      <c r="C20" s="306">
        <f>B17+B27</f>
        <v>110.24851485148514</v>
      </c>
      <c r="D20" s="286"/>
      <c r="E20" s="194"/>
      <c r="F20" s="307" t="s">
        <v>745</v>
      </c>
      <c r="G20" s="298">
        <f>Worksheet!H39</f>
        <v>0.21547000000000002</v>
      </c>
      <c r="H20" s="881"/>
      <c r="I20" s="4"/>
      <c r="K20" s="118"/>
    </row>
    <row r="21" spans="2:16" ht="14.25" customHeight="1">
      <c r="B21" s="308"/>
      <c r="C21" s="309"/>
      <c r="D21" s="306">
        <f>Worksheet!H19</f>
        <v>110.24851485148514</v>
      </c>
      <c r="E21" s="310"/>
      <c r="F21" s="302">
        <f>Worksheet!H46</f>
        <v>2.196572653061232</v>
      </c>
      <c r="G21" s="289" t="s">
        <v>1079</v>
      </c>
      <c r="H21" s="881"/>
      <c r="I21" s="4"/>
      <c r="K21" s="118"/>
      <c r="L21" s="99"/>
      <c r="M21" s="99"/>
      <c r="N21" s="99"/>
      <c r="O21" s="99"/>
      <c r="P21" s="99"/>
    </row>
    <row r="22" spans="2:16" ht="15.75" customHeight="1">
      <c r="B22" s="297"/>
      <c r="C22" s="285"/>
      <c r="D22" s="286"/>
      <c r="E22" s="194"/>
      <c r="F22" s="310"/>
      <c r="G22" s="311">
        <f>Worksheet!H41</f>
        <v>1.7656326530612318</v>
      </c>
      <c r="H22" s="881"/>
      <c r="I22" s="4"/>
      <c r="K22" s="118"/>
    </row>
    <row r="23" spans="2:16" ht="23.25" customHeight="1">
      <c r="B23" s="297"/>
      <c r="C23" s="285"/>
      <c r="D23" s="286"/>
      <c r="E23" s="194"/>
      <c r="F23" s="310"/>
      <c r="G23" s="485" t="s">
        <v>1080</v>
      </c>
      <c r="H23" s="881"/>
      <c r="I23" s="4"/>
      <c r="K23" s="118"/>
      <c r="L23" s="99"/>
      <c r="M23" s="99"/>
      <c r="N23" s="99"/>
      <c r="O23" s="99"/>
      <c r="P23" s="99"/>
    </row>
    <row r="24" spans="2:16" ht="15.75" customHeight="1">
      <c r="B24" s="297"/>
      <c r="C24" s="285"/>
      <c r="D24" s="286"/>
      <c r="E24" s="312" t="s">
        <v>1052</v>
      </c>
      <c r="F24" s="294"/>
      <c r="G24" s="298">
        <f>Worksheet!H43</f>
        <v>0.21547000000000002</v>
      </c>
      <c r="H24" s="881"/>
      <c r="I24" s="4"/>
      <c r="K24" s="118"/>
    </row>
    <row r="25" spans="2:16" ht="26.25" customHeight="1">
      <c r="B25" s="1088" t="s">
        <v>1081</v>
      </c>
      <c r="C25" s="288"/>
      <c r="D25" s="286"/>
      <c r="E25" s="313">
        <f>Worksheet!H53</f>
        <v>15.055514851485128</v>
      </c>
      <c r="F25" s="310"/>
      <c r="G25" s="289" t="s">
        <v>1082</v>
      </c>
      <c r="H25" s="881"/>
      <c r="I25" s="4"/>
      <c r="K25" s="118"/>
      <c r="L25" s="99"/>
      <c r="M25" s="99"/>
      <c r="N25" s="99"/>
      <c r="O25" s="99"/>
      <c r="P25" s="99"/>
    </row>
    <row r="26" spans="2:16" ht="15.75" customHeight="1">
      <c r="B26" s="1089"/>
      <c r="C26" s="285"/>
      <c r="D26" s="286"/>
      <c r="E26" s="194"/>
      <c r="F26" s="307" t="s">
        <v>954</v>
      </c>
      <c r="G26" s="314" t="s">
        <v>1083</v>
      </c>
      <c r="H26" s="881"/>
      <c r="I26" s="4"/>
    </row>
    <row r="27" spans="2:16" ht="24.75" customHeight="1">
      <c r="B27" s="299">
        <f>Worksheet!AG16</f>
        <v>0</v>
      </c>
      <c r="C27" s="300"/>
      <c r="D27" s="286"/>
      <c r="E27" s="194"/>
      <c r="F27" s="302">
        <f>Worksheet!H51</f>
        <v>12.858942198423897</v>
      </c>
      <c r="G27" s="485" t="s">
        <v>1084</v>
      </c>
      <c r="H27" s="881"/>
      <c r="I27" s="4"/>
      <c r="L27" s="99"/>
      <c r="M27" s="99"/>
      <c r="N27" s="99"/>
      <c r="O27" s="99"/>
      <c r="P27" s="99"/>
    </row>
    <row r="28" spans="2:16" ht="16.5" customHeight="1">
      <c r="B28" s="297"/>
      <c r="C28" s="285"/>
      <c r="D28" s="286"/>
      <c r="E28" s="194"/>
      <c r="F28" s="310"/>
      <c r="G28" s="315" t="s">
        <v>1083</v>
      </c>
      <c r="H28" s="881"/>
      <c r="I28" s="4"/>
    </row>
    <row r="29" spans="2:16" ht="12.75" customHeight="1">
      <c r="B29" s="297"/>
      <c r="C29" s="285"/>
      <c r="D29" s="286"/>
      <c r="E29" s="194"/>
      <c r="F29" s="310"/>
      <c r="G29" s="289" t="s">
        <v>1085</v>
      </c>
      <c r="H29" s="881"/>
      <c r="I29" s="4"/>
      <c r="L29" s="99"/>
      <c r="M29" s="99"/>
      <c r="N29" s="99"/>
      <c r="O29" s="99"/>
      <c r="P29" s="99"/>
    </row>
    <row r="30" spans="2:16" ht="14.25" thickBot="1">
      <c r="B30" s="316"/>
      <c r="C30" s="317"/>
      <c r="D30" s="318"/>
      <c r="E30" s="319"/>
      <c r="F30" s="320"/>
      <c r="G30" s="321" t="s">
        <v>1083</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1086</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705</v>
      </c>
      <c r="G4" s="1141" t="str">
        <f>IF(ISBLANK('Start Page'!AB9),"&lt;&lt; Please enter system details on the Start Page &gt;&gt;",'Start Page'!AB9&amp;IF(ISBLANK('Start Page'!AM28),"","  ("&amp;'Start Page'!AM28&amp;")"))</f>
        <v>PAW- Kittanning District 440</v>
      </c>
      <c r="H4" s="1142"/>
      <c r="I4" s="1142"/>
      <c r="J4" s="1142"/>
      <c r="K4" s="1142"/>
      <c r="L4" s="1142"/>
      <c r="M4" s="1142"/>
      <c r="N4" s="1142"/>
      <c r="O4" s="1143"/>
      <c r="S4" s="323"/>
      <c r="T4" s="91"/>
    </row>
    <row r="5" spans="1:20" ht="17.100000000000001" customHeight="1">
      <c r="A5" s="96"/>
      <c r="B5" s="322"/>
      <c r="E5"/>
      <c r="F5" s="274" t="s">
        <v>706</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889</v>
      </c>
      <c r="G6" s="1152" t="str">
        <f>IF(OR(ISBLANK('Start Page'!AB22:AL22),'M36 Refs'!AN118&gt;0),"Additional data entry required",Dashboard!BR4)</f>
        <v>Tier V (91-100)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1087</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1088</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1089</v>
      </c>
      <c r="D10" s="1151" t="s">
        <v>1090</v>
      </c>
      <c r="E10" s="1128"/>
      <c r="F10" s="1129"/>
      <c r="G10" s="1127" t="s">
        <v>898</v>
      </c>
      <c r="H10" s="1128"/>
      <c r="I10" s="1129"/>
      <c r="J10" s="1127" t="s">
        <v>899</v>
      </c>
      <c r="K10" s="1128"/>
      <c r="L10" s="1129"/>
      <c r="M10" s="1127" t="s">
        <v>906</v>
      </c>
      <c r="N10" s="1128"/>
      <c r="O10" s="1129"/>
      <c r="P10" s="1127" t="s">
        <v>918</v>
      </c>
      <c r="Q10" s="1128"/>
      <c r="R10" s="1130"/>
      <c r="S10" s="323"/>
      <c r="T10" s="91"/>
    </row>
    <row r="11" spans="1:20" ht="61.9" customHeight="1" thickTop="1">
      <c r="A11" s="96"/>
      <c r="B11" s="322"/>
      <c r="C11" s="326" t="s">
        <v>1091</v>
      </c>
      <c r="D11" s="1136" t="s">
        <v>1092</v>
      </c>
      <c r="E11" s="1132"/>
      <c r="F11" s="1133"/>
      <c r="G11" s="1131" t="s">
        <v>1093</v>
      </c>
      <c r="H11" s="1132"/>
      <c r="I11" s="1133"/>
      <c r="J11" s="1131" t="s">
        <v>1094</v>
      </c>
      <c r="K11" s="1132"/>
      <c r="L11" s="1147"/>
      <c r="M11" s="1131" t="s">
        <v>1095</v>
      </c>
      <c r="N11" s="1132"/>
      <c r="O11" s="1147"/>
      <c r="P11" s="1131" t="s">
        <v>1096</v>
      </c>
      <c r="Q11" s="1132"/>
      <c r="R11" s="1147"/>
      <c r="S11" s="323"/>
      <c r="T11" s="91"/>
    </row>
    <row r="12" spans="1:20" ht="78" customHeight="1">
      <c r="A12" s="96"/>
      <c r="B12" s="322"/>
      <c r="C12" s="327" t="s">
        <v>1097</v>
      </c>
      <c r="D12" s="1124" t="s">
        <v>1098</v>
      </c>
      <c r="E12" s="1125"/>
      <c r="F12" s="1126"/>
      <c r="G12" s="1134" t="s">
        <v>1099</v>
      </c>
      <c r="H12" s="1125"/>
      <c r="I12" s="1126"/>
      <c r="J12" s="1134" t="s">
        <v>1100</v>
      </c>
      <c r="K12" s="1125"/>
      <c r="L12" s="1135"/>
      <c r="M12" s="1134" t="s">
        <v>1101</v>
      </c>
      <c r="N12" s="1125"/>
      <c r="O12" s="1135"/>
      <c r="P12" s="1134" t="s">
        <v>1102</v>
      </c>
      <c r="Q12" s="1125"/>
      <c r="R12" s="1135"/>
      <c r="S12" s="323"/>
      <c r="T12" s="91"/>
    </row>
    <row r="13" spans="1:20" ht="105.75" customHeight="1">
      <c r="A13" s="96"/>
      <c r="B13" s="322"/>
      <c r="C13" s="327" t="s">
        <v>1103</v>
      </c>
      <c r="D13" s="1137"/>
      <c r="E13" s="1138"/>
      <c r="F13" s="1139"/>
      <c r="G13" s="1134" t="s">
        <v>1104</v>
      </c>
      <c r="H13" s="1125"/>
      <c r="I13" s="1126"/>
      <c r="J13" s="1134" t="s">
        <v>1105</v>
      </c>
      <c r="K13" s="1125"/>
      <c r="L13" s="1135"/>
      <c r="M13" s="1134" t="s">
        <v>1106</v>
      </c>
      <c r="N13" s="1125"/>
      <c r="O13" s="1135"/>
      <c r="P13" s="1134" t="s">
        <v>1107</v>
      </c>
      <c r="Q13" s="1125"/>
      <c r="R13" s="1135"/>
      <c r="S13" s="323"/>
      <c r="T13" s="91"/>
    </row>
    <row r="14" spans="1:20" ht="68.25" customHeight="1">
      <c r="A14" s="96"/>
      <c r="B14" s="322"/>
      <c r="C14" s="327" t="s">
        <v>1108</v>
      </c>
      <c r="D14" s="1137"/>
      <c r="E14" s="1138"/>
      <c r="F14" s="1139"/>
      <c r="G14" s="1140"/>
      <c r="H14" s="1138"/>
      <c r="I14" s="1139"/>
      <c r="J14" s="1134" t="s">
        <v>1109</v>
      </c>
      <c r="K14" s="1125"/>
      <c r="L14" s="1135"/>
      <c r="M14" s="1134" t="s">
        <v>1110</v>
      </c>
      <c r="N14" s="1125"/>
      <c r="O14" s="1135"/>
      <c r="P14" s="1134" t="s">
        <v>1111</v>
      </c>
      <c r="Q14" s="1125"/>
      <c r="R14" s="1135"/>
      <c r="S14" s="323"/>
      <c r="T14" s="91"/>
    </row>
    <row r="15" spans="1:20" ht="84" customHeight="1" thickBot="1">
      <c r="A15" s="96"/>
      <c r="B15" s="322"/>
      <c r="C15" s="328" t="s">
        <v>1112</v>
      </c>
      <c r="D15" s="1117"/>
      <c r="E15" s="1118"/>
      <c r="F15" s="1119"/>
      <c r="G15" s="1120"/>
      <c r="H15" s="1118"/>
      <c r="I15" s="1119"/>
      <c r="J15" s="1121" t="s">
        <v>1113</v>
      </c>
      <c r="K15" s="1122"/>
      <c r="L15" s="1123"/>
      <c r="M15" s="1121" t="s">
        <v>1114</v>
      </c>
      <c r="N15" s="1122"/>
      <c r="O15" s="1123"/>
      <c r="P15" s="1121" t="s">
        <v>1115</v>
      </c>
      <c r="Q15" s="1122"/>
      <c r="R15" s="1123"/>
      <c r="S15" s="323"/>
      <c r="T15" s="91"/>
    </row>
    <row r="16" spans="1:20" ht="21" customHeight="1" thickTop="1" thickBot="1">
      <c r="A16" s="96"/>
      <c r="B16" s="322"/>
      <c r="C16" s="1114" t="s">
        <v>1116</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0</v>
      </c>
      <c r="O19" s="331"/>
      <c r="P19" s="331"/>
      <c r="Q19" s="331">
        <f>IF(AND(ROUND('M36 Refs'!$AH$118,0)&gt;=Q17,ROUND('M36 Refs'!$AH$118,0)&lt;='Loss Control Planning'!Q18,'M36 Refs'!AN118=0),1,0)</f>
        <v>1</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1117</v>
      </c>
      <c r="B1" s="627" t="s">
        <v>1118</v>
      </c>
    </row>
    <row r="2" spans="1:2" ht="105">
      <c r="A2" s="624" t="s">
        <v>1119</v>
      </c>
      <c r="B2" s="619" t="s">
        <v>1120</v>
      </c>
    </row>
    <row r="3" spans="1:2" ht="28.35" customHeight="1">
      <c r="B3" s="620"/>
    </row>
    <row r="4" spans="1:2" ht="60">
      <c r="A4" s="624" t="s">
        <v>1121</v>
      </c>
      <c r="B4" s="619" t="s">
        <v>1122</v>
      </c>
    </row>
    <row r="5" spans="1:2" ht="13.5">
      <c r="B5" s="621"/>
    </row>
    <row r="6" spans="1:2" ht="75">
      <c r="A6" s="624" t="s">
        <v>1123</v>
      </c>
      <c r="B6" s="622" t="s">
        <v>1124</v>
      </c>
    </row>
    <row r="7" spans="1:2" ht="13.5">
      <c r="B7" s="621"/>
    </row>
    <row r="8" spans="1:2" ht="150">
      <c r="A8" s="624" t="s">
        <v>1125</v>
      </c>
      <c r="B8" s="619" t="s">
        <v>1126</v>
      </c>
    </row>
    <row r="9" spans="1:2" ht="13.5">
      <c r="B9" s="621"/>
    </row>
    <row r="10" spans="1:2" ht="255">
      <c r="A10" s="625" t="s">
        <v>1127</v>
      </c>
      <c r="B10" s="623" t="s">
        <v>1128</v>
      </c>
    </row>
    <row r="12" spans="1:2" ht="150">
      <c r="A12" s="624" t="s">
        <v>1129</v>
      </c>
      <c r="B12" s="619" t="s">
        <v>1130</v>
      </c>
    </row>
    <row r="13" spans="1:2">
      <c r="B13" s="620"/>
    </row>
    <row r="14" spans="1:2" ht="45">
      <c r="A14" s="624" t="s">
        <v>1131</v>
      </c>
      <c r="B14" s="622" t="s">
        <v>1132</v>
      </c>
    </row>
    <row r="15" spans="1:2" ht="13.5">
      <c r="B15" s="621"/>
    </row>
    <row r="16" spans="1:2" ht="60">
      <c r="A16" s="624" t="s">
        <v>1133</v>
      </c>
      <c r="B16" s="622" t="s">
        <v>1134</v>
      </c>
    </row>
    <row r="17" spans="1:2" ht="13.5">
      <c r="B17" s="621"/>
    </row>
    <row r="18" spans="1:2" ht="120">
      <c r="A18" s="624" t="s">
        <v>1135</v>
      </c>
      <c r="B18" s="622" t="s">
        <v>1136</v>
      </c>
    </row>
    <row r="19" spans="1:2" ht="13.5">
      <c r="B19" s="621"/>
    </row>
    <row r="20" spans="1:2" ht="75">
      <c r="A20" s="624" t="s">
        <v>1137</v>
      </c>
      <c r="B20" s="619" t="s">
        <v>1138</v>
      </c>
    </row>
    <row r="21" spans="1:2" ht="13.5">
      <c r="B21" s="621"/>
    </row>
    <row r="22" spans="1:2" ht="90">
      <c r="A22" s="624" t="s">
        <v>1139</v>
      </c>
      <c r="B22" s="619" t="s">
        <v>1140</v>
      </c>
    </row>
    <row r="23" spans="1:2" ht="13.5">
      <c r="B23" s="621"/>
    </row>
    <row r="24" spans="1:2" ht="90">
      <c r="A24" s="624" t="s">
        <v>1141</v>
      </c>
      <c r="B24" s="619" t="s">
        <v>1142</v>
      </c>
    </row>
    <row r="25" spans="1:2" ht="13.5">
      <c r="B25" s="621"/>
    </row>
    <row r="26" spans="1:2" ht="60">
      <c r="A26" s="624" t="s">
        <v>1143</v>
      </c>
      <c r="B26" s="619" t="s">
        <v>1144</v>
      </c>
    </row>
    <row r="96" spans="34:34">
      <c r="AH96" s="33" t="s">
        <v>1145</v>
      </c>
    </row>
    <row r="97" spans="28:40" ht="25.5">
      <c r="AD97" s="32" t="s">
        <v>1146</v>
      </c>
      <c r="AE97" s="32" t="s">
        <v>1147</v>
      </c>
      <c r="AF97" s="32" t="s">
        <v>1148</v>
      </c>
      <c r="AG97" s="32" t="s">
        <v>1149</v>
      </c>
      <c r="AH97" s="32" t="s">
        <v>1150</v>
      </c>
      <c r="AI97" s="32" t="s">
        <v>1151</v>
      </c>
      <c r="AJ97" s="32" t="s">
        <v>1152</v>
      </c>
      <c r="AK97" s="32"/>
      <c r="AL97" s="161" t="s">
        <v>1153</v>
      </c>
      <c r="AM97" s="161" t="s">
        <v>1154</v>
      </c>
      <c r="AN97" s="161" t="s">
        <v>1155</v>
      </c>
    </row>
    <row r="98" spans="28:40">
      <c r="AC98" s="164" t="s">
        <v>1069</v>
      </c>
      <c r="AD98" s="36">
        <f>IF(Worksheet!F15="n/a",0,Worksheet!F15)</f>
        <v>10</v>
      </c>
      <c r="AE98" s="56">
        <f>Worksheet!Y15</f>
        <v>34.653465346534652</v>
      </c>
      <c r="AF98" s="35">
        <f t="shared" ref="AF98:AF103" si="0">AE98</f>
        <v>34.653465346534652</v>
      </c>
      <c r="AG98" s="35">
        <f>IF(AE98&lt;&gt;0,AF98/10,0)</f>
        <v>3.4653465346534653</v>
      </c>
      <c r="AH98" s="35">
        <f>IFERROR(AD98*AG98,0)</f>
        <v>34.653465346534652</v>
      </c>
      <c r="AI98" s="35">
        <f t="shared" ref="AI98:AI117" si="1">IF(AG98=0,0,AF98-AH98)</f>
        <v>0</v>
      </c>
      <c r="AJ98">
        <f t="array" aca="1" ref="AJ98" ca="1">SUM(1*(AI98&lt;$AI$98:$AI$117))+1+IF(ROW(AI98)-ROW($AI$98)=0,0,SUM(1*(AI98=OFFSET($AI$98,0,0,INDEX(ROW(AI98)-ROW($AI$98)+1,1)-1,1))))</f>
        <v>5</v>
      </c>
      <c r="AK98" s="118" t="str">
        <f>AC98</f>
        <v>Volume from Own Sources (VOS)</v>
      </c>
      <c r="AL98">
        <f>IFERROR(IF(AE98&lt;&gt;0,1,0),0)</f>
        <v>1</v>
      </c>
      <c r="AM98">
        <f>IF(AD98="",0,IF(AD98&lt;&gt;0,1,0))</f>
        <v>1</v>
      </c>
      <c r="AN98">
        <f t="shared" ref="AN98:AN117" si="2">IF(AND(AL98=1,AM98=0),1,0)</f>
        <v>0</v>
      </c>
    </row>
    <row r="99" spans="28:40">
      <c r="AC99" s="168" t="s">
        <v>1156</v>
      </c>
      <c r="AD99" s="36">
        <f>IF(Worksheet!M15="n/a",0,Worksheet!M15)</f>
        <v>9</v>
      </c>
      <c r="AE99" s="56">
        <f>Worksheet!Z15</f>
        <v>0.34653465346534651</v>
      </c>
      <c r="AF99" s="35">
        <f t="shared" si="0"/>
        <v>0.34653465346534651</v>
      </c>
      <c r="AG99" s="35">
        <f t="shared" ref="AG99:AG117" si="3">IF(AE99&lt;&gt;0,AF99/10,0)</f>
        <v>3.465346534653465E-2</v>
      </c>
      <c r="AH99" s="35">
        <f t="shared" ref="AH99:AH106" si="4">IFERROR(AD99*AG99,0)</f>
        <v>0.31188118811881183</v>
      </c>
      <c r="AI99" s="35">
        <f t="shared" si="1"/>
        <v>3.4653465346534684E-2</v>
      </c>
      <c r="AJ99">
        <f t="array" aca="1" ref="AJ99" ca="1">SUM(1*(AI99&lt;$AI$98:$AI$117))+1+IF(ROW(AI99)-ROW($AI$98)=0,0,SUM(1*(AI99=OFFSET($AI$98,0,0,INDEX(ROW(AI99)-ROW($AI$98)+1,1)-1,1))))</f>
        <v>4</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1157</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6</v>
      </c>
      <c r="AK100" s="118" t="str">
        <f t="shared" si="5"/>
        <v>Water Imported (WI)</v>
      </c>
      <c r="AL100">
        <f t="shared" si="6"/>
        <v>0</v>
      </c>
      <c r="AM100">
        <f t="shared" si="7"/>
        <v>0</v>
      </c>
      <c r="AN100">
        <f t="shared" si="2"/>
        <v>0</v>
      </c>
    </row>
    <row r="101" spans="28:40">
      <c r="AC101" s="168" t="s">
        <v>1158</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7</v>
      </c>
      <c r="AK101" s="118" t="str">
        <f t="shared" si="5"/>
        <v>WI Error Adjustment (WIEA)</v>
      </c>
      <c r="AL101">
        <f t="shared" si="6"/>
        <v>0</v>
      </c>
      <c r="AM101">
        <f t="shared" si="7"/>
        <v>0</v>
      </c>
      <c r="AN101">
        <f t="shared" si="2"/>
        <v>0</v>
      </c>
    </row>
    <row r="102" spans="28:40">
      <c r="AC102" s="164" t="s">
        <v>1159</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8</v>
      </c>
      <c r="AK102" s="118" t="str">
        <f t="shared" si="5"/>
        <v>Water Exported (WE)</v>
      </c>
      <c r="AL102">
        <f t="shared" si="6"/>
        <v>0</v>
      </c>
      <c r="AM102">
        <f t="shared" si="7"/>
        <v>0</v>
      </c>
      <c r="AN102">
        <f t="shared" si="2"/>
        <v>0</v>
      </c>
    </row>
    <row r="103" spans="28:40">
      <c r="AC103" s="168" t="s">
        <v>1160</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9</v>
      </c>
      <c r="AK103" s="861" t="str">
        <f t="shared" si="5"/>
        <v>WE Error Adjustment (WEEA)</v>
      </c>
      <c r="AL103">
        <f t="shared" si="6"/>
        <v>0</v>
      </c>
      <c r="AM103" s="60">
        <f t="shared" si="7"/>
        <v>0</v>
      </c>
      <c r="AN103" s="60">
        <f t="shared" si="2"/>
        <v>0</v>
      </c>
    </row>
    <row r="104" spans="28:40">
      <c r="AC104" s="165" t="s">
        <v>1161</v>
      </c>
      <c r="AD104" s="65">
        <f>IF(Worksheet!F23="n/a",0,Worksheet!F23)</f>
        <v>10</v>
      </c>
      <c r="AE104" s="169">
        <f>IF(Worksheet!H23&gt;0,Worksheet!Y23,0)</f>
        <v>13.946923112487864</v>
      </c>
      <c r="AF104" s="67">
        <f t="shared" ref="AF104:AF117" si="8">AE104/$AE$120</f>
        <v>17.104717024749267</v>
      </c>
      <c r="AG104" s="67">
        <f t="shared" si="3"/>
        <v>1.7104717024749267</v>
      </c>
      <c r="AH104" s="67">
        <f t="shared" ref="AH104:AH117" si="9">AD104*AG104</f>
        <v>17.104717024749267</v>
      </c>
      <c r="AI104" s="67">
        <f t="shared" si="1"/>
        <v>0</v>
      </c>
      <c r="AJ104" s="68">
        <f t="array" aca="1" ref="AJ104" ca="1">SUM(1*(AI104&lt;$AI$98:$AI$117))+1+IF(ROW(AI104)-ROW($AI$98)=0,0,SUM(1*(AI104=OFFSET($AI$98,0,0,INDEX(ROW(AI104)-ROW($AI$98)+1,1)-1,1))))</f>
        <v>10</v>
      </c>
      <c r="AK104" s="887" t="str">
        <f t="shared" si="5"/>
        <v>Billed Metered (BMAC)</v>
      </c>
      <c r="AL104" s="68">
        <f t="shared" ref="AL104:AL117" si="10">IF(AE104&lt;&gt;0,1,0)</f>
        <v>1</v>
      </c>
      <c r="AM104" s="68">
        <f t="shared" si="7"/>
        <v>1</v>
      </c>
      <c r="AN104" s="68">
        <f t="shared" si="2"/>
        <v>0</v>
      </c>
    </row>
    <row r="105" spans="28:40">
      <c r="AC105" s="166" t="s">
        <v>1162</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11</v>
      </c>
      <c r="AK105" s="888" t="str">
        <f t="shared" si="5"/>
        <v>Billed Unmetered (BUAC)</v>
      </c>
      <c r="AL105" s="72">
        <f t="shared" si="10"/>
        <v>0</v>
      </c>
      <c r="AM105" s="72">
        <f t="shared" si="7"/>
        <v>0</v>
      </c>
      <c r="AN105" s="72">
        <f t="shared" si="2"/>
        <v>0</v>
      </c>
    </row>
    <row r="106" spans="28:40">
      <c r="AC106" s="166" t="s">
        <v>1163</v>
      </c>
      <c r="AD106" s="70">
        <f>IF(Worksheet!F25="n/a",0,Worksheet!F25)</f>
        <v>10</v>
      </c>
      <c r="AE106" s="170">
        <f>IF(Worksheet!H25&gt;0,Worksheet!Y24,0)</f>
        <v>5.3076887512136489E-2</v>
      </c>
      <c r="AF106" s="71">
        <f t="shared" si="8"/>
        <v>6.5094296005450414E-2</v>
      </c>
      <c r="AG106" s="71">
        <f t="shared" si="3"/>
        <v>6.5094296005450414E-3</v>
      </c>
      <c r="AH106" s="35">
        <f t="shared" si="4"/>
        <v>6.5094296005450414E-2</v>
      </c>
      <c r="AI106" s="71">
        <f t="shared" si="1"/>
        <v>0</v>
      </c>
      <c r="AJ106" s="72">
        <f t="array" aca="1" ref="AJ106" ca="1">SUM(1*(AI106&lt;$AI$98:$AI$117))+1+IF(ROW(AI106)-ROW($AI$98)=0,0,SUM(1*(AI106=OFFSET($AI$98,0,0,INDEX(ROW(AI106)-ROW($AI$98)+1,1)-1,1))))</f>
        <v>12</v>
      </c>
      <c r="AK106" s="888" t="str">
        <f t="shared" si="5"/>
        <v>Unbilled Metered (UMAC)</v>
      </c>
      <c r="AL106" s="72">
        <f t="shared" si="10"/>
        <v>1</v>
      </c>
      <c r="AM106" s="72">
        <f t="shared" si="7"/>
        <v>1</v>
      </c>
      <c r="AN106" s="72">
        <f t="shared" si="2"/>
        <v>0</v>
      </c>
    </row>
    <row r="107" spans="28:40">
      <c r="AB107" t="s">
        <v>1164</v>
      </c>
      <c r="AC107" s="167" t="s">
        <v>1165</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13</v>
      </c>
      <c r="AK107" s="889" t="str">
        <f t="shared" si="5"/>
        <v>Unbilled Unmetered (UUAC)</v>
      </c>
      <c r="AL107" s="64">
        <f t="shared" si="10"/>
        <v>1</v>
      </c>
      <c r="AM107" s="64">
        <f t="shared" si="7"/>
        <v>1</v>
      </c>
      <c r="AN107" s="64">
        <f t="shared" si="2"/>
        <v>0</v>
      </c>
    </row>
    <row r="108" spans="28:40">
      <c r="AB108" t="s">
        <v>1164</v>
      </c>
      <c r="AC108" s="167" t="s">
        <v>1080</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1079</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1078</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1166</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14</v>
      </c>
      <c r="AK111" s="889" t="str">
        <f t="shared" si="5"/>
        <v>Length of Mains (Lm)</v>
      </c>
      <c r="AL111" s="64">
        <f t="shared" si="10"/>
        <v>1</v>
      </c>
      <c r="AM111" s="64">
        <f t="shared" si="7"/>
        <v>1</v>
      </c>
      <c r="AN111" s="64">
        <f t="shared" si="2"/>
        <v>0</v>
      </c>
    </row>
    <row r="112" spans="28:40">
      <c r="AC112" s="167" t="s">
        <v>1167</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15</v>
      </c>
      <c r="AK112" s="889" t="str">
        <f t="shared" si="5"/>
        <v>Number of Service Connections (Nc)</v>
      </c>
      <c r="AL112" s="64">
        <f t="shared" si="10"/>
        <v>1</v>
      </c>
      <c r="AM112" s="64">
        <f t="shared" si="7"/>
        <v>1</v>
      </c>
      <c r="AN112" s="64">
        <f t="shared" si="2"/>
        <v>0</v>
      </c>
    </row>
    <row r="113" spans="29:40">
      <c r="AC113" s="167" t="s">
        <v>1168</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16</v>
      </c>
      <c r="AK113" s="889" t="str">
        <f t="shared" si="5"/>
        <v>Average Length of Customer Service Line (Lp)</v>
      </c>
      <c r="AL113" s="64">
        <f t="shared" si="10"/>
        <v>1</v>
      </c>
      <c r="AM113" s="64">
        <f t="shared" si="7"/>
        <v>1</v>
      </c>
      <c r="AN113" s="64">
        <f t="shared" si="2"/>
        <v>0</v>
      </c>
    </row>
    <row r="114" spans="29:40">
      <c r="AC114" s="167" t="s">
        <v>1169</v>
      </c>
      <c r="AD114" s="61">
        <f>Worksheet!F68</f>
        <v>10</v>
      </c>
      <c r="AE114" s="62">
        <v>2</v>
      </c>
      <c r="AF114" s="63">
        <f t="shared" si="8"/>
        <v>2.4528301886792452</v>
      </c>
      <c r="AG114" s="63">
        <f t="shared" si="3"/>
        <v>0.24528301886792453</v>
      </c>
      <c r="AH114" s="63">
        <f t="shared" si="9"/>
        <v>2.4528301886792452</v>
      </c>
      <c r="AI114" s="63">
        <f t="shared" si="1"/>
        <v>0</v>
      </c>
      <c r="AJ114" s="64">
        <f t="array" aca="1" ref="AJ114" ca="1">SUM(1*(AI114&lt;$AI$98:$AI$117))+1+IF(ROW(AI114)-ROW($AI$98)=0,0,SUM(1*(AI114=OFFSET($AI$98,0,0,INDEX(ROW(AI114)-ROW($AI$98)+1,1)-1,1))))</f>
        <v>17</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1170</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1171</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91.748365402577988</v>
      </c>
      <c r="AN118" s="38">
        <f>SUM(AN98:AN117)</f>
        <v>0</v>
      </c>
    </row>
    <row r="119" spans="29:40">
      <c r="AE119" s="34">
        <f>SUM(AE104:AE117)</f>
        <v>53</v>
      </c>
      <c r="AK119" s="76"/>
      <c r="AN119" s="37"/>
    </row>
    <row r="120" spans="29:40">
      <c r="AE120" s="890">
        <f>AE119/(100-AE121)</f>
        <v>0.81538461538461537</v>
      </c>
    </row>
    <row r="121" spans="29:40">
      <c r="AD121" s="164" t="s">
        <v>1172</v>
      </c>
      <c r="AE121" s="74">
        <v>35</v>
      </c>
      <c r="AM121">
        <f>IF(SUM(Worksheet!W26,Worksheet!W43)=2,2,IF(SUM(Worksheet!W26,Worksheet!W43)=3,1,0))</f>
        <v>1</v>
      </c>
      <c r="AN121" t="s">
        <v>1173</v>
      </c>
    </row>
    <row r="122" spans="29:40">
      <c r="AN122" s="118" t="s">
        <v>1174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1175</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1176</v>
      </c>
      <c r="D4" s="1188" t="s">
        <v>1177</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1178</v>
      </c>
      <c r="D6" s="1158" t="s">
        <v>1179</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735</v>
      </c>
      <c r="D8" s="1158" t="s">
        <v>1180</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1181</v>
      </c>
      <c r="D10" s="1163" t="s">
        <v>1182</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1183</v>
      </c>
      <c r="D12" s="1163" t="s">
        <v>1184</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1066</v>
      </c>
      <c r="D14" s="1163" t="s">
        <v>1185</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1186</v>
      </c>
      <c r="D16" s="1163" t="s">
        <v>1187</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1188</v>
      </c>
      <c r="D18" s="1163" t="s">
        <v>1189</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1190</v>
      </c>
      <c r="D20" s="1163" t="s">
        <v>1191</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1192</v>
      </c>
      <c r="D22" s="1163" t="s">
        <v>1193</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947</v>
      </c>
      <c r="D24" s="1163" t="s">
        <v>1194</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992</v>
      </c>
      <c r="D26" s="1163" t="s">
        <v>1195</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757</v>
      </c>
      <c r="D28" s="1158" t="s">
        <v>1196</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1197</v>
      </c>
      <c r="D30" s="1163" t="s">
        <v>1198</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954</v>
      </c>
      <c r="D32" s="1163" t="s">
        <v>1199</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1068</v>
      </c>
      <c r="D34" s="1163" t="s">
        <v>1200</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1201</v>
      </c>
      <c r="D36" s="1158" t="s">
        <v>1202</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1203</v>
      </c>
      <c r="D38" s="1163" t="s">
        <v>1204</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1205</v>
      </c>
      <c r="D40" s="1163" t="s">
        <v>1206</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1207</v>
      </c>
      <c r="D42" s="1163" t="s">
        <v>1208</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1209</v>
      </c>
      <c r="D44" s="1174" t="s">
        <v>1210</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1072</v>
      </c>
      <c r="D47" s="1163" t="s">
        <v>1211</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1212</v>
      </c>
      <c r="D49" s="1163" t="s">
        <v>1213</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1214</v>
      </c>
      <c r="D51" s="1163" t="s">
        <v>1215</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1216</v>
      </c>
      <c r="D53" s="1174" t="s">
        <v>1217</v>
      </c>
      <c r="E53" s="1175"/>
      <c r="F53" s="1175"/>
      <c r="G53" s="1175"/>
      <c r="H53" s="1175"/>
      <c r="I53" s="1175"/>
      <c r="J53" s="1175"/>
      <c r="K53" s="1175"/>
      <c r="L53" s="1176"/>
      <c r="M53" s="892"/>
      <c r="N53" s="891"/>
    </row>
    <row r="54" spans="1:14" ht="18" customHeight="1">
      <c r="A54" s="93"/>
      <c r="B54" s="335"/>
      <c r="C54" s="1181"/>
      <c r="D54" s="896"/>
      <c r="E54" s="1180" t="s">
        <v>1218</v>
      </c>
      <c r="F54" s="1180"/>
      <c r="G54" s="897" t="s">
        <v>1219</v>
      </c>
      <c r="H54" s="897"/>
      <c r="I54" s="1182" t="s">
        <v>1220</v>
      </c>
      <c r="J54" s="1182"/>
      <c r="K54" s="637"/>
      <c r="L54" s="643"/>
      <c r="M54" s="892"/>
      <c r="N54" s="891"/>
    </row>
    <row r="55" spans="1:14" ht="18.75" customHeight="1">
      <c r="A55" s="93"/>
      <c r="B55" s="335"/>
      <c r="C55" s="1181"/>
      <c r="D55" s="896"/>
      <c r="E55" s="1161">
        <v>100</v>
      </c>
      <c r="F55" s="1162"/>
      <c r="G55" s="898" t="s">
        <v>1018</v>
      </c>
      <c r="H55" s="31" t="s">
        <v>1019</v>
      </c>
      <c r="I55" s="899">
        <f>E55*INDEX(Sheet1!N2:P4,MATCH(G55,Sheet1!M2:M4,0),MATCH(J55,Sheet1!N1:P1,0))</f>
        <v>306.88832897372282</v>
      </c>
      <c r="J55" s="898" t="s">
        <v>1003</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1221</v>
      </c>
      <c r="D59" s="1163" t="s">
        <v>1222</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1223</v>
      </c>
      <c r="D61" s="1163" t="s">
        <v>1224</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1225</v>
      </c>
      <c r="D63" s="1163" t="s">
        <v>1226</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983</v>
      </c>
      <c r="D65" s="1163" t="s">
        <v>1227</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1228</v>
      </c>
      <c r="D67" s="1163" t="s">
        <v>1229</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1230</v>
      </c>
      <c r="D69" s="1163" t="s">
        <v>1231</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1232</v>
      </c>
      <c r="D71" s="1163" t="s">
        <v>1233</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1234</v>
      </c>
      <c r="D73" s="1166" t="s">
        <v>1235</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1236</v>
      </c>
      <c r="D76" s="1158" t="s">
        <v>1237</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1238</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1239</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1240</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1241</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1242</v>
      </c>
      <c r="D8" s="739" t="s">
        <v>1243</v>
      </c>
      <c r="E8" s="358"/>
      <c r="F8" s="358" t="s">
        <v>1244</v>
      </c>
      <c r="G8" s="833"/>
      <c r="H8" s="739" t="s">
        <v>1245</v>
      </c>
      <c r="I8" s="833"/>
      <c r="J8" s="833"/>
      <c r="K8" s="833"/>
      <c r="L8" s="833"/>
      <c r="M8" s="833"/>
      <c r="N8" s="833"/>
      <c r="O8" s="833"/>
      <c r="P8" s="833"/>
      <c r="Q8" s="833"/>
      <c r="R8" s="845"/>
      <c r="S8" s="892"/>
      <c r="T8" s="827"/>
      <c r="U8" s="906"/>
      <c r="V8" s="906"/>
    </row>
    <row r="9" spans="1:22" s="41" customFormat="1" ht="15">
      <c r="A9" s="827"/>
      <c r="B9" s="903"/>
      <c r="C9" s="740"/>
      <c r="D9" s="193" t="s">
        <v>1246</v>
      </c>
      <c r="E9" s="193"/>
      <c r="F9" s="118"/>
      <c r="G9" s="118"/>
      <c r="H9" s="193" t="s">
        <v>1247</v>
      </c>
      <c r="I9" s="193"/>
      <c r="J9" s="118"/>
      <c r="K9" s="118"/>
      <c r="L9" s="118"/>
      <c r="M9" s="118"/>
      <c r="N9" s="118"/>
      <c r="O9" s="118"/>
      <c r="P9" s="118"/>
      <c r="Q9" s="118"/>
      <c r="R9" s="835"/>
      <c r="S9" s="892"/>
      <c r="T9" s="827"/>
      <c r="U9" s="906"/>
      <c r="V9" s="906"/>
    </row>
    <row r="10" spans="1:22" s="41" customFormat="1" ht="15">
      <c r="A10" s="827"/>
      <c r="B10" s="903"/>
      <c r="C10" s="740"/>
      <c r="D10" s="193" t="s">
        <v>1248</v>
      </c>
      <c r="E10" s="193"/>
      <c r="F10" s="118"/>
      <c r="G10" s="118"/>
      <c r="H10" s="193" t="s">
        <v>1249</v>
      </c>
      <c r="I10" s="193"/>
      <c r="J10" s="118"/>
      <c r="K10" s="118"/>
      <c r="L10" s="118"/>
      <c r="M10" s="118"/>
      <c r="N10" s="118"/>
      <c r="O10" s="118"/>
      <c r="P10" s="118"/>
      <c r="Q10" s="118"/>
      <c r="R10" s="835"/>
      <c r="S10" s="892"/>
      <c r="T10" s="827"/>
      <c r="U10" s="906"/>
      <c r="V10" s="906"/>
    </row>
    <row r="11" spans="1:22" s="41" customFormat="1" ht="15">
      <c r="A11" s="827"/>
      <c r="B11" s="903"/>
      <c r="C11" s="740"/>
      <c r="D11" s="193" t="s">
        <v>1250</v>
      </c>
      <c r="E11" s="193"/>
      <c r="F11" s="118"/>
      <c r="G11" s="118"/>
      <c r="H11" s="193" t="s">
        <v>1251</v>
      </c>
      <c r="I11" s="193"/>
      <c r="J11" s="118"/>
      <c r="K11" s="118"/>
      <c r="L11" s="118"/>
      <c r="M11" s="118"/>
      <c r="N11" s="118"/>
      <c r="O11" s="118"/>
      <c r="P11" s="118"/>
      <c r="Q11" s="118"/>
      <c r="R11" s="835"/>
      <c r="S11" s="892"/>
      <c r="T11" s="827"/>
      <c r="U11" s="906"/>
      <c r="V11" s="906"/>
    </row>
    <row r="12" spans="1:22" s="41" customFormat="1" ht="15">
      <c r="A12" s="827"/>
      <c r="B12" s="903"/>
      <c r="C12" s="740"/>
      <c r="D12" s="193" t="s">
        <v>1252</v>
      </c>
      <c r="E12" s="193"/>
      <c r="F12" s="118"/>
      <c r="G12" s="118"/>
      <c r="H12" s="193" t="s">
        <v>1247</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1253</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1254</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1255</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1256</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1257</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1258</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1259</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1260</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1261</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1262</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1263</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1264</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1265</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1266</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1267</v>
      </c>
      <c r="D33" s="362" t="s">
        <v>1268</v>
      </c>
      <c r="E33" s="362" t="s">
        <v>1269</v>
      </c>
      <c r="F33" s="1207" t="s">
        <v>1270</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1271</v>
      </c>
      <c r="D34" s="911" t="s">
        <v>1272</v>
      </c>
      <c r="E34" s="912">
        <v>5</v>
      </c>
      <c r="F34" s="1210" t="s">
        <v>1273</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1274</v>
      </c>
      <c r="D35" s="912">
        <v>2006</v>
      </c>
      <c r="E35" s="912">
        <v>5</v>
      </c>
      <c r="F35" s="1210" t="s">
        <v>1275</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1276</v>
      </c>
      <c r="D36" s="912">
        <v>2007</v>
      </c>
      <c r="E36" s="912">
        <v>7</v>
      </c>
      <c r="F36" s="1210" t="s">
        <v>1277</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1278</v>
      </c>
      <c r="D37" s="912">
        <v>2010</v>
      </c>
      <c r="E37" s="912">
        <v>10</v>
      </c>
      <c r="F37" s="1210" t="s">
        <v>1279</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1280</v>
      </c>
      <c r="D38" s="365">
        <v>2014</v>
      </c>
      <c r="E38" s="365">
        <v>12</v>
      </c>
      <c r="F38" s="1204" t="s">
        <v>1281</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1282</v>
      </c>
      <c r="D39" s="365">
        <v>2020</v>
      </c>
      <c r="E39" s="366">
        <v>11</v>
      </c>
      <c r="F39" s="1204" t="s">
        <v>1283</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1284</v>
      </c>
      <c r="M40" s="196" t="s">
        <v>625</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BDBDFF49-0991-4324-8D06-45341070C3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2024-05-22T17:05:10Z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