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CFF6373D-CFA4-4FEB-8708-A3D4CB4C014A}"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<sst xmlns="http://schemas.openxmlformats.org/spreadsheetml/2006/main" count="2541" uniqueCount="1284">
  <si>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</si>
  <si>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</si>
  <si>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</si>
  <si>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</si>
  <si>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</si>
  <si>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</si>
  <si>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</si>
  <si>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</si>
  <si>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</si>
  <si>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</si>
  <si>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</si>
  <si>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</si>
  <si>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</si>
  <si>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</si>
  <si>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</si>
  <si>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</si>
  <si>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</si>
  <si>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</si>
  <si>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</si>
  <si>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</si>
  <si>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</si>
  <si>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</si>
  <si>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</si>
  <si>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</si>
  <si>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</si>
  <si>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</si>
  <si>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</si>
  <si>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</si>
  <si>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</si>
  <si>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</si>
  <si>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</si>
  <si>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</si>
  <si>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</si>
  <si>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</si>
  <si>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</si>
  <si>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</si>
  <si>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</si>
  <si>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</si>
  <si>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</si>
  <si>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</si>
  <si>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</si>
  <si>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</si>
  <si>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</si>
  <si>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</si>
  <si>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</si>
  <si>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</si>
  <si>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</si>
  <si>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</si>
  <si>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</si>
  <si>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</si>
  <si>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</si>
  <si>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</si>
  <si>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</si>
  <si>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</si>
  <si>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</si>
  <si>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</si>
  <si>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</si>
  <si>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</si>
  <si>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</si>
  <si>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</si>
  <si>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</si>
  <si>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</si>
  <si>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</si>
  <si>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</si>
  <si>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</si>
  <si>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</si>
  <si>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</si>
  <si>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</si>
  <si>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</si>
  <si>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</si>
  <si>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</si>
  <si>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</si>
  <si>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</si>
  <si>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</si>
  <si>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</si>
  <si>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</si>
  <si>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</si>
  <si>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</si>
  <si>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</si>
  <si>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</si>
  <si>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</si>
  <si>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</si>
  <si>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</si>
  <si>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</si>
  <si>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</si>
  <si>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</si>
  <si>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</si>
  <si>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</si>
  <si>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</si>
  <si>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</si>
  <si>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</si>
  <si>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</si>
  <si>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</si>
  <si>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</si>
  <si>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</si>
  <si>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</si>
  <si>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</si>
  <si>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</si>
  <si>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</si>
  <si>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</si>
  <si>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</si>
  <si>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</si>
  <si>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</si>
  <si>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</si>
  <si>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</si>
  <si>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</si>
  <si>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</si>
  <si>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</si>
  <si>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</si>
  <si>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</si>
  <si>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</si>
  <si>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</si>
  <si>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</si>
  <si>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</si>
  <si>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</si>
  <si>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</si>
  <si>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</si>
  <si>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</si>
  <si>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</si>
  <si>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</si>
  <si>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</si>
  <si>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</si>
  <si>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</si>
  <si>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</si>
  <si>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</si>
  <si>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</si>
  <si>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</si>
  <si>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</si>
  <si>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</si>
  <si>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</si>
  <si>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</si>
  <si>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</si>
  <si>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</si>
  <si>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</si>
  <si>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</si>
  <si>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</si>
  <si>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</si>
  <si>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</si>
  <si>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</si>
  <si>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</si>
  <si>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</si>
  <si>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</si>
  <si>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</si>
  <si>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</si>
  <si>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</si>
  <si>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</si>
  <si>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</si>
  <si>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</si>
  <si>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</si>
  <si>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</si>
  <si>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</si>
  <si>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</si>
  <si>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</si>
  <si>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</si>
  <si>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</si>
  <si>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</si>
  <si>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</si>
  <si>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</si>
  <si>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</si>
  <si>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</si>
  <si>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</si>
  <si>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</si>
  <si>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</si>
  <si>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</si>
  <si>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</si>
  <si>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</si>
  <si>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</si>
  <si>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</si>
  <si>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</si>
  <si>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</si>
  <si>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</si>
  <si>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</si>
  <si>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</si>
  <si>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</si>
  <si>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</si>
  <si>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</si>
  <si>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</si>
  <si>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</si>
  <si>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</si>
  <si>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</si>
  <si>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</si>
  <si>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</si>
  <si>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</si>
  <si>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</si>
  <si>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</si>
  <si>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</si>
  <si>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</si>
  <si>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</si>
  <si>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</si>
  <si>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</si>
  <si>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</si>
  <si>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</si>
  <si>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</si>
  <si>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</si>
  <si>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</si>
  <si>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</si>
  <si>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</si>
  <si>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</si>
  <si>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</si>
  <si>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</si>
  <si>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</si>
  <si>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</si>
  <si>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</si>
  <si>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</si>
  <si>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</si>
  <si>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</si>
  <si>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</si>
  <si>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</si>
  <si>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</si>
  <si>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</si>
  <si>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</si>
  <si>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</si>
  <si>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</si>
  <si>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</si>
  <si>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</si>
  <si>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</si>
  <si>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</si>
  <si>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</si>
  <si>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</si>
  <si>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</si>
  <si>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</si>
  <si>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</si>
  <si>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</si>
  <si>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</si>
  <si>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</si>
  <si>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</si>
  <si>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</si>
  <si>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</si>
  <si>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</si>
  <si>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</si>
  <si>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</si>
  <si>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</si>
  <si>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</si>
  <si>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</si>
  <si>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</si>
  <si>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</si>
  <si>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</si>
  <si>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</si>
  <si>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</si>
  <si>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</si>
  <si>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</si>
  <si>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</si>
  <si>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</si>
  <si>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</si>
  <si>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</si>
  <si>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</si>
  <si>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</si>
  <si>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</si>
  <si>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</si>
  <si>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</si>
  <si>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</si>
  <si>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</si>
  <si>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</si>
  <si>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</si>
  <si>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</si>
  <si>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</si>
  <si>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</si>
  <si>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</si>
  <si>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</si>
  <si>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</si>
  <si>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</si>
  <si>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</si>
  <si>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</si>
  <si>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</si>
  <si>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</si>
  <si>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</si>
  <si>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</si>
  <si>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</si>
  <si>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</si>
  <si>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</si>
  <si>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</si>
  <si>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</si>
  <si>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</si>
  <si>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</si>
  <si>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</si>
  <si>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</si>
  <si>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</si>
  <si>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</si>
  <si>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</si>
  <si>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</si>
  <si>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</si>
  <si>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</si>
  <si>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</si>
  <si>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</si>
  <si>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</si>
  <si>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</si>
  <si>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</si>
  <si>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</si>
  <si>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</si>
  <si>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</si>
  <si>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</si>
  <si>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</si>
  <si>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</si>
  <si>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</si>
  <si>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</si>
  <si>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</si>
  <si>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</si>
  <si>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</si>
  <si>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</si>
  <si>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</si>
  <si>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</si>
  <si>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</si>
  <si>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</si>
  <si>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</si>
  <si>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</si>
  <si>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</si>
  <si>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</si>
  <si>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</si>
  <si>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</si>
  <si>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</si>
  <si>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</si>
  <si>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</si>
  <si>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</si>
  <si>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</si>
  <si>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</si>
  <si>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</si>
  <si>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</si>
  <si>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</si>
  <si>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</si>
  <si>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</si>
  <si>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</si>
  <si>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</si>
  <si>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</si>
  <si>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</si>
  <si>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</si>
  <si>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</si>
  <si>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</si>
  <si>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</si>
  <si>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</si>
  <si>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</si>
  <si>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</si>
  <si>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</si>
  <si>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</si>
  <si>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</si>
  <si>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</si>
  <si>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</si>
  <si>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</si>
  <si>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</si>
  <si>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</si>
  <si>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</si>
  <si>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</si>
  <si>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</si>
  <si>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</si>
  <si>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</si>
  <si>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</si>
  <si>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</si>
  <si>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</si>
  <si>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</si>
  <si>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</si>
  <si>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</si>
  <si>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</si>
  <si>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</si>
  <si>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</si>
  <si>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</si>
  <si>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</si>
  <si>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</si>
  <si>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</si>
  <si>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</si>
  <si>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</si>
  <si>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</si>
  <si>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</si>
  <si>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</si>
  <si>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</si>
  <si>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</si>
  <si>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</si>
  <si>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</si>
  <si>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</si>
  <si>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</si>
  <si>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</si>
  <si>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</si>
  <si>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</si>
  <si>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</si>
  <si>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</si>
  <si>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</si>
  <si>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</si>
  <si>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</si>
  <si>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</si>
  <si>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</si>
  <si>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</si>
  <si>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</si>
  <si>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</si>
  <si>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</si>
  <si>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</si>
  <si>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</si>
  <si>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</si>
  <si>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</si>
  <si>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</si>
  <si>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</si>
  <si>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</si>
  <si>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</si>
  <si>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</si>
  <si>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</si>
  <si>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</si>
  <si>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</si>
  <si>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</si>
  <si>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</si>
  <si>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</si>
  <si>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</si>
  <si>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</si>
  <si>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</si>
  <si>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</si>
  <si>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</si>
  <si>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</si>
  <si>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</si>
  <si>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</si>
  <si>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</si>
  <si>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</si>
  <si>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</si>
  <si>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</si>
  <si>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</si>
  <si>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</si>
  <si>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</si>
  <si>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</si>
  <si>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</si>
  <si>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</si>
  <si>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</si>
  <si>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</si>
  <si>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</si>
  <si>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</si>
  <si>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</si>
  <si>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</si>
  <si>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</si>
  <si>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</si>
  <si>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</si>
  <si>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</si>
  <si>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</si>
  <si>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</si>
  <si>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</si>
  <si>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</si>
  <si>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</si>
  <si>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</si>
  <si>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</si>
  <si>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</si>
  <si>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</si>
  <si>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</si>
  <si>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</si>
  <si>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</si>
  <si>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</si>
  <si>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</si>
  <si>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</si>
  <si>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</si>
  <si>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</si>
  <si>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</si>
  <si>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</si>
  <si>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</si>
  <si>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</si>
  <si>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</si>
  <si>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</si>
  <si>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</si>
  <si>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</si>
  <si>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</si>
  <si>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</si>
  <si>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</si>
  <si>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</si>
  <si>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</si>
  <si>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</si>
  <si>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</si>
  <si>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</si>
  <si>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</si>
  <si>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</si>
  <si>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</si>
  <si>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</si>
  <si>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</si>
  <si>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</si>
  <si>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</si>
  <si>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</si>
  <si>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</si>
  <si>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</si>
  <si>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</si>
  <si>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</si>
  <si>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</si>
  <si>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</si>
  <si>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</si>
  <si>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</si>
  <si>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</si>
  <si>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</si>
  <si>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</si>
  <si>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</si>
  <si>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</si>
  <si>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</si>
  <si>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</si>
  <si>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</si>
  <si>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</si>
  <si>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</si>
  <si>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</si>
  <si>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</si>
  <si>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</si>
  <si>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</si>
  <si>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</si>
  <si>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</si>
  <si>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</si>
  <si>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</si>
  <si>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</si>
  <si>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</si>
  <si>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</si>
  <si>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</si>
  <si>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</si>
  <si>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</si>
  <si>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</si>
  <si>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</si>
  <si>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</si>
  <si>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</si>
  <si>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</si>
  <si>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</si>
  <si>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</si>
  <si>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</si>
  <si>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</si>
  <si>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</si>
  <si>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</si>
  <si>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</si>
  <si>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</si>
  <si>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</si>
  <si>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</si>
  <si>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</si>
  <si>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</si>
  <si>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</si>
  <si>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Warren District 450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</si>
  <si>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</si>
  <si>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</si>
  <si>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</si>
  <si>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</si>
  <si>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</si>
  <si>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</si>
  <si>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</si>
  <si>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</si>
  <si>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</si>
  <si>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</si>
  <si>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</si>
  <si>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</si>
  <si>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</si>
  <si>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</si>
  <si>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</si>
  <si>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Warren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</si>
  <si>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</si>
  <si>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</si>
  <si>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</si>
  <si>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</si>
  <si>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</si>
  <si>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</si>
  <si>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</si>
  <si>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</si>
  <si>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</si>
  <si>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</si>
  <si>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</si>
  <si>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</si>
  <si>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</si>
  <si>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</si>
  <si>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</si>
  <si>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</si>
  <si>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</si>
  <si>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</si>
  <si>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</si>
  <si>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</si>
  <si>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</si>
  <si>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</si>
  <si>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</si>
  <si>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</si>
  <si>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</si>
  <si>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</si>
  <si>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</si>
  <si>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</si>
  <si>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</si>
  <si>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</si>
  <si>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</si>
  <si>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</si>
  <si>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</si>
  <si>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</si>
  <si>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</si>
  <si>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</si>
  <si>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</si>
  <si>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</si>
  <si>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</si>
  <si>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</si>
  <si>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</si>
  <si>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</si>
  <si>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</si>
  <si>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6620020</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</si>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</sst>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5.7559744394297487</c:v>
                </c:pt>
                <c:pt idx="1">
                  <c:v>0.26113598867139654</c:v>
                </c:pt>
                <c:pt idx="2">
                  <c:v>26.624888155823424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29.557120496609087</c:v>
                </c:pt>
                <c:pt idx="1">
                  <c:v>0.92482240795754933</c:v>
                </c:pt>
                <c:pt idx="2">
                  <c:v>85.12085809012703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187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2.5219999999999998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153.43600000000001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1.1848050000000001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9.7233469387755314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1.1848050000000001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19.065818571428586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$195,546/Yr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410.98511999999999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25003.930560000001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16433.245350000001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134157.32908408192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16433.245350000001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3106.9657944000028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32.165808526427512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1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1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16"/>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17"/>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18"/>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19"/>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20"/>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21"/>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22"/>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23"/>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24"/>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25"/>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26"/>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27"/>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28"/>
                  </a:ext>
                </a:extLst>
              </xdr:cNvPicPr>
            </xdr:nvPicPr>
            <xdr:blipFill rotWithShape="1">
              <a:blip xmlns:r="http://schemas.openxmlformats.org/officeDocument/2006/relationships" r:embed="rId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2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30"/>
                  </a:ext>
                </a:extLst>
              </xdr:cNvPicPr>
            </xdr:nvPicPr>
            <xdr:blipFill rotWithShape="1">
              <a:blip xmlns:r="http://schemas.openxmlformats.org/officeDocument/2006/relationships" r:embed="rId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2" sqref="AB22:AL22"/>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45011</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5423</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8" activePane="bottomLeft" state="frozen"/>
      <selection pane="bottomLeft" activeCell="S67" sqref="S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Warren District 450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647.81799999999998</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0.02</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12.95636</v>
      </c>
      <c r="Y15" s="84">
        <f>$Y$19/$Y$18*H15</f>
        <v>34.313725490196077</v>
      </c>
      <c r="Z15" s="114">
        <f>$Y$19/$Y$18*ABS(X15)</f>
        <v>0.68627450980392157</v>
      </c>
      <c r="AA15" s="754">
        <f>IF(W15=1,input_VOS-input_VOS/(1+O15*AB15),Q15*AB15)</f>
        <v>-13.220775510204135</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661.03877551020412</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t="str">
        <f>'Interactive Data Grading'!D127</f>
        <v>n/a</v>
      </c>
      <c r="G17" s="79"/>
      <c r="H17" s="254">
        <v>0</v>
      </c>
      <c r="I17" s="468"/>
      <c r="J17" s="807" t="str">
        <f>IF('Start Page'!$AB$22="million gallons (US)","MG/Yr",IF('Start Page'!$AB$22="Megalitres (thousand cubic metres)","ML/Yr",IF('Start Page'!$AB$22="acre-feet","Acre-ft/Yr","")))</f>
        <v>MG/Yr</v>
      </c>
      <c r="K17" s="703" t="s">
        <v>724</v>
      </c>
      <c r="L17" s="491" t="s">
        <v>725</v>
      </c>
      <c r="M17" s="390" t="str">
        <f>'Interactive Data Grading'!D150</f>
        <v>n/a</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660.77436</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661.03877551020412</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473.92200000000003</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13.92589265475061</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7.4107345249389209E-2</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2.5219999999999998</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476.44400000000002</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153.43600000000001</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153.43600000000001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629.88</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31.158775510204123</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1.1848050000000001</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9.7233469387755349</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1.1848050000000001</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12.092956938775536</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9.6718775510204296</v>
      </c>
      <c r="Y50" s="854">
        <f>IFERROR(IF(W41=1,((H25)/(1-(O41*X41)))-(H25),Q41*H25/(H23+H25)),0)</f>
        <v>5.1469387755102236E-2</v>
      </c>
      <c r="Z50" s="855">
        <f>SUM(X50:Y50)</f>
        <v>9.7233469387755314</v>
      </c>
      <c r="AA50" s="1029"/>
      <c r="AB50" s="1029"/>
      <c r="AC50" s="1029"/>
    </row>
    <row r="51" spans="1:29">
      <c r="A51" s="827"/>
      <c r="B51" s="448"/>
      <c r="C51" s="1009" t="s">
        <v>754</v>
      </c>
      <c r="D51" s="1009"/>
      <c r="E51" s="1009"/>
      <c r="F51" s="1009"/>
      <c r="G51" s="728"/>
      <c r="H51" s="727">
        <f>IFERROR(H35-H46,"")</f>
        <v>19.065818571428586</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134148.94163265335</v>
      </c>
      <c r="Y51" s="856">
        <f>Y50*input_VPC</f>
        <v>8.3874514285714614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31.158775510204123</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187.11677551020412</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88.4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5756</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65.11312217194569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20.3</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20.3</v>
      </c>
      <c r="X67" s="171" t="s">
        <v>769</v>
      </c>
      <c r="Y67" s="171"/>
      <c r="Z67" s="171"/>
    </row>
    <row r="68" spans="1:26">
      <c r="A68" s="827"/>
      <c r="B68" s="448" t="s">
        <v>577</v>
      </c>
      <c r="C68" s="805" t="s">
        <v>770</v>
      </c>
      <c r="D68" s="700" t="s">
        <v>724</v>
      </c>
      <c r="E68" s="463" t="s">
        <v>725</v>
      </c>
      <c r="F68" s="390">
        <f>'Interactive Data Grading'!D422</f>
        <v>10</v>
      </c>
      <c r="G68" s="47"/>
      <c r="H68" s="256">
        <v>84.5</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162.96</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1942375</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Warren District 450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Warren District 450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49">
        <f>BR6</f>
        <v>92</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result is above 90th %ile</v>
      </c>
      <c r="AM14" s="1058"/>
      <c r="AN14" s="1058"/>
      <c r="AO14" s="1058"/>
      <c r="AP14" s="193"/>
      <c r="AQ14" s="193"/>
      <c r="AR14" s="193"/>
      <c r="AS14" s="193"/>
      <c r="AT14" s="193"/>
      <c r="AU14" s="193"/>
      <c r="AV14" s="1058" t="str">
        <f>IF(BS29&lt;0,"negative result check inputs",IF($BS$30=0,"result is below 10th %ile",IF($BS$29&gt;$BS$30,"result is above 90th %ile","")))</f>
        <v>result is below 10th %ile</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29.557120496609087</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29.557120496609087</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29.557120496609087</v>
      </c>
      <c r="AB18" s="1059"/>
      <c r="AC18" s="1059"/>
      <c r="AD18" s="730" t="str">
        <f>BD13</f>
        <v>$/conn/year</v>
      </c>
      <c r="AE18" s="731"/>
      <c r="AF18" s="732"/>
      <c r="AG18" s="732"/>
      <c r="AH18" s="733"/>
      <c r="AI18" s="733"/>
      <c r="AJ18" s="731"/>
      <c r="AK18" s="1059">
        <f>BS22</f>
        <v>29.017341866588243</v>
      </c>
      <c r="AL18" s="1059"/>
      <c r="AM18" s="1059"/>
      <c r="AN18" s="730" t="str">
        <f>BD13</f>
        <v>$/conn/year</v>
      </c>
      <c r="AO18" s="731"/>
      <c r="AP18" s="731"/>
      <c r="AQ18" s="731"/>
      <c r="AR18" s="731"/>
      <c r="AS18" s="731"/>
      <c r="AT18" s="731"/>
      <c r="AU18" s="1059">
        <f>BS29</f>
        <v>0.53977863002084825</v>
      </c>
      <c r="AV18" s="1059"/>
      <c r="AW18" s="1059"/>
      <c r="AX18" s="730" t="str">
        <f>BD13</f>
        <v>$/conn/year</v>
      </c>
      <c r="AY18" s="576"/>
      <c r="AZ18" s="193"/>
      <c r="BA18" s="193"/>
      <c r="BB18" s="272"/>
      <c r="BC18" s="89"/>
      <c r="BD18" s="50" t="s">
        <v>911</v>
      </c>
      <c r="BE18" s="182">
        <f>(((5.41*Worksheet!H61)+(0.15*Worksheet!H62)+(7.5*(Worksheet!H62*Worksheet!W67/5280)))*Worksheet!H68)/1000000*365</f>
        <v>46.498756531647722</v>
      </c>
      <c r="BN18" s="535"/>
      <c r="BO18" s="591" t="s">
        <v>928</v>
      </c>
      <c r="BP18" s="593">
        <f>BQ18-BQ17</f>
        <v>8.9525318444022357</v>
      </c>
      <c r="BQ18" s="758">
        <f t="shared" si="0"/>
        <v>18.283980813778896</v>
      </c>
      <c r="BR18" s="591" t="s">
        <v>900</v>
      </c>
      <c r="BS18" s="595">
        <f>SUM(BP16:BP20)-SUM(BS16,BS17)</f>
        <v>85.12085809012703</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142.69925691353347</v>
      </c>
      <c r="BF19" s="181">
        <f>BE19*325851.427242/Worksheet!H62/365</f>
        <v>22.132358149993678</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281.19631572500003</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29.017341866588243</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result is below 10th %ile</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result is below 10th %ile</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14.830873566215182</v>
      </c>
      <c r="AB29" s="1063"/>
      <c r="AC29" s="1063"/>
      <c r="AD29" s="729" t="str">
        <f>BD10</f>
        <v>gal/conn/day</v>
      </c>
      <c r="AE29" s="729"/>
      <c r="AF29" s="734"/>
      <c r="AG29" s="734"/>
      <c r="AH29" s="575"/>
      <c r="AI29" s="575"/>
      <c r="AJ29" s="575"/>
      <c r="AK29" s="1063">
        <f>BS43</f>
        <v>5.7559744394297487</v>
      </c>
      <c r="AL29" s="1063"/>
      <c r="AM29" s="1063"/>
      <c r="AN29" s="730" t="str">
        <f>BD10</f>
        <v>gal/conn/day</v>
      </c>
      <c r="AO29" s="575"/>
      <c r="AP29" s="575"/>
      <c r="AQ29" s="575"/>
      <c r="AR29" s="575"/>
      <c r="AS29" s="575"/>
      <c r="AT29" s="575"/>
      <c r="AU29" s="1069">
        <f>BS55</f>
        <v>9.0748991267854322</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0.53977863002084825</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0</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84.5</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70.525930416536013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14.830873566215182</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result is below 10th %ile</v>
      </c>
      <c r="AJ37" s="1058"/>
      <c r="AK37" s="1058"/>
      <c r="AL37" s="1058"/>
      <c r="AM37" s="193"/>
      <c r="AN37" s="193"/>
      <c r="AO37" s="193"/>
      <c r="AP37" s="193"/>
      <c r="AQ37" s="193"/>
      <c r="AR37" s="193"/>
      <c r="AS37" s="193"/>
      <c r="AT37" s="1058" t="str">
        <f>IF(BS69&lt;0,"negative result check inputs",IF($BS$70=0,"result is below 10th %ile",IF($BS$69&gt;$BS$70,"result is above 90th %ile","")))</f>
        <v>result is below 10th %ile</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0</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248.29958819116263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0.41002856836509416</v>
      </c>
      <c r="AI41" s="1068"/>
      <c r="AJ41" s="1068"/>
      <c r="AK41" s="729" t="s">
        <v>949</v>
      </c>
      <c r="AL41" s="661"/>
      <c r="AM41" s="662"/>
      <c r="AN41" s="658"/>
      <c r="AO41" s="658"/>
      <c r="AP41" s="658"/>
      <c r="AQ41" s="658"/>
      <c r="AR41" s="658"/>
      <c r="AS41" s="1067">
        <f>BS69</f>
        <v>590.89501554046319</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46.498756531647722</v>
      </c>
      <c r="AL43" s="1065"/>
      <c r="AM43" s="1065"/>
      <c r="AN43" s="1065"/>
      <c r="AO43" s="773" t="str">
        <f>BD7</f>
        <v>MG/Yr</v>
      </c>
      <c r="AP43" s="575"/>
      <c r="AQ43" s="575"/>
      <c r="AR43" s="575"/>
      <c r="AS43" s="1065">
        <f>IF(BG19=1,BF19,IFERROR(AK43*1000000/Worksheet!H62/365,""))</f>
        <v>22.132358149993678</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5.7559744394297487</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5.7559744394297487</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26.624888155823424</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12.092956938775536</v>
      </c>
      <c r="J49" s="1074"/>
      <c r="K49" s="1074"/>
      <c r="L49" s="1074"/>
      <c r="M49" s="558"/>
      <c r="N49" s="1075">
        <f>IF(OR(ISBLANK('Start Page'!$AB$22),ISBLANK(Worksheet!J76)),"",(SUM(Worksheet!H43+Worksheet!H39+Worksheet!X50)*Worksheet!H76)*INDEX(Sheet1!B2:D4,MATCH('Start Page'!AB22,Sheet1!A2:A4,0),MATCH(Worksheet!J76,Sheet1!B1:D1,0))+Worksheet!Y50*Worksheet!H77)</f>
        <v>167023.81978408192</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19.065818571428586</v>
      </c>
      <c r="J50" s="1074"/>
      <c r="K50" s="1074"/>
      <c r="L50" s="1074"/>
      <c r="M50" s="558"/>
      <c r="N50" s="1075">
        <f>IFERROR(IF(Worksheet!H41="Select under/over","",IF(ISBLANK('Start Page'!AB22),"",Worksheet!H51*(IF(BD29=FALSE,Worksheet!H77,IF(BD29=TRUE,Worksheet!H76*INDEX(Sheet1!B2:D4,MATCH('Start Page'!AB22,Sheet1!A2:A4,0),MATCH(Worksheet!J76,Sheet1!B1:D1,0)),""))))),"")</f>
        <v>3106.9657944000028</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155.958</v>
      </c>
      <c r="J51" s="1074"/>
      <c r="K51" s="1074"/>
      <c r="L51" s="1074"/>
      <c r="M51" s="558"/>
      <c r="N51" s="1075">
        <f>IFERROR(IF(SUM(Sheet1!D90:D91)=0,"",SUM(Sheet1!D90:D91)),"")</f>
        <v>25414.915680000002</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187.11677551020412</v>
      </c>
      <c r="J52" s="1074"/>
      <c r="K52" s="1074"/>
      <c r="L52" s="1074"/>
      <c r="M52" s="558"/>
      <c r="N52" s="1075">
        <f>IF(SUM(N49:N51)=0,"",SUM(N49:N51))</f>
        <v>195545.70125848192</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9.0748991267854322</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0</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229.01903234921301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0.41002856836509416</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0</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11.266177727169243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590.89501554046319</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0</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12051.068909700503</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32.165808526427512</v>
      </c>
      <c r="BQ83" s="608">
        <f>BP83+BQ78</f>
        <v>84.5</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Warren District 450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187 MG/Yr</v>
      </c>
    </row>
    <row r="79" spans="1:6" ht="16.5">
      <c r="B79" s="46"/>
      <c r="C79" s="46"/>
      <c r="D79" s="46"/>
      <c r="E79" s="8" t="str">
        <f>IFERROR("Total Cost of NRW = $"&amp;TEXT(SUM(D90,D91,D94,D95,D96,D97,D99),"#,###")&amp;"/Yr","")</f>
        <v>Total Cost of NRW = $195,546/Yr</v>
      </c>
      <c r="F79" s="46"/>
    </row>
    <row r="80" spans="1:6">
      <c r="A80"/>
      <c r="B80"/>
      <c r="C80" s="47" t="str">
        <f>"Volume ("&amp;Worksheet!J15&amp;")"</f>
        <v>Volume (MG/Yr)</v>
      </c>
      <c r="D80" s="47" t="s">
        <v>1041</v>
      </c>
      <c r="E80" s="79" t="s">
        <v>1042</v>
      </c>
      <c r="F80"/>
    </row>
    <row r="81" spans="1:6">
      <c r="A81" s="118" t="s">
        <v>1043</v>
      </c>
      <c r="B81" s="118"/>
      <c r="C81" s="100">
        <f>IF(Dashboard!BO$2&gt;0,"",Worksheet!H15)</f>
        <v>647.81799999999998</v>
      </c>
      <c r="D81" s="872">
        <f>IF(Dashboard!BO$2&gt;0,"",C81*(Worksheet!$H$77))</f>
        <v>105568.42128000001</v>
      </c>
      <c r="E81" s="489">
        <f>D81</f>
        <v>105568.42128000001</v>
      </c>
      <c r="F81" s="75" t="s">
        <v>1044</v>
      </c>
    </row>
    <row r="82" spans="1:6">
      <c r="A82" s="118" t="str">
        <f>A81&amp;" MA"</f>
        <v>Vol. from own sources: MA</v>
      </c>
      <c r="B82" s="118"/>
      <c r="C82" s="100">
        <f>IF(Dashboard!BO$2&gt;0,"",Worksheet!X15)</f>
        <v>12.95636</v>
      </c>
      <c r="D82" s="872">
        <f>IF(Dashboard!BO$2&gt;0,"",C82*(Worksheet!$H$77))</f>
        <v>2111.3684256000001</v>
      </c>
      <c r="E82" s="489">
        <f t="shared" ref="E82:E100" si="0">D82</f>
        <v>2111.3684256000001</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661.03877551020412</v>
      </c>
      <c r="D87" s="872">
        <f>IF(Dashboard!BO$2&gt;0,"",C87*(Worksheet!$H$77))</f>
        <v>107722.87885714287</v>
      </c>
      <c r="E87" s="489">
        <f t="shared" si="0"/>
        <v>107722.87885714287</v>
      </c>
      <c r="F87"/>
    </row>
    <row r="88" spans="1:6">
      <c r="A88" s="118" t="s">
        <v>1047</v>
      </c>
      <c r="B88"/>
      <c r="C88" s="100">
        <f>IF(Dashboard!BO$2&gt;0,"",Worksheet!H23)</f>
        <v>473.92200000000003</v>
      </c>
      <c r="D88" s="872">
        <f>IF(Dashboard!BO$2&gt;0,"",C88*(Worksheet!$H$76*1000))</f>
        <v>6573298.1400000006</v>
      </c>
      <c r="E88" s="489">
        <f t="shared" si="0"/>
        <v>6573298.1400000006</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2.5219999999999998</v>
      </c>
      <c r="D90" s="873">
        <f>IF(Dashboard!BO$2&gt;0,"",IF(ISBLANK('Start Page'!AB22),"",IF(AND(ISBLANK(Worksheet!H77),Worksheet!Z77&lt;&gt;1),"",Worksheet!H25*(IF(Dashboard!BD29=FALSE,Worksheet!H77,IF(Dashboard!BD29=TRUE,Worksheet!H76*INDEX(Sheet1!B2:D4,MATCH('Start Page'!AB22,Sheet1!A2:A4,0),MATCH(Worksheet!J76,Sheet1!B1:D1,0)),""))))))</f>
        <v>410.98511999999999</v>
      </c>
      <c r="E90" s="796">
        <f t="shared" si="0"/>
        <v>410.98511999999999</v>
      </c>
      <c r="F90"/>
    </row>
    <row r="91" spans="1:6">
      <c r="A91" s="797" t="str">
        <f>"Unbilled Unmetered (UUAC) valued at "&amp;A76&amp;""</f>
        <v xml:space="preserve">Unbilled Unmetered (UUAC) valued at </v>
      </c>
      <c r="B91" s="794"/>
      <c r="C91" s="795">
        <f>IF(Dashboard!BO$2&gt;0,"",Worksheet!H26)</f>
        <v>153.43600000000001</v>
      </c>
      <c r="D91" s="873">
        <f>IF(Dashboard!BO$2&gt;0,"",IF(ISBLANK('Start Page'!AB22),"",IF(AND(ISBLANK(Worksheet!H77),Worksheet!Z77&lt;&gt;1),"",Worksheet!H26*(IF(Dashboard!BD29=FALSE,Worksheet!H77,IF(Dashboard!BD29=TRUE,Worksheet!H76*INDEX(Sheet1!B2:D4,MATCH('Start Page'!AB22,Sheet1!A2:A4,0),MATCH(Worksheet!J76,Sheet1!B1:D1,0)),""))))))</f>
        <v>25003.930560000001</v>
      </c>
      <c r="E91" s="796">
        <f t="shared" si="0"/>
        <v>25003.930560000001</v>
      </c>
      <c r="F91"/>
    </row>
    <row r="92" spans="1:6">
      <c r="A92" s="118" t="s">
        <v>1049</v>
      </c>
      <c r="B92" s="874" t="s">
        <v>1050</v>
      </c>
      <c r="C92" s="100">
        <f>IF(Dashboard!BO$2&gt;0,"",Worksheet!H30)</f>
        <v>629.88</v>
      </c>
      <c r="D92" s="872">
        <f>IF(Dashboard!BO$2&gt;0,"",C92*(Worksheet!$H$76*1000))</f>
        <v>8736435.5999999996</v>
      </c>
      <c r="E92" s="489">
        <f t="shared" si="0"/>
        <v>8736435.5999999996</v>
      </c>
      <c r="F92"/>
    </row>
    <row r="93" spans="1:6">
      <c r="A93" t="s">
        <v>1051</v>
      </c>
      <c r="B93"/>
      <c r="C93" s="100">
        <f>IF(Dashboard!BO$2&gt;0,"",Worksheet!H35)</f>
        <v>31.158775510204123</v>
      </c>
      <c r="D93" s="872"/>
      <c r="E93" s="489">
        <f t="shared" si="0"/>
        <v>0</v>
      </c>
      <c r="F93"/>
    </row>
    <row r="94" spans="1:6">
      <c r="A94" s="171" t="s">
        <v>1052</v>
      </c>
      <c r="B94" s="118"/>
      <c r="C94" s="102">
        <f>IF(Dashboard!BO$2&gt;0,"",Worksheet!H43)</f>
        <v>1.1848050000000001</v>
      </c>
      <c r="D94" s="875">
        <f>IF(Dashboard!BO$2&gt;0,"",IF(ISBLANK('Start Page'!AB22),"",IF(AND(ISBLANK(Worksheet!H77),Worksheet!Z77&lt;&gt;1),"",C94*Worksheet!H76*INDEX(Sheet1!B2:D4,MATCH('Start Page'!AB22,Sheet1!A2:A4,0),MATCH(Worksheet!J76,Sheet1!B1:D1,0)))))</f>
        <v>16433.245350000001</v>
      </c>
      <c r="E94" s="490">
        <f t="shared" si="0"/>
        <v>16433.245350000001</v>
      </c>
      <c r="F94" s="103"/>
    </row>
    <row r="95" spans="1:6">
      <c r="A95" s="785" t="s">
        <v>1053</v>
      </c>
      <c r="B95" s="785"/>
      <c r="C95" s="786">
        <f>Worksheet!X50</f>
        <v>9.6718775510204296</v>
      </c>
      <c r="D95" s="876">
        <f>IF(Dashboard!BO$2&gt;0,"",IF(ISBLANK('Start Page'!AB22),"",IF(AND(ISBLANK(Worksheet!H77),Worksheet!Z77&lt;&gt;1),"",C95*Worksheet!H76*INDEX(Sheet1!B2:D4,MATCH('Start Page'!AB22,Sheet1!A2:A4,0),MATCH(Worksheet!J76,Sheet1!B1:D1,0)))))</f>
        <v>134148.94163265335</v>
      </c>
      <c r="E95" s="787">
        <f t="shared" si="0"/>
        <v>134148.94163265335</v>
      </c>
      <c r="F95" s="103"/>
    </row>
    <row r="96" spans="1:6">
      <c r="A96" s="785" t="s">
        <v>1054</v>
      </c>
      <c r="B96" s="785"/>
      <c r="C96" s="786">
        <f>Worksheet!Y50</f>
        <v>5.1469387755102236E-2</v>
      </c>
      <c r="D96" s="876">
        <f>C96*input_VPC</f>
        <v>8.3874514285714614</v>
      </c>
      <c r="E96" s="787">
        <f t="shared" si="0"/>
        <v>8.3874514285714614</v>
      </c>
      <c r="F96" s="788" t="s">
        <v>1055</v>
      </c>
    </row>
    <row r="97" spans="1:7">
      <c r="A97" s="171" t="s">
        <v>1056</v>
      </c>
      <c r="B97" s="118"/>
      <c r="C97" s="102">
        <f>IF(Dashboard!BO$2&gt;0,"",Worksheet!H39)</f>
        <v>1.1848050000000001</v>
      </c>
      <c r="D97" s="875">
        <f>IF(Dashboard!BO$2&gt;0,"",IF(ISBLANK('Start Page'!AB22),"",IF(AND(ISBLANK(Worksheet!H77),Worksheet!Z77&lt;&gt;1),"",C97*Worksheet!H76*INDEX(Sheet1!B2:D4,MATCH('Start Page'!AB22,Sheet1!A2:A4,0),MATCH(Worksheet!J76,Sheet1!B1:D1,0)))))</f>
        <v>16433.245350000001</v>
      </c>
      <c r="E97" s="490">
        <f t="shared" si="0"/>
        <v>16433.245350000001</v>
      </c>
      <c r="F97" s="103"/>
    </row>
    <row r="98" spans="1:7">
      <c r="A98" s="792" t="s">
        <v>749</v>
      </c>
      <c r="B98" s="792"/>
      <c r="C98" s="793">
        <f>IF(Dashboard!BO$2&gt;0,"",Worksheet!H46)</f>
        <v>12.092956938775536</v>
      </c>
      <c r="D98" s="877">
        <f>IF(Dashboard!BO$2&gt;0,"",SUM(D94:D97))</f>
        <v>167023.81978408195</v>
      </c>
      <c r="E98" s="489">
        <f t="shared" si="0"/>
        <v>167023.81978408195</v>
      </c>
      <c r="F98"/>
    </row>
    <row r="99" spans="1:7">
      <c r="A99" s="171" t="str">
        <f>"Real Losses valued at "&amp;A76&amp;""</f>
        <v xml:space="preserve">Real Losses valued at </v>
      </c>
      <c r="B99" s="118"/>
      <c r="C99" s="102">
        <f>IF(Dashboard!BO$2&gt;0,"",Worksheet!H51)</f>
        <v>19.065818571428586</v>
      </c>
      <c r="D99" s="878">
        <f>IF(Dashboard!BO$2&gt;0,"",Dashboard!N50)</f>
        <v>3106.9657944000028</v>
      </c>
      <c r="E99" s="490">
        <f t="shared" si="0"/>
        <v>3106.9657944000028</v>
      </c>
      <c r="F99" s="489"/>
    </row>
    <row r="100" spans="1:7">
      <c r="A100" t="s">
        <v>757</v>
      </c>
      <c r="B100"/>
      <c r="C100" s="100">
        <f>IF(Dashboard!BO$2&gt;0,"",Worksheet!H57)</f>
        <v>187.11677551020412</v>
      </c>
      <c r="D100" s="101">
        <f>IF(Dashboard!BO$2&gt;0,"",D98+D99+D90+D91)</f>
        <v>195545.70125848195</v>
      </c>
      <c r="E100" s="489">
        <f t="shared" si="0"/>
        <v>195545.70125848195</v>
      </c>
      <c r="F100"/>
      <c r="G100" s="104"/>
    </row>
    <row r="101" spans="1:7">
      <c r="A101" s="789"/>
    </row>
    <row r="102" spans="1:7">
      <c r="A102" s="789" t="s">
        <v>1057</v>
      </c>
      <c r="C102" s="790">
        <f>C95+C96</f>
        <v>9.7233469387755314</v>
      </c>
      <c r="D102" s="104">
        <f>D95+D96</f>
        <v>134157.32908408192</v>
      </c>
      <c r="E102" s="104">
        <f>E95+E96</f>
        <v>134157.32908408192</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Warren District 450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473.92200000000003</v>
      </c>
      <c r="H12" s="881"/>
      <c r="I12" s="4"/>
      <c r="K12" s="756"/>
    </row>
    <row r="13" spans="2:16" ht="22.5" customHeight="1">
      <c r="B13" s="1089"/>
      <c r="C13" s="288"/>
      <c r="D13" s="286"/>
      <c r="E13" s="1098"/>
      <c r="F13" s="290">
        <f>Worksheet!H23+Worksheet!H24</f>
        <v>473.92200000000003</v>
      </c>
      <c r="G13" s="485" t="s">
        <v>1069</v>
      </c>
      <c r="H13" s="291">
        <f>SUM(G12+G14)</f>
        <v>473.92200000000003</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629.88</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2.5219999999999998</v>
      </c>
      <c r="H16" s="1097"/>
      <c r="I16" s="4"/>
      <c r="K16" s="118"/>
    </row>
    <row r="17" spans="2:16" ht="22.5" customHeight="1">
      <c r="B17" s="299">
        <f>Worksheet!AG15</f>
        <v>661.03877551020412</v>
      </c>
      <c r="C17" s="300"/>
      <c r="D17" s="301"/>
      <c r="E17" s="194"/>
      <c r="F17" s="302">
        <f>Worksheet!H25+Worksheet!H26</f>
        <v>155.958</v>
      </c>
      <c r="G17" s="289" t="s">
        <v>1074</v>
      </c>
      <c r="H17" s="881"/>
      <c r="I17" s="4"/>
      <c r="K17" s="118"/>
      <c r="L17" s="99"/>
      <c r="M17" s="99"/>
      <c r="N17" s="99"/>
      <c r="O17" s="99"/>
      <c r="P17" s="99"/>
    </row>
    <row r="18" spans="2:16" ht="15.75" customHeight="1">
      <c r="B18" s="297"/>
      <c r="C18" s="1110" t="s">
        <v>1075</v>
      </c>
      <c r="D18" s="286"/>
      <c r="E18" s="303"/>
      <c r="F18" s="294"/>
      <c r="G18" s="304">
        <f>Worksheet!H26</f>
        <v>153.43600000000001</v>
      </c>
      <c r="H18" s="881"/>
      <c r="I18" s="4"/>
      <c r="K18" s="118"/>
    </row>
    <row r="19" spans="2:16" ht="22.5" customHeight="1">
      <c r="B19" s="297"/>
      <c r="C19" s="1110"/>
      <c r="D19" s="815" t="s">
        <v>1076</v>
      </c>
      <c r="E19" s="282"/>
      <c r="F19" s="884"/>
      <c r="G19" s="485" t="s">
        <v>1077</v>
      </c>
      <c r="H19" s="305">
        <f>Worksheet!H25+Worksheet!H26+Worksheet!H46+Worksheet!H51</f>
        <v>187.11677551020412</v>
      </c>
      <c r="I19" s="4"/>
      <c r="K19" s="118"/>
      <c r="L19" s="99"/>
      <c r="M19" s="99"/>
      <c r="N19" s="99"/>
      <c r="O19" s="99"/>
      <c r="P19" s="99"/>
    </row>
    <row r="20" spans="2:16" ht="15.75" customHeight="1">
      <c r="B20" s="297"/>
      <c r="C20" s="306">
        <f>B17+B27</f>
        <v>661.03877551020412</v>
      </c>
      <c r="D20" s="286"/>
      <c r="E20" s="194"/>
      <c r="F20" s="307" t="s">
        <v>745</v>
      </c>
      <c r="G20" s="298">
        <f>Worksheet!H39</f>
        <v>1.1848050000000001</v>
      </c>
      <c r="H20" s="881"/>
      <c r="I20" s="4"/>
      <c r="K20" s="118"/>
    </row>
    <row r="21" spans="2:16" ht="14.25" customHeight="1">
      <c r="B21" s="308"/>
      <c r="C21" s="309"/>
      <c r="D21" s="306">
        <f>Worksheet!H19</f>
        <v>661.03877551020412</v>
      </c>
      <c r="E21" s="310"/>
      <c r="F21" s="302">
        <f>Worksheet!H46</f>
        <v>12.092956938775536</v>
      </c>
      <c r="G21" s="289" t="s">
        <v>1078</v>
      </c>
      <c r="H21" s="881"/>
      <c r="I21" s="4"/>
      <c r="K21" s="118"/>
      <c r="L21" s="99"/>
      <c r="M21" s="99"/>
      <c r="N21" s="99"/>
      <c r="O21" s="99"/>
      <c r="P21" s="99"/>
    </row>
    <row r="22" spans="2:16" ht="15.75" customHeight="1">
      <c r="B22" s="297"/>
      <c r="C22" s="285"/>
      <c r="D22" s="286"/>
      <c r="E22" s="194"/>
      <c r="F22" s="310"/>
      <c r="G22" s="311">
        <f>Worksheet!H41</f>
        <v>9.7233469387755349</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1.1848050000000001</v>
      </c>
      <c r="H24" s="881"/>
      <c r="I24" s="4"/>
      <c r="K24" s="118"/>
    </row>
    <row r="25" spans="2:16" ht="26.25" customHeight="1">
      <c r="B25" s="1088" t="s">
        <v>1080</v>
      </c>
      <c r="C25" s="288"/>
      <c r="D25" s="286"/>
      <c r="E25" s="313">
        <f>Worksheet!H53</f>
        <v>31.158775510204123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19.065818571428586</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Warren District 450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34.313725490196077</v>
      </c>
      <c r="AF98" s="35">
        <f t="shared" ref="AF98:AF103" si="0">AE98</f>
        <v>34.313725490196077</v>
      </c>
      <c r="AG98" s="35">
        <f>IF(AE98&lt;&gt;0,AF98/10,0)</f>
        <v>3.4313725490196076</v>
      </c>
      <c r="AH98" s="35">
        <f>IFERROR(AD98*AG98,0)</f>
        <v>34.313725490196077</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0.68627450980392157</v>
      </c>
      <c r="AF99" s="35">
        <f t="shared" si="0"/>
        <v>0.68627450980392157</v>
      </c>
      <c r="AG99" s="35">
        <f t="shared" ref="AG99:AG117" si="3">IF(AE99&lt;&gt;0,AF99/10,0)</f>
        <v>6.8627450980392163E-2</v>
      </c>
      <c r="AH99" s="35">
        <f t="shared" ref="AH99:AH106" si="4">IFERROR(AD99*AG99,0)</f>
        <v>0.61764705882352944</v>
      </c>
      <c r="AI99" s="35">
        <f t="shared" si="1"/>
        <v>6.8627450980392135E-2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13.92589265475061</v>
      </c>
      <c r="AF104" s="67">
        <f t="shared" ref="AF104:AF117" si="8">AE104/$AE$120</f>
        <v>17.078924953939428</v>
      </c>
      <c r="AG104" s="67">
        <f t="shared" si="3"/>
        <v>1.7078924953939427</v>
      </c>
      <c r="AH104" s="67">
        <f t="shared" ref="AH104:AH117" si="9">AD104*AG104</f>
        <v>17.078924953939428</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7.4107345249389209E-2</v>
      </c>
      <c r="AF106" s="71">
        <f t="shared" si="8"/>
        <v>9.0886366815288652E-2</v>
      </c>
      <c r="AG106" s="71">
        <f t="shared" si="3"/>
        <v>9.0886366815288652E-3</v>
      </c>
      <c r="AH106" s="35">
        <f t="shared" si="4"/>
        <v>9.0886366815288652E-2</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91.714391416944139</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7F3EED86-B68C-4B8D-AD16-24197D448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