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ED3E4455-C380-4BC9-B846-5E8F9B806813}"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<sst xmlns="http://schemas.openxmlformats.org/spreadsheetml/2006/main" count="2569" uniqueCount="1283">
  <si>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</si>
  <si>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</si>
  <si>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</si>
  <si>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</si>
  <si>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</si>
  <si>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</si>
  <si>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</si>
  <si>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</si>
  <si>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</si>
  <si>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</si>
  <si>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</si>
  <si>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</si>
  <si>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</si>
  <si>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</si>
  <si>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</si>
  <si>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</si>
  <si>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</si>
  <si>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</si>
  <si>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</si>
  <si>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</si>
  <si>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</si>
  <si>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</si>
  <si>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</si>
  <si>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</si>
  <si>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</si>
  <si>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</si>
  <si>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</si>
  <si>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</si>
  <si>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</si>
  <si>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</si>
  <si>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</si>
  <si>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</si>
  <si>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</si>
  <si>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</si>
  <si>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</si>
  <si>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</si>
  <si>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</si>
  <si>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</si>
  <si>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</si>
  <si>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</si>
  <si>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</si>
  <si>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</si>
  <si>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</si>
  <si>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</si>
  <si>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</si>
  <si>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</si>
  <si>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</si>
  <si>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</si>
  <si>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</si>
  <si>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</si>
  <si>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</si>
  <si>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</si>
  <si>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</si>
  <si>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</si>
  <si>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</si>
  <si>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</si>
  <si>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</si>
  <si>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</si>
  <si>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</si>
  <si>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</si>
  <si>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</si>
  <si>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</si>
  <si>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</si>
  <si>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</si>
  <si>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</si>
  <si>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</si>
  <si>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</si>
  <si>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</si>
  <si>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</si>
  <si>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</si>
  <si>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</si>
  <si>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</si>
  <si>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</si>
  <si>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</si>
  <si>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</si>
  <si>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</si>
  <si>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</si>
  <si>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</si>
  <si>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</si>
  <si>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</si>
  <si>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</si>
  <si>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</si>
  <si>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</si>
  <si>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</si>
  <si>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</si>
  <si>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</si>
  <si>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</si>
  <si>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</si>
  <si>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</si>
  <si>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</si>
  <si>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</si>
  <si>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</si>
  <si>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</si>
  <si>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</si>
  <si>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</si>
  <si>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</si>
  <si>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</si>
  <si>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</si>
  <si>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</si>
  <si>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</si>
  <si>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</si>
  <si>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</si>
  <si>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</si>
  <si>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</si>
  <si>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</si>
  <si>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</si>
  <si>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</si>
  <si>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</si>
  <si>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</si>
  <si>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</si>
  <si>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</si>
  <si>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</si>
  <si>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</si>
  <si>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</si>
  <si>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</si>
  <si>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</si>
  <si>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</si>
  <si>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</si>
  <si>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</si>
  <si>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</si>
  <si>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</si>
  <si>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</si>
  <si>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</si>
  <si>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</si>
  <si>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</si>
  <si>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</si>
  <si>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</si>
  <si>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</si>
  <si>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</si>
  <si>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</si>
  <si>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</si>
  <si>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</si>
  <si>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</si>
  <si>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</si>
  <si>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</si>
  <si>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</si>
  <si>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</si>
  <si>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</si>
  <si>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</si>
  <si>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</si>
  <si>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</si>
  <si>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</si>
  <si>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</si>
  <si>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</si>
  <si>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</si>
  <si>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</si>
  <si>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</si>
  <si>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</si>
  <si>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</si>
  <si>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</si>
  <si>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</si>
  <si>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</si>
  <si>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</si>
  <si>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</si>
  <si>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</si>
  <si>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</si>
  <si>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</si>
  <si>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</si>
  <si>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</si>
  <si>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</si>
  <si>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</si>
  <si>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</si>
  <si>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</si>
  <si>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</si>
  <si>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</si>
  <si>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</si>
  <si>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</si>
  <si>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</si>
  <si>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</si>
  <si>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</si>
  <si>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</si>
  <si>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</si>
  <si>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</si>
  <si>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</si>
  <si>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</si>
  <si>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</si>
  <si>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</si>
  <si>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</si>
  <si>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</si>
  <si>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</si>
  <si>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</si>
  <si>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</si>
  <si>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</si>
  <si>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</si>
  <si>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</si>
  <si>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</si>
  <si>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</si>
  <si>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</si>
  <si>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</si>
  <si>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</si>
  <si>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</si>
  <si>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</si>
  <si>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</si>
  <si>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</si>
  <si>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</si>
  <si>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</si>
  <si>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</si>
  <si>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</si>
  <si>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</si>
  <si>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</si>
  <si>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</si>
  <si>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</si>
  <si>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</si>
  <si>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</si>
  <si>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</si>
  <si>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</si>
  <si>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</si>
  <si>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</si>
  <si>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</si>
  <si>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</si>
  <si>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</si>
  <si>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</si>
  <si>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</si>
  <si>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</si>
  <si>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</si>
  <si>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</si>
  <si>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</si>
  <si>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</si>
  <si>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</si>
  <si>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</si>
  <si>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</si>
  <si>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</si>
  <si>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</si>
  <si>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</si>
  <si>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</si>
  <si>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</si>
  <si>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</si>
  <si>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</si>
  <si>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</si>
  <si>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</si>
  <si>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</si>
  <si>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</si>
  <si>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</si>
  <si>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</si>
  <si>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</si>
  <si>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</si>
  <si>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</si>
  <si>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</si>
  <si>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</si>
  <si>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</si>
  <si>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</si>
  <si>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</si>
  <si>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</si>
  <si>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</si>
  <si>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</si>
  <si>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</si>
  <si>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</si>
  <si>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</si>
  <si>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</si>
  <si>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</si>
  <si>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</si>
  <si>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</si>
  <si>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</si>
  <si>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</si>
  <si>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</si>
  <si>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</si>
  <si>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</si>
  <si>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</si>
  <si>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</si>
  <si>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</si>
  <si>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</si>
  <si>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</si>
  <si>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</si>
  <si>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</si>
  <si>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</si>
  <si>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</si>
  <si>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</si>
  <si>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</si>
  <si>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</si>
  <si>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</si>
  <si>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</si>
  <si>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</si>
  <si>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</si>
  <si>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</si>
  <si>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</si>
  <si>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</si>
  <si>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</si>
  <si>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</si>
  <si>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</si>
  <si>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</si>
  <si>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</si>
  <si>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</si>
  <si>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</si>
  <si>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</si>
  <si>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</si>
  <si>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</si>
  <si>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</si>
  <si>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</si>
  <si>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</si>
  <si>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</si>
  <si>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</si>
  <si>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</si>
  <si>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</si>
  <si>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</si>
  <si>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</si>
  <si>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</si>
  <si>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</si>
  <si>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</si>
  <si>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</si>
  <si>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</si>
  <si>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</si>
  <si>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</si>
  <si>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</si>
  <si>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</si>
  <si>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</si>
  <si>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</si>
  <si>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</si>
  <si>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</si>
  <si>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</si>
  <si>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</si>
  <si>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</si>
  <si>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</si>
  <si>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</si>
  <si>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</si>
  <si>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</si>
  <si>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</si>
  <si>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</si>
  <si>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</si>
  <si>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</si>
  <si>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</si>
  <si>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</si>
  <si>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</si>
  <si>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</si>
  <si>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</si>
  <si>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</si>
  <si>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</si>
  <si>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</si>
  <si>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</si>
  <si>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</si>
  <si>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</si>
  <si>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</si>
  <si>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</si>
  <si>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</si>
  <si>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</si>
  <si>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</si>
  <si>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</si>
  <si>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</si>
  <si>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</si>
  <si>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</si>
  <si>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</si>
  <si>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</si>
  <si>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</si>
  <si>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</si>
  <si>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</si>
  <si>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</si>
  <si>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</si>
  <si>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</si>
  <si>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</si>
  <si>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</si>
  <si>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</si>
  <si>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</si>
  <si>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</si>
  <si>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</si>
  <si>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</si>
  <si>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</si>
  <si>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</si>
  <si>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</si>
  <si>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</si>
  <si>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</si>
  <si>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</si>
  <si>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</si>
  <si>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</si>
  <si>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</si>
  <si>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</si>
  <si>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</si>
  <si>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</si>
  <si>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</si>
  <si>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</si>
  <si>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</si>
  <si>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</si>
  <si>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</si>
  <si>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</si>
  <si>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</si>
  <si>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</si>
  <si>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</si>
  <si>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</si>
  <si>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</si>
  <si>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</si>
  <si>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</si>
  <si>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</si>
  <si>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</si>
  <si>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</si>
  <si>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</si>
  <si>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</si>
  <si>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</si>
  <si>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</si>
  <si>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</si>
  <si>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</si>
  <si>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</si>
  <si>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</si>
  <si>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</si>
  <si>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</si>
  <si>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</si>
  <si>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</si>
  <si>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</si>
  <si>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</si>
  <si>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</si>
  <si>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</si>
  <si>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</si>
  <si>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</si>
  <si>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</si>
  <si>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</si>
  <si>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</si>
  <si>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</si>
  <si>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</si>
  <si>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</si>
  <si>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</si>
  <si>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</si>
  <si>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</si>
  <si>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</si>
  <si>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</si>
  <si>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</si>
  <si>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</si>
  <si>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</si>
  <si>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</si>
  <si>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</si>
  <si>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</si>
  <si>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</si>
  <si>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</si>
  <si>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</si>
  <si>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</si>
  <si>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</si>
  <si>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</si>
  <si>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</si>
  <si>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</si>
  <si>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</si>
  <si>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</si>
  <si>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</si>
  <si>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</si>
  <si>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</si>
  <si>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</si>
  <si>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</si>
  <si>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</si>
  <si>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</si>
  <si>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</si>
  <si>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</si>
  <si>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</si>
  <si>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</si>
  <si>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</si>
  <si>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</si>
  <si>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</si>
  <si>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</si>
  <si>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</si>
  <si>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</si>
  <si>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</si>
  <si>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</si>
  <si>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</si>
  <si>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</si>
  <si>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</si>
  <si>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</si>
  <si>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</si>
  <si>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</si>
  <si>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</si>
  <si>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</si>
  <si>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</si>
  <si>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</si>
  <si>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</si>
  <si>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</si>
  <si>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</si>
  <si>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</si>
  <si>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</si>
  <si>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</si>
  <si>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</si>
  <si>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</si>
  <si>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</si>
  <si>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</si>
  <si>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</si>
  <si>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</si>
  <si>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</si>
  <si>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</si>
  <si>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</si>
  <si>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</si>
  <si>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</si>
  <si>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</si>
  <si>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</si>
  <si>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</si>
  <si>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</si>
  <si>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</si>
  <si>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</si>
  <si>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</si>
  <si>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</si>
  <si>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</si>
  <si>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</si>
  <si>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</si>
  <si>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</si>
  <si>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</si>
  <si>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</si>
  <si>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</si>
  <si>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</si>
  <si>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</si>
  <si>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</si>
  <si>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</si>
  <si>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</si>
  <si>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</si>
  <si>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</si>
  <si>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</si>
  <si>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</si>
  <si>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</si>
  <si>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</si>
  <si>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</si>
  <si>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</si>
  <si>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</si>
  <si>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</si>
  <si>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</si>
  <si>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</si>
  <si>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</si>
  <si>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</si>
  <si>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</si>
  <si>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</si>
  <si>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</si>
  <si>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</si>
  <si>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</si>
  <si>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</si>
  <si>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</si>
  <si>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</si>
  <si>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</si>
  <si>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- 510 Norristown</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</si>
  <si>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</si>
  <si>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</si>
  <si>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</si>
  <si>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</si>
  <si>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</si>
  <si>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</si>
  <si>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</si>
  <si>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</si>
  <si>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</si>
  <si>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</si>
  <si>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</si>
  <si>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</si>
  <si>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</si>
  <si>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</si>
  <si>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</si>
  <si>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Norristown</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</si>
  <si>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</si>
  <si>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</si>
  <si>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</si>
  <si>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</si>
  <si>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</si>
  <si>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</si>
  <si>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</si>
  <si>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</si>
  <si>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</si>
  <si>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</si>
  <si>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</si>
  <si>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</si>
  <si>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</si>
  <si>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</si>
  <si>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</si>
  <si>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</si>
  <si>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</si>
  <si>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</si>
  <si>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</si>
  <si>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</si>
  <si>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</si>
  <si>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</si>
  <si>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</si>
  <si>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</si>
  <si>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</si>
  <si>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</si>
  <si>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</si>
  <si>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</si>
  <si>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</si>
  <si>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</si>
  <si>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</si>
  <si>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</si>
  <si>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</si>
  <si>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</si>
  <si>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</si>
  <si>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</si>
  <si>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</si>
  <si>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</si>
  <si>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</si>
  <si>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</si>
  <si>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</si>
  <si>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</si>
  <si>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</si>
  <si>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1460046</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</si>
  <si>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</si>
  <si>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</si>
  <si>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</si>
  <si>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</si>
  <si>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</si>
  <si>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</si>
  <si>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</si>
  <si>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</si>
  <si>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</si>
  <si>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</si>
  <si>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</si>
  <si>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</si>
  <si>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</si>
  <si>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</si>
  <si>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</si>
  <si>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</si>
  <si>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</si>
  <si>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</si>
  <si>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</si>
  <si>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</si>
  <si>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</si>
  <si>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</si>
  <si>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</si>
  <si>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</si>
  <si>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</si>
  <si>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</si>
  <si>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</si>
  <si>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</si>
  <si>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</si>
  <si>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</si>
  <si>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</si>
  <si>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</si>
  <si>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</si>
  <si>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</si>
  <si>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</si>
  <si>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</si>
  <si>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</si>
  <si>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</si>
  <si>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</si>
  <si>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</si>
  <si>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</si>
  <si>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</si>
  <si>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</si>
  <si>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</si>
  <si>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</si>
  <si>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</si>
  <si>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</si>
  <si>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</si>
  <si>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</si>
  <si>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</si>
  <si>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</si>
  <si>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</si>
  <si>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</si>
  <si>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</si>
  <si>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</si>
  <si>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</si>
  <si>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</si>
  <si>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</si>
  <si>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</si>
  <si>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</si>
  <si>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</si>
  <si>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</si>
  <si>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</si>
  <si>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</si>
  <si>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</si>
  <si>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</si>
  <si>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</si>
  <si>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</si>
  <si>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</si>
  <si>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</si>
  <si>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</si>
  <si>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</si>
  <si>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</si>
  <si>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</si>
  <si>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</si>
  <si>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</si>
  <si>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</si>
  <si>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</si>
  <si>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</si>
  <si>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</si>
  <si>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</si>
  <si>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</si>
  <si>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</si>
  <si>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</si>
  <si>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</si>
  <si>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</si>
  <si>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</si>
  <si>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</si>
  <si>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</si>
  <si>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</si>
  <si>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</si>
  <si>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</si>
  <si>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</si>
  <si>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</si>
  <si>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</si>
  <si>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</si>
  <si>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</si>
  <si>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</si>
  <si>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</si>
  <si>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</si>
  <si>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</si>
  <si>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</si>
  <si>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</si>
  <si>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</si>
  <si>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</si>
  <si>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</si>
  <si>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</si>
  <si>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</si>
  <si>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</si>
  <si>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</si>
  <si>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</si>
  <si>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</si>
  <si>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</si>
  <si>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</si>
  <si>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</si>
  <si>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</si>
  <si>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</si>
  <si>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</si>
  <si>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</si>
  <si>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</si>
  <si>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</si>
  <si>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</si>
  <si>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</si>
  <si>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</si>
  <si>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</si>
  <si>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</si>
  <si>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</si>
  <si>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</si>
  <si>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</si>
  <si>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</si>
  <si>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</si>
  <si>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</si>
  <si>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</si>
  <si>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</si>
  <si>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</si>
  <si>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</si>
  <si>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</si>
  <si>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</si>
  <si>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</si>
  <si>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</si>
  <si>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</si>
  <si>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</si>
  <si>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</si>
  <si>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</si>
  <si>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</si>
  <si>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</si>
  <si>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</si>
  <si>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</si>
  <si>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over-registration</t>
  </si>
  <si>
    <t>Water Imported:</t>
  </si>
  <si>
    <t>Water Exported:</t>
  </si>
  <si>
    <t>under-registration</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</si>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</sst>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79.944281516764434</c:v>
                </c:pt>
                <c:pt idx="1">
                  <c:v>2.0024160337996988</c:v>
                </c:pt>
                <c:pt idx="2">
                  <c:v>168.35530667439821</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5.1301707590007766</c:v>
                </c:pt>
                <c:pt idx="1">
                  <c:v>0.26113598867139654</c:v>
                </c:pt>
                <c:pt idx="2">
                  <c:v>27.250691836252393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55.581126742727243</c:v>
                </c:pt>
                <c:pt idx="1">
                  <c:v>0.92482240795754933</c:v>
                </c:pt>
                <c:pt idx="2">
                  <c:v>59.096851844008874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29.688060872277571</c:v>
                </c:pt>
                <c:pt idx="1">
                  <c:v>0.56875750335916142</c:v>
                </c:pt>
                <c:pt idx="2">
                  <c:v>40.837869544258446</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84</c:v>
                </c:pt>
                <c:pt idx="1">
                  <c:v>1.2666666666666666</c:v>
                </c:pt>
                <c:pt idx="2" formatCode="General">
                  <c:v>114.73333333333333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1,030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9.5619999999999994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95.275000000000006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5.822045000000001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47.722040816326626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5.822045000000001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865.7458971244107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$1,876,122/Yr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10395.710779999999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103582.02725000001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80751.764150000017</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659410.23205673601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80751.764150000017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941230.28189468815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27.965808526427509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3.8241860754725154</c:v>
                </c:pt>
                <c:pt idx="1">
                  <c:v>9.0856271993300333E-2</c:v>
                </c:pt>
                <c:pt idx="2">
                  <c:v>7.4419916516967266</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74.814110757763657</c:v>
                </c:pt>
                <c:pt idx="1">
                  <c:v>1.8469276802355887</c:v>
                </c:pt>
                <c:pt idx="2">
                  <c:v>154.20492159144933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hyperlink" Target="#'Interactive Data Grading'!WEEA"/><Relationship Id="rId18" Type="http://schemas.openxmlformats.org/officeDocument/2006/relationships/image" Target="../media/image9.emf"/><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hyperlink" Target="#'Interactive Data Grading'!BMAC"/><Relationship Id="rId12" Type="http://schemas.openxmlformats.org/officeDocument/2006/relationships/image" Target="../media/image8.emf"/><Relationship Id="rId17" Type="http://schemas.openxmlformats.org/officeDocument/2006/relationships/hyperlink" Target="#'Interactive Data Grading'!VOSEA"/><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image" Target="../media/image7.emf"/><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1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1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1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1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16"/>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617"/>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618"/>
                  </a:ext>
                </a:extLst>
              </xdr:cNvPicPr>
            </xdr:nvPicPr>
            <xdr:blipFill rotWithShape="1">
              <a:blip xmlns:r="http://schemas.openxmlformats.org/officeDocument/2006/relationships" r:embed="rId12"/>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619"/>
                  </a:ext>
                </a:extLst>
              </xdr:cNvPicPr>
            </xdr:nvPicPr>
            <xdr:blipFill rotWithShape="1">
              <a:blip xmlns:r="http://schemas.openxmlformats.org/officeDocument/2006/relationships" r:embed="rId12"/>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620"/>
                  </a:ext>
                </a:extLst>
              </xdr:cNvPicPr>
            </xdr:nvPicPr>
            <xdr:blipFill rotWithShape="1">
              <a:blip xmlns:r="http://schemas.openxmlformats.org/officeDocument/2006/relationships" r:embed="rId12"/>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621"/>
                  </a:ext>
                </a:extLst>
              </xdr:cNvPicPr>
            </xdr:nvPicPr>
            <xdr:blipFill rotWithShape="1">
              <a:blip xmlns:r="http://schemas.openxmlformats.org/officeDocument/2006/relationships" r:embed="rId12"/>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622"/>
                  </a:ext>
                </a:extLst>
              </xdr:cNvPicPr>
            </xdr:nvPicPr>
            <xdr:blipFill rotWithShape="1">
              <a:blip xmlns:r="http://schemas.openxmlformats.org/officeDocument/2006/relationships" r:embed="rId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623"/>
                  </a:ext>
                </a:extLst>
              </xdr:cNvPicPr>
            </xdr:nvPicPr>
            <xdr:blipFill rotWithShape="1">
              <a:blip xmlns:r="http://schemas.openxmlformats.org/officeDocument/2006/relationships" r:embed="rId1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624"/>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625"/>
                  </a:ext>
                </a:extLst>
              </xdr:cNvPicPr>
            </xdr:nvPicPr>
            <xdr:blipFill rotWithShape="1">
              <a:blip xmlns:r="http://schemas.openxmlformats.org/officeDocument/2006/relationships" r:embed="rId8"/>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626"/>
                  </a:ext>
                </a:extLst>
              </xdr:cNvPicPr>
            </xdr:nvPicPr>
            <xdr:blipFill rotWithShape="1">
              <a:blip xmlns:r="http://schemas.openxmlformats.org/officeDocument/2006/relationships" r:embed="rId8"/>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627"/>
                  </a:ext>
                </a:extLst>
              </xdr:cNvPicPr>
            </xdr:nvPicPr>
            <xdr:blipFill rotWithShape="1">
              <a:blip xmlns:r="http://schemas.openxmlformats.org/officeDocument/2006/relationships" r:embed="rId8"/>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628"/>
                  </a:ext>
                </a:extLst>
              </xdr:cNvPicPr>
            </xdr:nvPicPr>
            <xdr:blipFill rotWithShape="1">
              <a:blip xmlns:r="http://schemas.openxmlformats.org/officeDocument/2006/relationships" r:embed="rId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629"/>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630"/>
                  </a:ext>
                </a:extLst>
              </xdr:cNvPicPr>
            </xdr:nvPicPr>
            <xdr:blipFill rotWithShape="1">
              <a:blip xmlns:r="http://schemas.openxmlformats.org/officeDocument/2006/relationships" r:embed="rId8"/>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2" sqref="AB22:AL22"/>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45352</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117305</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O73" sqref="O73"/>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- 510 Norristown</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9</v>
      </c>
      <c r="G15" s="79"/>
      <c r="H15" s="424">
        <v>3377.5309999999999</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5.7000000000000002E-3</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19.251926700000002</v>
      </c>
      <c r="Y15" s="84">
        <f>$Y$19/$Y$18*H15</f>
        <v>34.797705374393189</v>
      </c>
      <c r="Z15" s="114">
        <f>$Y$19/$Y$18*ABS(X15)</f>
        <v>0.19834692063404119</v>
      </c>
      <c r="AA15" s="754">
        <f>IF(W15=1,input_VOS-input_VOS/(1+O15*AB15),Q15*AB15)</f>
        <v>19.142812667793805</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3358.3881873322061</v>
      </c>
    </row>
    <row r="16" spans="1:33">
      <c r="A16" s="827"/>
      <c r="B16" s="448" t="s">
        <v>524</v>
      </c>
      <c r="C16" s="805" t="s">
        <v>726</v>
      </c>
      <c r="D16" s="700" t="s">
        <v>723</v>
      </c>
      <c r="E16" s="463" t="s">
        <v>724</v>
      </c>
      <c r="F16" s="390">
        <f>'Interactive Data Grading'!D74</f>
        <v>9</v>
      </c>
      <c r="G16" s="79"/>
      <c r="H16" s="423">
        <v>0.38100000000000001</v>
      </c>
      <c r="I16" s="468"/>
      <c r="J16" s="807" t="str">
        <f>IF('Start Page'!$AB$22="million gallons (US)","MG/Yr",IF('Start Page'!$AB$22="Megalitres (thousand cubic metres)","ML/Yr",IF('Start Page'!$AB$22="acre-feet","Acre-ft/Yr","")))</f>
        <v>MG/Yr</v>
      </c>
      <c r="K16" s="703" t="s">
        <v>723</v>
      </c>
      <c r="L16" s="491" t="s">
        <v>724</v>
      </c>
      <c r="M16" s="390">
        <f>'Interactive Data Grading'!D96</f>
        <v>9</v>
      </c>
      <c r="N16" s="807"/>
      <c r="O16" s="386">
        <v>5.7000000000000002E-3</v>
      </c>
      <c r="P16" s="466" t="s">
        <v>602</v>
      </c>
      <c r="Q16" s="992"/>
      <c r="R16" s="997"/>
      <c r="S16" s="389" t="str">
        <f>IF('Start Page'!$AB$22="million gallons (US)","MG/Yr",IF('Start Page'!$AB$22="Megalitres (thousand cubic metres)","ML/Yr",IF('Start Page'!$AB$22="acre-feet","acre-ft/yr","")))</f>
        <v>MG/Yr</v>
      </c>
      <c r="T16" s="803" t="s">
        <v>725</v>
      </c>
      <c r="U16" s="445" t="s">
        <v>529</v>
      </c>
      <c r="V16" s="827"/>
      <c r="W16" s="383">
        <f t="shared" ref="W16:W17" si="0">IF(P16="percent",1,2)</f>
        <v>1</v>
      </c>
      <c r="X16" s="836">
        <f>IF(H16&gt;0,IF(W16=1,O16*H16,Q16),0)</f>
        <v>2.1716999999999999E-3</v>
      </c>
      <c r="Y16" s="84">
        <f>$Y$19/$Y$18*H16</f>
        <v>3.9253305884220761E-3</v>
      </c>
      <c r="Z16" s="114">
        <f>$Y$19/$Y$18*ABS(X16)</f>
        <v>2.2374384354005836E-5</v>
      </c>
      <c r="AA16" s="754">
        <f>IF(W16=1,input_WI-input_WI/(1+O16*AB16),Q16*AB16)</f>
        <v>2.1593914686288129E-3</v>
      </c>
      <c r="AB16" s="837">
        <f t="shared" ref="AB16:AB17" si="1">IF(OR(T16="",T16="Select….."),0,IF(T16="Under-registration",-1,1))</f>
        <v>1</v>
      </c>
      <c r="AC16" s="206" t="str">
        <f t="shared" ref="AC16:AC17" si="2">IF(OR(H16&lt;=0,AND(H16&gt;0,OR(AND(W16=1,O16=0),AND(W16=2,Q16=0)))),"no","yes")</f>
        <v>yes</v>
      </c>
      <c r="AD16" s="206" t="str">
        <f>IF(OR(T16="select…..",T16=""),"no","yes")</f>
        <v>yes</v>
      </c>
      <c r="AE16" s="206" t="str">
        <f t="shared" ref="AE16:AE17" si="3">IF(AND(AC16="yes",AD16="no"),"yes","no")</f>
        <v>no</v>
      </c>
      <c r="AF16" s="205">
        <f t="shared" ref="AF16:AF17" si="4">IF(AE16="yes",1,0)</f>
        <v>0</v>
      </c>
      <c r="AG16" s="754">
        <f>input_WI-AA16</f>
        <v>0.37884060853137119</v>
      </c>
    </row>
    <row r="17" spans="1:33" ht="13.35" customHeight="1">
      <c r="A17" s="827"/>
      <c r="B17" s="448" t="s">
        <v>533</v>
      </c>
      <c r="C17" s="805" t="s">
        <v>727</v>
      </c>
      <c r="D17" s="700" t="s">
        <v>723</v>
      </c>
      <c r="E17" s="463" t="s">
        <v>724</v>
      </c>
      <c r="F17" s="390">
        <f>'Interactive Data Grading'!D127</f>
        <v>9</v>
      </c>
      <c r="G17" s="79"/>
      <c r="H17" s="254"/>
      <c r="I17" s="468"/>
      <c r="J17" s="807" t="str">
        <f>IF('Start Page'!$AB$22="million gallons (US)","MG/Yr",IF('Start Page'!$AB$22="Megalitres (thousand cubic metres)","ML/Yr",IF('Start Page'!$AB$22="acre-feet","Acre-ft/Yr","")))</f>
        <v>MG/Yr</v>
      </c>
      <c r="K17" s="703" t="s">
        <v>723</v>
      </c>
      <c r="L17" s="491" t="s">
        <v>724</v>
      </c>
      <c r="M17" s="390">
        <f>'Interactive Data Grading'!D150</f>
        <v>9</v>
      </c>
      <c r="N17" s="807"/>
      <c r="O17" s="386">
        <v>2.9999999999999997E-4</v>
      </c>
      <c r="P17" s="466" t="s">
        <v>602</v>
      </c>
      <c r="Q17" s="992"/>
      <c r="R17" s="997"/>
      <c r="S17" s="389" t="str">
        <f>IF('Start Page'!$AB$22="million gallons (US)","MG/Yr",IF('Start Page'!$AB$22="Megalitres (thousand cubic metres)","ML/Yr",IF('Start Page'!$AB$22="acre-feet","acre-ft/yr","")))</f>
        <v>MG/Yr</v>
      </c>
      <c r="T17" s="803" t="s">
        <v>728</v>
      </c>
      <c r="U17" s="445" t="s">
        <v>536</v>
      </c>
      <c r="V17" s="827"/>
      <c r="W17" s="383">
        <f t="shared" si="0"/>
        <v>1</v>
      </c>
      <c r="X17" s="836">
        <f>IF(H17&gt;0,IF(W17=1,O17*H17,Q17),0)</f>
        <v>0</v>
      </c>
      <c r="Y17" s="84">
        <f>$Y$19/$Y$18*H17</f>
        <v>0</v>
      </c>
      <c r="Z17" s="114">
        <f>$Y$19/$Y$18*ABS(X17)</f>
        <v>0</v>
      </c>
      <c r="AA17" s="754">
        <f>IF(W17=1,input_WE-input_WE/(1+O17*AB17),Q17*AB17)</f>
        <v>0</v>
      </c>
      <c r="AB17" s="837">
        <f t="shared" si="1"/>
        <v>-1</v>
      </c>
      <c r="AC17" s="206" t="str">
        <f t="shared" si="2"/>
        <v>no</v>
      </c>
      <c r="AD17" s="206" t="str">
        <f>IF(OR(T17="select…..",T17=""),"no","yes")</f>
        <v>yes</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3397.1660983999996</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3358.7670279407375</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2328.8180000000002</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13.942751819635816</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5.7248180364183741E-2</v>
      </c>
      <c r="Z24" s="835"/>
      <c r="AA24" s="118"/>
      <c r="AB24" s="206"/>
      <c r="AC24" s="206"/>
      <c r="AD24" s="206"/>
      <c r="AE24" s="206"/>
      <c r="AF24" s="118"/>
      <c r="AG24" s="118"/>
    </row>
    <row r="25" spans="1:33" ht="13.35" customHeight="1">
      <c r="A25" s="827"/>
      <c r="B25" s="448" t="s">
        <v>546</v>
      </c>
      <c r="C25" s="805" t="s">
        <v>738</v>
      </c>
      <c r="D25" s="700" t="s">
        <v>723</v>
      </c>
      <c r="E25" s="463" t="s">
        <v>724</v>
      </c>
      <c r="F25" s="390">
        <f>'Interactive Data Grading'!D224</f>
        <v>10</v>
      </c>
      <c r="G25" s="79"/>
      <c r="H25" s="395">
        <v>9.5619999999999994</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2338.38</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95.275000000000006</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95.275000000000006</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2433.6550000000002</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925.11202794073733</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3</v>
      </c>
      <c r="G39" s="152"/>
      <c r="H39" s="847">
        <f>IF(OR(W39=1,AND(W39=2,Q39=0)),O39*SUM(H23:H24),Q39)</f>
        <v>5.822045000000001</v>
      </c>
      <c r="I39" s="728"/>
      <c r="J39" s="807" t="str">
        <f>IF('Start Page'!$AB$22="million gallons (US)","MG/Yr",IF('Start Page'!$AB$22="Megalitres (thousand cubic metres)","ML/Yr",IF('Start Page'!$AB$22="acre-feet","Acre-ft/Yr","")))</f>
        <v>MG/Yr</v>
      </c>
      <c r="K39" s="807"/>
      <c r="L39" s="807"/>
      <c r="M39" s="807"/>
      <c r="N39" s="807"/>
      <c r="O39" s="391">
        <v>2.5000000000000001E-3</v>
      </c>
      <c r="P39" s="467" t="s">
        <v>611</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4</v>
      </c>
      <c r="G41" s="152"/>
      <c r="H41" s="848">
        <f>IF(OR(T41="Select…..",T41=""),"Select under/over",IF(W41=1,((H23+H25)/(1-(O41*X41)))-(H23+H25),Q41*X41))</f>
        <v>47.722040816326626</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728</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747</v>
      </c>
      <c r="D43" s="700" t="s">
        <v>723</v>
      </c>
      <c r="E43" s="463" t="s">
        <v>724</v>
      </c>
      <c r="F43" s="390">
        <f>'Interactive Data Grading'!D322</f>
        <v>3</v>
      </c>
      <c r="G43" s="152"/>
      <c r="H43" s="727">
        <f>IF(OR(W43=1,AND(W43=2,Q43=0)),O43*SUM(H23:H24),Q43)</f>
        <v>5.822045000000001</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748</v>
      </c>
      <c r="D46" s="1009"/>
      <c r="E46" s="1009"/>
      <c r="F46" s="1009"/>
      <c r="G46" s="164"/>
      <c r="H46" s="727">
        <f t="array" ref="H46">SUM(IF(ISNUMBER(H39:H43),H39:H43))</f>
        <v>59.366130816326631</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750</v>
      </c>
      <c r="Y48" s="106" t="s">
        <v>751</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47.526897959183771</v>
      </c>
      <c r="Y50" s="854">
        <f>IFERROR(IF(W41=1,((H25)/(1-(O41*X41)))-(H25),Q41*H25/(H23+H25)),0)</f>
        <v>0.19514285714285684</v>
      </c>
      <c r="Z50" s="855">
        <f>SUM(X50:Y50)</f>
        <v>47.722040816326626</v>
      </c>
      <c r="AA50" s="1029"/>
      <c r="AB50" s="1029"/>
      <c r="AC50" s="1029"/>
    </row>
    <row r="51" spans="1:29">
      <c r="A51" s="827"/>
      <c r="B51" s="448"/>
      <c r="C51" s="1009" t="s">
        <v>753</v>
      </c>
      <c r="D51" s="1009"/>
      <c r="E51" s="1009"/>
      <c r="F51" s="1009"/>
      <c r="G51" s="728"/>
      <c r="H51" s="727">
        <f>IFERROR(H35-H46,"")</f>
        <v>865.7458971244107</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659198.07469387888</v>
      </c>
      <c r="Y51" s="856">
        <f>Y50*input_VPC</f>
        <v>212.15736285714254</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754</v>
      </c>
      <c r="D53" s="1010"/>
      <c r="E53" s="1010"/>
      <c r="F53" s="1010"/>
      <c r="G53" s="468"/>
      <c r="H53" s="727">
        <f>IFERROR(H46+H51,"")</f>
        <v>925.11202794073733</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756</v>
      </c>
      <c r="D57" s="1010"/>
      <c r="E57" s="1010"/>
      <c r="F57" s="1010"/>
      <c r="G57" s="728"/>
      <c r="H57" s="727">
        <f>IFERROR(H35+H25+H26,"")</f>
        <v>1029.9490279407373</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758</v>
      </c>
      <c r="D61" s="700" t="s">
        <v>723</v>
      </c>
      <c r="E61" s="463" t="s">
        <v>724</v>
      </c>
      <c r="F61" s="390">
        <f>'Interactive Data Grading'!D350</f>
        <v>10</v>
      </c>
      <c r="G61" s="47"/>
      <c r="H61" s="256">
        <v>387.2</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5" t="s">
        <v>760</v>
      </c>
      <c r="D62" s="700" t="s">
        <v>723</v>
      </c>
      <c r="E62" s="463" t="s">
        <v>724</v>
      </c>
      <c r="F62" s="390">
        <f>'Interactive Data Grading'!D374</f>
        <v>10</v>
      </c>
      <c r="G62" s="47"/>
      <c r="H62" s="396">
        <v>31704</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5" t="s">
        <v>762</v>
      </c>
      <c r="D63" s="47"/>
      <c r="E63" s="405"/>
      <c r="F63" s="210"/>
      <c r="G63" s="47"/>
      <c r="H63" s="858">
        <f>IF(ISERROR(H62/H61),"",H62/H61)</f>
        <v>81.880165289256198</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763</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5" t="s">
        <v>765</v>
      </c>
      <c r="D66" s="700" t="s">
        <v>723</v>
      </c>
      <c r="E66" s="463" t="s">
        <v>724</v>
      </c>
      <c r="F66" s="390">
        <f>'Interactive Data Grading'!D398</f>
        <v>10</v>
      </c>
      <c r="G66" s="47"/>
      <c r="H66" s="256">
        <v>19.399999999999999</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19.399999999999999</v>
      </c>
      <c r="X67" s="171" t="s">
        <v>768</v>
      </c>
      <c r="Y67" s="171"/>
      <c r="Z67" s="171"/>
    </row>
    <row r="68" spans="1:26">
      <c r="A68" s="827"/>
      <c r="B68" s="448" t="s">
        <v>577</v>
      </c>
      <c r="C68" s="805" t="s">
        <v>769</v>
      </c>
      <c r="D68" s="700" t="s">
        <v>723</v>
      </c>
      <c r="E68" s="463" t="s">
        <v>724</v>
      </c>
      <c r="F68" s="390">
        <f>'Interactive Data Grading'!D422</f>
        <v>8</v>
      </c>
      <c r="G68" s="47"/>
      <c r="H68" s="256">
        <v>80.3</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773</v>
      </c>
      <c r="D76" s="700" t="s">
        <v>723</v>
      </c>
      <c r="E76" s="425" t="s">
        <v>724</v>
      </c>
      <c r="F76" s="390">
        <f>'Interactive Data Grading'!D446</f>
        <v>10</v>
      </c>
      <c r="G76" s="118"/>
      <c r="H76" s="864">
        <v>13.87</v>
      </c>
      <c r="I76" s="118"/>
      <c r="J76" s="1017" t="s">
        <v>774</v>
      </c>
      <c r="K76" s="1018"/>
      <c r="L76" s="1018"/>
      <c r="M76" s="1019"/>
      <c r="N76" s="118"/>
      <c r="O76" s="1020" t="str">
        <f>IF(AND(NOT(ISBLANK(H76)),ISBLANK(J76)),"&lt;----Enter units","")</f>
        <v/>
      </c>
      <c r="P76" s="1020"/>
      <c r="Q76" s="1024" t="s">
        <v>775</v>
      </c>
      <c r="R76" s="1024"/>
      <c r="S76" s="1024"/>
      <c r="T76" s="118"/>
      <c r="U76" s="199"/>
      <c r="V76" s="827"/>
      <c r="W76" s="118"/>
      <c r="X76" s="118"/>
      <c r="Y76" s="118"/>
      <c r="Z76" s="118"/>
    </row>
    <row r="77" spans="1:26" ht="13.5" customHeight="1">
      <c r="A77" s="827"/>
      <c r="B77" s="448" t="s">
        <v>583</v>
      </c>
      <c r="C77" s="805" t="s">
        <v>776</v>
      </c>
      <c r="D77" s="700" t="s">
        <v>723</v>
      </c>
      <c r="E77" s="463" t="s">
        <v>724</v>
      </c>
      <c r="F77" s="390">
        <f>'Interactive Data Grading'!D469</f>
        <v>10</v>
      </c>
      <c r="G77" s="118"/>
      <c r="H77" s="864">
        <v>1087.19</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11937657</v>
      </c>
      <c r="R77" s="1022"/>
      <c r="S77" s="1023"/>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IV (71-90). See Dashboard tab for additional outputs. ***</v>
      </c>
      <c r="D84" s="1015"/>
      <c r="E84" s="1015"/>
      <c r="F84" s="1015"/>
      <c r="G84" s="1015"/>
      <c r="H84" s="1015"/>
      <c r="I84" s="1015"/>
      <c r="J84" s="1015"/>
      <c r="K84" s="1015"/>
      <c r="L84" s="1015"/>
      <c r="M84" s="1015"/>
      <c r="N84" s="1015"/>
      <c r="O84" s="1015"/>
      <c r="P84" s="1015"/>
      <c r="Q84" s="1015"/>
      <c r="R84" s="1016"/>
      <c r="S84" s="704" t="s">
        <v>779</v>
      </c>
      <c r="T84" s="239"/>
      <c r="U84" s="240"/>
      <c r="V84" s="81"/>
      <c r="W84" s="55">
        <f>'M36 Refs'!AN118</f>
        <v>0</v>
      </c>
      <c r="X84" s="49" t="str">
        <f>Dashboard!BR4</f>
        <v>Tier IV (71-90)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Customer Metering Inaccuracies (CMI)</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Volume from Own Sources (VOS)</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Unauthorized Consumption (UC)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64" activePane="bottomLeft" state="frozen"/>
      <selection activeCell="B15" sqref="B15:F17"/>
      <selection pane="bottomLeft" activeCell="D73" sqref="D73"/>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- 510 Norristown</v>
      </c>
      <c r="C1" s="495"/>
      <c r="D1" s="496"/>
      <c r="E1" s="750" t="s">
        <v>789</v>
      </c>
    </row>
    <row r="2" spans="1:20" ht="30.6" customHeight="1">
      <c r="A2" s="367"/>
      <c r="B2" s="749">
        <f>IF(ISBLANK('Start Page'!AB18),"",'Start Page'!AB18)</f>
        <v>2023</v>
      </c>
      <c r="C2" s="367"/>
      <c r="D2" s="367"/>
      <c r="E2" s="1034" t="s">
        <v>790</v>
      </c>
    </row>
    <row r="3" spans="1:20" ht="38.25" customHeight="1">
      <c r="A3" s="367"/>
      <c r="B3" s="706"/>
      <c r="C3" s="367"/>
      <c r="D3" s="367"/>
      <c r="E3" s="1035"/>
    </row>
    <row r="4" spans="1:20" ht="1.35" customHeight="1"/>
    <row r="5" spans="1:20" s="368" customFormat="1" ht="16.350000000000001" customHeight="1">
      <c r="A5" s="1045" t="s">
        <v>791</v>
      </c>
      <c r="B5" s="1046"/>
      <c r="C5" s="1036" t="s">
        <v>792</v>
      </c>
      <c r="D5" s="1036"/>
      <c r="E5" s="750" t="s">
        <v>793</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0" t="s">
        <v>804</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9</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9</v>
      </c>
      <c r="E20" s="628"/>
      <c r="F20" s="258"/>
      <c r="G20" s="670">
        <f>MIN(G9:G19)</f>
        <v>1</v>
      </c>
      <c r="H20" s="680">
        <f>MIN(H9:H19)</f>
        <v>7</v>
      </c>
      <c r="I20" s="680">
        <f t="array" ref="I20">MIN(IF(ISNUMBER(I9:I19),I9:I19))</f>
        <v>9</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791</v>
      </c>
      <c r="B36" s="1046"/>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90</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791</v>
      </c>
      <c r="B59" s="1046"/>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62</v>
      </c>
      <c r="E62" s="628"/>
      <c r="F62" s="258"/>
      <c r="I62" s="676"/>
      <c r="J62" s="669" t="s">
        <v>803</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42" t="s">
        <v>815</v>
      </c>
      <c r="D64" s="1043"/>
      <c r="E64" s="628"/>
      <c r="F64" s="258"/>
      <c r="H64" s="677"/>
      <c r="I64" s="678"/>
    </row>
    <row r="65" spans="1:18" ht="18" customHeight="1">
      <c r="A65" s="163"/>
      <c r="B65" s="441" t="s">
        <v>98</v>
      </c>
      <c r="C65" s="743" t="str">
        <f>WI!B36</f>
        <v>What is the frequency of electronic calibration?</v>
      </c>
      <c r="D65" s="264" t="s">
        <v>65</v>
      </c>
      <c r="E65" s="628" t="str">
        <f>IFERROR(IF(OR($D$74=10,NOT(ISNUMBER($D$74))),"",IF(I65=$I$74,"Limiting","")),"")</f>
        <v/>
      </c>
      <c r="F65" s="258"/>
      <c r="G65" s="669">
        <f>IFERROR(IF(H63&lt;7,1,IF(LEN(D65)&gt;0,1,0)),"")</f>
        <v>1</v>
      </c>
      <c r="H65" s="677">
        <f>VLOOKUP('Interactive Data Grading'!D65,WI!$D$6:$M$16,10,FALSE)</f>
        <v>10</v>
      </c>
      <c r="I65" s="678">
        <f>IF(AND(H65&gt;=7,H68&gt;=7),MAX(H65,9),IF(AND(H65&gt;3,H65&lt;7,H68&gt;3,H68&lt;7),MAX(H65,H68),IF(H68&gt;=7,MAX(7,H65),H65)))</f>
        <v>10</v>
      </c>
    </row>
    <row r="66" spans="1:18" ht="26.45" customHeight="1">
      <c r="A66" s="163"/>
      <c r="B66" s="441" t="s">
        <v>99</v>
      </c>
      <c r="C66" s="743" t="str">
        <f>WI!B37</f>
        <v>What level of data transfer errors are checked as part of the electronic calibration process?</v>
      </c>
      <c r="D66" s="264" t="s">
        <v>61</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817</v>
      </c>
    </row>
    <row r="72" spans="1:18" ht="25.5" customHeight="1">
      <c r="A72" s="163"/>
      <c r="B72" s="441" t="s">
        <v>105</v>
      </c>
      <c r="C72" s="743" t="str">
        <f>WI!B43</f>
        <v>Which best describes the frequency of meter readings (data collection frequency as opposed to billing frequency)?</v>
      </c>
      <c r="D72" s="264" t="s">
        <v>58</v>
      </c>
      <c r="E72" s="628" t="str">
        <f t="shared" si="5"/>
        <v>Limiting</v>
      </c>
      <c r="F72" s="258"/>
      <c r="G72" s="669">
        <f>IFERROR(IF(H63&lt;7,1,IF(LEN(D72)&gt;0,1,0)),"")</f>
        <v>1</v>
      </c>
      <c r="H72" s="677">
        <f>VLOOKUP('Interactive Data Grading'!D72,WI!$K$6:$M$16,3,FALSE)</f>
        <v>9</v>
      </c>
      <c r="I72" s="677">
        <f>H72</f>
        <v>9</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807</v>
      </c>
      <c r="D74" s="631">
        <f>IF(D62="","",IF(D62="No","n/a",IF(G74=0,"",IF(R8=0,H63,I74))))</f>
        <v>9</v>
      </c>
      <c r="E74" s="628"/>
      <c r="F74" s="258"/>
      <c r="G74" s="669">
        <f>MIN(G63:G73)</f>
        <v>1</v>
      </c>
      <c r="H74" s="680">
        <f>MIN(H63:H73)</f>
        <v>7</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791</v>
      </c>
      <c r="B89" s="1046"/>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137</v>
      </c>
      <c r="E93" s="628" t="str">
        <f t="shared" ref="E93:E95" si="7">IFERROR(IF(OR($D$96="",$H93=10,NOT(ISNUMBER($H93))),"",IF(H93=$H$96,"Limiting","")),"")</f>
        <v>Limiting</v>
      </c>
      <c r="F93" s="258"/>
      <c r="G93" s="683">
        <f>IF(OR(LEN(D93)&gt;0,D92=WIEA!$C$23),1,0)</f>
        <v>1</v>
      </c>
      <c r="H93" s="677">
        <f>VLOOKUP('Interactive Data Grading'!D93,WIEA!$D$6:$G$16,4,FALSE)</f>
        <v>9</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88</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807</v>
      </c>
      <c r="D96" s="753">
        <f>IF(D62="No","n/a",IF(G96=0,"",H96))</f>
        <v>9</v>
      </c>
      <c r="E96" s="628"/>
      <c r="F96" s="258"/>
      <c r="G96" s="683">
        <f>MIN(G92:G95)</f>
        <v>1</v>
      </c>
      <c r="H96" s="680">
        <f t="array" ref="H96">MIN(IF(ISNUMBER(H92:H95),H92:H95))</f>
        <v>9</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791</v>
      </c>
      <c r="B112" s="1046"/>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Inconsistency between Worksheet WE input and we.0 response</v>
      </c>
      <c r="D113" s="1044"/>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62</v>
      </c>
      <c r="E115" s="628"/>
      <c r="F115" s="258"/>
      <c r="H115" s="669" t="s">
        <v>824</v>
      </c>
      <c r="I115" s="676"/>
      <c r="J115" s="669" t="s">
        <v>803</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2" t="s">
        <v>825</v>
      </c>
      <c r="D117" s="1043"/>
      <c r="E117" s="628"/>
      <c r="F117" s="258"/>
      <c r="H117" s="677"/>
      <c r="I117" s="678"/>
    </row>
    <row r="118" spans="1:18" ht="18" customHeight="1">
      <c r="A118" s="163"/>
      <c r="B118" s="163" t="s">
        <v>144</v>
      </c>
      <c r="C118" s="743" t="str">
        <f>WE!B36</f>
        <v>What is the frequency of electronic calibration?</v>
      </c>
      <c r="D118" s="264" t="s">
        <v>52</v>
      </c>
      <c r="E118" s="628" t="str">
        <f>IFERROR(IF(OR($D$127=10,NOT(ISNUMBER($D$127))),"",IF(I118=$I$127,"Limiting","")),"")</f>
        <v>Limiting</v>
      </c>
      <c r="F118" s="258"/>
      <c r="G118" s="669">
        <f>IFERROR(IF(H116&lt;7,1,IF(LEN(D118)&gt;0,1,0)),"")</f>
        <v>1</v>
      </c>
      <c r="H118" s="677">
        <f>VLOOKUP('Interactive Data Grading'!D118,WE!$D$6:$M$16,10,FALSE)</f>
        <v>7</v>
      </c>
      <c r="I118" s="678">
        <f>IF(AND(H118&gt;=7,H121&gt;=7),MAX(H118,9),IF(AND(H118&gt;3,H118&lt;7,H121&gt;3,H121&lt;7),MAX(H118,H121),IF(H121&gt;=7,MAX(7,H118),H118)))</f>
        <v>9</v>
      </c>
    </row>
    <row r="119" spans="1:18" ht="25.9" customHeight="1">
      <c r="A119" s="163"/>
      <c r="B119" s="163" t="s">
        <v>145</v>
      </c>
      <c r="C119" s="743" t="str">
        <f>WE!B37</f>
        <v>What level of data transfer errors are checked as part of the electronic calibration process?</v>
      </c>
      <c r="D119" s="264" t="s">
        <v>61</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826</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52</v>
      </c>
      <c r="E121" s="628" t="str">
        <f t="shared" si="9"/>
        <v>Limiting</v>
      </c>
      <c r="F121" s="258"/>
      <c r="G121" s="669">
        <f>IFERROR(IF(H116&lt;7,1,IF(LEN(D121)&gt;0,1,0)),"")</f>
        <v>1</v>
      </c>
      <c r="H121" s="677">
        <f>VLOOKUP('Interactive Data Grading'!D121,WE!$G$6:$M$16,7,FALSE)</f>
        <v>7</v>
      </c>
      <c r="I121" s="678">
        <f>IF(AND(H118&gt;=7,H121&gt;=7),MAX(H121,9),IF(AND(H118&gt;3,H118&lt;7,H121&gt;3,H121&lt;7),MAX(H118,H121),IF(H118&gt;=7,MAX(7,H121),H121)))</f>
        <v>9</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828</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807</v>
      </c>
      <c r="D127" s="631">
        <f>IF(D115="","",IF(D115="No","n/a",IF(G127=0,"",IF(R9=0,H116,I127))))</f>
        <v>9</v>
      </c>
      <c r="E127" s="628"/>
      <c r="F127" s="258"/>
      <c r="G127" s="669">
        <f>MIN(G116:G126)</f>
        <v>1</v>
      </c>
      <c r="H127" s="680">
        <f>MIN(H116:H126)</f>
        <v>7</v>
      </c>
      <c r="I127" s="680">
        <f t="array" ref="I127">MIN(IF(ISNUMBER(I116:I126),I116:I126))</f>
        <v>9</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791</v>
      </c>
      <c r="B143" s="1046"/>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t="s">
        <v>138</v>
      </c>
      <c r="E146" s="628" t="str">
        <f>IFERROR(IF(OR($D$150="",$H146=10,NOT(ISNUMBER($H146))),"",IF(H146=$H$150,"Limiting","")),"")</f>
        <v/>
      </c>
      <c r="F146" s="258"/>
      <c r="G146" s="683">
        <f t="shared" ref="G146" si="10">IF(LEN(D146)&gt;0,1,0)</f>
        <v>1</v>
      </c>
      <c r="H146" s="677">
        <f>VLOOKUP('Interactive Data Grading'!D146,WEEA!$C$6:$G$16,5,FALSE)</f>
        <v>10</v>
      </c>
      <c r="I146" s="677"/>
    </row>
    <row r="147" spans="1:18" ht="27.6" customHeight="1">
      <c r="A147" s="163"/>
      <c r="B147" s="441" t="s">
        <v>159</v>
      </c>
      <c r="C147" s="743" t="str">
        <f>WEEA!B35</f>
        <v>Are meter accuracy testing or electronic calibration requirements stipulated in the water purchase agreement?</v>
      </c>
      <c r="D147" s="264" t="s">
        <v>137</v>
      </c>
      <c r="E147" s="628" t="str">
        <f t="shared" ref="E147:E149" si="11">IFERROR(IF(OR($D$150="",$H147=10,NOT(ISNUMBER($H147))),"",IF(H147=$H$150,"Limiting","")),"")</f>
        <v>Limiting</v>
      </c>
      <c r="F147" s="258"/>
      <c r="G147" s="683">
        <f>IF(OR(LEN(D147)&gt;0,D146=WEEA!$C$23),1,0)</f>
        <v>1</v>
      </c>
      <c r="H147" s="677">
        <f>VLOOKUP('Interactive Data Grading'!D147,WEEA!$D$6:$G$16,4,FALSE)</f>
        <v>9</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t="s">
        <v>90</v>
      </c>
      <c r="E148" s="628" t="str">
        <f t="shared" si="11"/>
        <v/>
      </c>
      <c r="F148" s="258"/>
      <c r="G148" s="683">
        <f t="shared" ref="G148:G149" si="12">IF(LEN(D148)&gt;0,1,0)</f>
        <v>1</v>
      </c>
      <c r="H148" s="677">
        <f>VLOOKUP('Interactive Data Grading'!D148,WEEA!$E$6:$G$16,3,FALSE)</f>
        <v>10</v>
      </c>
      <c r="I148" s="678"/>
    </row>
    <row r="149" spans="1:18" ht="27.6" customHeight="1">
      <c r="A149" s="163"/>
      <c r="B149" s="441" t="s">
        <v>161</v>
      </c>
      <c r="C149" s="743" t="str">
        <f>WEEA!B37</f>
        <v>Who has access to the import meter readings including current and archived data?</v>
      </c>
      <c r="D149" s="264" t="s">
        <v>140</v>
      </c>
      <c r="E149" s="628" t="str">
        <f t="shared" si="11"/>
        <v/>
      </c>
      <c r="F149" s="258"/>
      <c r="G149" s="683">
        <f t="shared" si="12"/>
        <v>1</v>
      </c>
      <c r="H149" s="677">
        <f>VLOOKUP('Interactive Data Grading'!D149,WEEA!$F$6:$G$16,2,FALSE)</f>
        <v>10</v>
      </c>
      <c r="I149" s="678"/>
    </row>
    <row r="150" spans="1:18" ht="27.6" customHeight="1">
      <c r="A150" s="163"/>
      <c r="B150" s="163"/>
      <c r="C150" s="259" t="s">
        <v>807</v>
      </c>
      <c r="D150" s="753">
        <f>IF(D115="No","n/a",IF(G150=0,"",H150))</f>
        <v>9</v>
      </c>
      <c r="E150" s="628"/>
      <c r="F150" s="258"/>
      <c r="G150" s="683">
        <f>MIN(G146:G149)</f>
        <v>1</v>
      </c>
      <c r="H150" s="680">
        <f t="array" ref="H150">MIN(IF(ISNUMBER(H146:H149),H146:H149))</f>
        <v>9</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791</v>
      </c>
      <c r="B166" s="1046"/>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791</v>
      </c>
      <c r="B193" s="1046"/>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791</v>
      </c>
      <c r="B216" s="1046"/>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791</v>
      </c>
      <c r="B240" s="1046"/>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791</v>
      </c>
      <c r="B263" s="1046"/>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791</v>
      </c>
      <c r="B287" s="1046"/>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331</v>
      </c>
      <c r="E294" s="628" t="str">
        <f t="shared" si="17"/>
        <v>Limiting</v>
      </c>
      <c r="F294" s="258"/>
      <c r="G294" s="669">
        <f t="shared" si="16"/>
        <v>1</v>
      </c>
      <c r="H294" s="677">
        <f>VLOOKUP('Interactive Data Grading'!D294,CMI!$F$6:$J$16,5,FALSE)</f>
        <v>4</v>
      </c>
      <c r="I294" s="677">
        <f>H294</f>
        <v>4</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t="e">
        <f>IF(OR(D294=CMI!F23,D294=CMI!F24),X,H295)</f>
        <v>#NAME?</v>
      </c>
      <c r="J295" s="669" t="s">
        <v>297</v>
      </c>
    </row>
    <row r="296" spans="1:18" ht="29.45" customHeight="1">
      <c r="A296" s="163"/>
      <c r="B296" s="441" t="s">
        <v>299</v>
      </c>
      <c r="C296" s="743" t="str">
        <f>CMI!B40</f>
        <v>Which best describes how the input was derived?</v>
      </c>
      <c r="D296" s="264" t="s">
        <v>339</v>
      </c>
      <c r="E296" s="628" t="str">
        <f t="shared" si="17"/>
        <v/>
      </c>
      <c r="F296" s="258"/>
      <c r="G296" s="669">
        <f t="shared" si="16"/>
        <v>1</v>
      </c>
      <c r="H296" s="677">
        <f>VLOOKUP('Interactive Data Grading'!D296,CMI!$H$6:$J$16,3,FALSE)</f>
        <v>8</v>
      </c>
      <c r="I296" s="677">
        <f>H296</f>
        <v>8</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4</v>
      </c>
      <c r="E300" s="628"/>
      <c r="F300" s="258"/>
      <c r="G300" s="669">
        <f>MIN(G290:G299)</f>
        <v>1</v>
      </c>
      <c r="H300" s="680">
        <f t="array" ref="H300">MIN(IF(ISNUMBER(H291:H297),H291:H297))</f>
        <v>4</v>
      </c>
      <c r="I300" s="680">
        <f t="array" ref="I300">MIN(IF(ISNUMBER(I290:I299),I290:I299))</f>
        <v>4</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791</v>
      </c>
      <c r="B316" s="1046"/>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791</v>
      </c>
      <c r="B343" s="1046"/>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791</v>
      </c>
      <c r="B366" s="1046"/>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791</v>
      </c>
      <c r="B390" s="1046"/>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791</v>
      </c>
      <c r="B414" s="1046"/>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791</v>
      </c>
      <c r="B438" s="1046"/>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791</v>
      </c>
      <c r="B462" s="1046"/>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497</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24" activePane="bottomLeft" state="frozen"/>
      <selection pane="bottomLeft" activeCell="CE39" sqref="CE39"/>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0" t="s">
        <v>874</v>
      </c>
      <c r="AO2" s="1061"/>
      <c r="AP2" s="1061"/>
      <c r="AQ2" s="1062"/>
      <c r="AR2" s="772"/>
      <c r="AS2" s="1060" t="s">
        <v>875</v>
      </c>
      <c r="AT2" s="1061"/>
      <c r="AU2" s="1061"/>
      <c r="AV2" s="1062"/>
      <c r="AW2" s="772"/>
      <c r="AX2" s="1060" t="s">
        <v>876</v>
      </c>
      <c r="AY2" s="1061"/>
      <c r="AZ2" s="1061"/>
      <c r="BA2" s="1062"/>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- 510 Norristown</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IV (71-90)</v>
      </c>
      <c r="BS4" s="382"/>
      <c r="BT4" s="382"/>
      <c r="BU4" s="187"/>
      <c r="BV4" s="187"/>
      <c r="BW4" s="187"/>
    </row>
    <row r="5" spans="1:77" ht="15" customHeight="1">
      <c r="A5" s="89"/>
      <c r="B5" s="271"/>
      <c r="C5" s="1050" t="s">
        <v>879</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880</v>
      </c>
      <c r="AE5" s="610"/>
      <c r="AF5" s="610"/>
      <c r="AG5" s="610"/>
      <c r="AH5" s="1057" t="s">
        <v>881</v>
      </c>
      <c r="AI5" s="1057"/>
      <c r="AJ5" s="1057"/>
      <c r="AK5" s="1057"/>
      <c r="AL5" s="1057"/>
      <c r="AM5" s="1057"/>
      <c r="AN5" s="1057"/>
      <c r="AO5" s="1057"/>
      <c r="AP5" s="1057"/>
      <c r="AQ5" s="1057"/>
      <c r="AR5" s="1057"/>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883</v>
      </c>
      <c r="Z6" s="1052">
        <v>0.73699999999999999</v>
      </c>
      <c r="AA6" s="1052"/>
      <c r="AB6" s="761" t="s">
        <v>884</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84</v>
      </c>
      <c r="BS6" s="585"/>
      <c r="BT6" s="584"/>
      <c r="BU6" s="586"/>
      <c r="BV6" s="586"/>
      <c r="BW6" s="586"/>
      <c r="BX6" s="50"/>
      <c r="BY6" s="50"/>
    </row>
    <row r="7" spans="1:77" s="190" customFormat="1" ht="12.95" customHeight="1">
      <c r="A7" s="189"/>
      <c r="B7" s="265"/>
      <c r="C7" s="50"/>
      <c r="D7" s="193"/>
      <c r="E7" s="711"/>
      <c r="F7" s="193"/>
      <c r="G7" s="193"/>
      <c r="H7" s="553"/>
      <c r="I7" s="654" t="s">
        <v>886</v>
      </c>
      <c r="J7" s="1049">
        <f>BR6</f>
        <v>84</v>
      </c>
      <c r="K7" s="1049"/>
      <c r="L7" s="655"/>
      <c r="M7" s="655"/>
      <c r="N7" s="655"/>
      <c r="O7" s="655"/>
      <c r="P7" s="655"/>
      <c r="Q7" s="654" t="s">
        <v>887</v>
      </c>
      <c r="R7" s="1048" t="str">
        <f>IF(BO2&gt;0,"",BR4)</f>
        <v>Tier IV (71-90)</v>
      </c>
      <c r="S7" s="1048"/>
      <c r="T7" s="1048"/>
      <c r="U7" s="1048"/>
      <c r="V7" s="1048"/>
      <c r="W7" s="553"/>
      <c r="X7" s="763" t="s">
        <v>888</v>
      </c>
      <c r="AD7" s="497"/>
      <c r="AE7" s="719"/>
      <c r="AF7" s="719"/>
      <c r="AG7" s="719"/>
      <c r="AH7" s="1051" t="s">
        <v>889</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56" t="s">
        <v>892</v>
      </c>
      <c r="I8" s="1056"/>
      <c r="J8" s="1053" t="s">
        <v>585</v>
      </c>
      <c r="K8" s="1053"/>
      <c r="L8" s="1053"/>
      <c r="M8" s="1053"/>
      <c r="N8" s="1053"/>
      <c r="O8" s="1053"/>
      <c r="P8" s="1054" t="s">
        <v>893</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84</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114.73333333333333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result is above 90th %ile</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914</v>
      </c>
      <c r="BP15" s="590"/>
      <c r="BR15" s="579" t="s">
        <v>915</v>
      </c>
      <c r="BS15" s="606">
        <f>IF($BO$2&gt;0,"",IFERROR(SUM(N49:N50)/Worksheet!H62,""))</f>
        <v>55.581126742727243</v>
      </c>
      <c r="BT15" s="591"/>
      <c r="BU15" s="664" t="s">
        <v>909</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55.581126742727243</v>
      </c>
      <c r="BT16" s="591" t="s">
        <v>918</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55.581126742727243</v>
      </c>
      <c r="AB18" s="1059"/>
      <c r="AC18" s="1059"/>
      <c r="AD18" s="730" t="str">
        <f>BD13</f>
        <v>$/conn/year</v>
      </c>
      <c r="AE18" s="731"/>
      <c r="AF18" s="732"/>
      <c r="AG18" s="732"/>
      <c r="AH18" s="733"/>
      <c r="AI18" s="733"/>
      <c r="AJ18" s="731"/>
      <c r="AK18" s="1059">
        <f>BS22</f>
        <v>25.893065870449664</v>
      </c>
      <c r="AL18" s="1059"/>
      <c r="AM18" s="1059"/>
      <c r="AN18" s="730" t="str">
        <f>BD13</f>
        <v>$/conn/year</v>
      </c>
      <c r="AO18" s="731"/>
      <c r="AP18" s="731"/>
      <c r="AQ18" s="731"/>
      <c r="AR18" s="731"/>
      <c r="AS18" s="731"/>
      <c r="AT18" s="731"/>
      <c r="AU18" s="1059">
        <f>BS29</f>
        <v>29.688060872277571</v>
      </c>
      <c r="AV18" s="1059"/>
      <c r="AW18" s="1059"/>
      <c r="AX18" s="730" t="str">
        <f>BD13</f>
        <v>$/conn/year</v>
      </c>
      <c r="AY18" s="576"/>
      <c r="AZ18" s="193"/>
      <c r="BA18" s="193"/>
      <c r="BB18" s="272"/>
      <c r="BC18" s="89"/>
      <c r="BD18" s="50" t="s">
        <v>910</v>
      </c>
      <c r="BE18" s="182">
        <f>(((5.41*Worksheet!H61)+(0.15*Worksheet!H62)+(7.5*(Worksheet!H62*Worksheet!W67/5280)))*Worksheet!H68)/1000000*365</f>
        <v>226.38696968149998</v>
      </c>
      <c r="BN18" s="535"/>
      <c r="BO18" s="591" t="s">
        <v>927</v>
      </c>
      <c r="BP18" s="593">
        <f>BQ18-BQ17</f>
        <v>8.9525318444022357</v>
      </c>
      <c r="BQ18" s="758">
        <f t="shared" si="0"/>
        <v>18.283980813778896</v>
      </c>
      <c r="BR18" s="591" t="s">
        <v>899</v>
      </c>
      <c r="BS18" s="595">
        <f>SUM(BP16:BP20)-SUM(BS16,BS17)</f>
        <v>59.096851844008874</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694.75518826980385</v>
      </c>
      <c r="BF19" s="181">
        <f>BE19*325851.427242/Worksheet!H62/365</f>
        <v>19.563407554251832</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1398.33396978</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25.893065870449664</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24.233075430263664</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927</v>
      </c>
      <c r="BP25" s="593">
        <f>BQ25-BQ24</f>
        <v>5.2798362211473915</v>
      </c>
      <c r="BQ25" s="758">
        <f t="shared" si="1"/>
        <v>6.1547896930365926</v>
      </c>
      <c r="BR25" s="591" t="s">
        <v>899</v>
      </c>
      <c r="BS25" s="595">
        <f>SUM(BP23:BP27)-SUM(BS23,BS24)</f>
        <v>23.845346223379444</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79.944281516764434</v>
      </c>
      <c r="AB29" s="1063"/>
      <c r="AC29" s="1063"/>
      <c r="AD29" s="729" t="str">
        <f>BD10</f>
        <v>gal/conn/day</v>
      </c>
      <c r="AE29" s="729"/>
      <c r="AF29" s="734"/>
      <c r="AG29" s="734"/>
      <c r="AH29" s="575"/>
      <c r="AI29" s="575"/>
      <c r="AJ29" s="575"/>
      <c r="AK29" s="1063">
        <f>BS43</f>
        <v>5.1301707590007766</v>
      </c>
      <c r="AL29" s="1063"/>
      <c r="AM29" s="1063"/>
      <c r="AN29" s="730" t="str">
        <f>BD10</f>
        <v>gal/conn/day</v>
      </c>
      <c r="AO29" s="575"/>
      <c r="AP29" s="575"/>
      <c r="AQ29" s="575"/>
      <c r="AR29" s="575"/>
      <c r="AS29" s="575"/>
      <c r="AT29" s="575"/>
      <c r="AU29" s="1069">
        <f>BS55</f>
        <v>74.814110757763657</v>
      </c>
      <c r="AV29" s="1069"/>
      <c r="AW29" s="106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29.688060872277571</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29.688060872277571</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80.3</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40.837869544258446</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79.944281516764434</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result is above 90th %ile</v>
      </c>
      <c r="AU37" s="1058"/>
      <c r="AV37" s="1058"/>
      <c r="AW37" s="1058"/>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79.944281516764434</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168.35530667439821</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3.8241860754725154</v>
      </c>
      <c r="AI41" s="1068"/>
      <c r="AJ41" s="1068"/>
      <c r="AK41" s="729" t="s">
        <v>948</v>
      </c>
      <c r="AL41" s="661"/>
      <c r="AM41" s="662"/>
      <c r="AN41" s="658"/>
      <c r="AO41" s="658"/>
      <c r="AP41" s="658"/>
      <c r="AQ41" s="658"/>
      <c r="AR41" s="658"/>
      <c r="AS41" s="1067">
        <f>BS69</f>
        <v>6125.7917548144087</v>
      </c>
      <c r="AT41" s="1067"/>
      <c r="AU41" s="106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4" t="s">
        <v>953</v>
      </c>
      <c r="AA43" s="1064"/>
      <c r="AB43" s="1064"/>
      <c r="AC43" s="1064"/>
      <c r="AD43" s="1064"/>
      <c r="AE43" s="1064"/>
      <c r="AF43" s="1064"/>
      <c r="AG43" s="1064"/>
      <c r="AH43" s="1064"/>
      <c r="AI43" s="1064"/>
      <c r="AJ43" s="1064"/>
      <c r="AK43" s="1065">
        <f>IF(OR(ISBLANK('Start Page'!$AB$22),LEN(Worksheet!C70)&gt;0),"",VLOOKUP(BD7,BD18:BE20,2,FALSE))</f>
        <v>226.38696968149998</v>
      </c>
      <c r="AL43" s="1065"/>
      <c r="AM43" s="1065"/>
      <c r="AN43" s="1065"/>
      <c r="AO43" s="773" t="str">
        <f>BD7</f>
        <v>MG/Yr</v>
      </c>
      <c r="AP43" s="575"/>
      <c r="AQ43" s="575"/>
      <c r="AR43" s="575"/>
      <c r="AS43" s="1065">
        <f>IF(BG19=1,BF19,IFERROR(AK43*1000000/Worksheet!H62/365,""))</f>
        <v>19.563407554251828</v>
      </c>
      <c r="AT43" s="1065"/>
      <c r="AU43" s="1065"/>
      <c r="AV43" s="1065"/>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5.1301707590007766</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5.1301707590007766</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27.250691836252393</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76" t="s">
        <v>956</v>
      </c>
      <c r="J47" s="1076"/>
      <c r="K47" s="1076"/>
      <c r="L47" s="1076"/>
      <c r="M47" s="572"/>
      <c r="N47" s="1076" t="s">
        <v>894</v>
      </c>
      <c r="O47" s="1076"/>
      <c r="P47" s="1076"/>
      <c r="Q47" s="1076"/>
      <c r="R47" s="1072" t="s">
        <v>957</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76" t="str">
        <f>BD7</f>
        <v>MG/Yr</v>
      </c>
      <c r="J48" s="1076"/>
      <c r="K48" s="1076"/>
      <c r="L48" s="1076"/>
      <c r="M48" s="572"/>
      <c r="N48" s="1076" t="s">
        <v>958</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74">
        <f>IF(ISBLANK('Start Page'!$AB$22),"",Worksheet!H46)</f>
        <v>59.366130816326631</v>
      </c>
      <c r="J49" s="1074"/>
      <c r="K49" s="1074"/>
      <c r="L49" s="1074"/>
      <c r="M49" s="558"/>
      <c r="N49" s="1075">
        <f>IF(OR(ISBLANK('Start Page'!$AB$22),ISBLANK(Worksheet!J76)),"",(SUM(Worksheet!H43+Worksheet!H39+Worksheet!X50)*Worksheet!H76)*INDEX(Sheet1!B2:D4,MATCH('Start Page'!AB22,Sheet1!A2:A4,0),MATCH(Worksheet!J76,Sheet1!B1:D1,0))+Worksheet!Y50*Worksheet!H77)</f>
        <v>820913.76035673614</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74">
        <f>IF(ISBLANK('Start Page'!$AB$22),"",Worksheet!H51)</f>
        <v>865.7458971244107</v>
      </c>
      <c r="J50" s="1074"/>
      <c r="K50" s="1074"/>
      <c r="L50" s="1074"/>
      <c r="M50" s="558"/>
      <c r="N50" s="1075">
        <f>IFERROR(IF(Worksheet!H41="Select under/over","",IF(ISBLANK('Start Page'!AB22),"",Worksheet!H51*(IF(BD29=FALSE,Worksheet!H77,IF(BD29=TRUE,Worksheet!H76*INDEX(Sheet1!B2:D4,MATCH('Start Page'!AB22,Sheet1!A2:A4,0),MATCH(Worksheet!J76,Sheet1!B1:D1,0)),""))))),"")</f>
        <v>941230.28189468815</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74">
        <f>IF(ISBLANK('Start Page'!$AB$22),"",SUM(Worksheet!H25:H26))</f>
        <v>104.837</v>
      </c>
      <c r="J51" s="1074"/>
      <c r="K51" s="1074"/>
      <c r="L51" s="1074"/>
      <c r="M51" s="558"/>
      <c r="N51" s="1075">
        <f>IFERROR(IF(SUM(Sheet1!D90:D91)=0,"",SUM(Sheet1!D90:D91)),"")</f>
        <v>113977.73803000001</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74">
        <f>IF(SUM(I49:I51)=0,"",SUM(I49:I51))</f>
        <v>1029.9490279407373</v>
      </c>
      <c r="J52" s="1074"/>
      <c r="K52" s="1074"/>
      <c r="L52" s="1074"/>
      <c r="M52" s="558"/>
      <c r="N52" s="1075">
        <f>IF(SUM(N49:N51)=0,"",SUM(N49:N51))</f>
        <v>1876121.7802814245</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74.814110757763657</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74.814110757763657</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154.20492159144933</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3.8241860754725154</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3.8241860754725154</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7.4419916516967266</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6125.7917548144087</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6074.127474647431</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5976.9414350530724</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27.965808526427509</v>
      </c>
      <c r="BQ83" s="608">
        <f>BP83+BQ78</f>
        <v>80.3</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972</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- 510 Norristown</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3"/>
      <c r="H7" s="1083"/>
    </row>
    <row r="8" spans="2:21" ht="5.45" customHeight="1">
      <c r="F8" s="814"/>
      <c r="G8" s="814"/>
      <c r="H8" s="814"/>
    </row>
    <row r="9" spans="2:21" ht="16.350000000000001" customHeight="1">
      <c r="F9" s="403" t="s">
        <v>974</v>
      </c>
      <c r="G9" s="403" t="s">
        <v>975</v>
      </c>
      <c r="H9" s="403" t="s">
        <v>976</v>
      </c>
    </row>
    <row r="10" spans="2:21" ht="28.9" customHeight="1">
      <c r="B10" s="427"/>
      <c r="C10" s="411"/>
      <c r="D10" s="427"/>
      <c r="F10" s="1077" t="s">
        <v>977</v>
      </c>
      <c r="G10" s="1080"/>
      <c r="H10" s="1080"/>
    </row>
    <row r="11" spans="2:21" ht="28.9" customHeight="1">
      <c r="B11" s="704" t="s">
        <v>874</v>
      </c>
      <c r="C11" s="411"/>
      <c r="D11" s="704" t="s">
        <v>875</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78"/>
      <c r="G14" s="1081"/>
      <c r="H14" s="1081"/>
    </row>
    <row r="15" spans="2:21" ht="28.9" customHeight="1">
      <c r="B15" s="705"/>
      <c r="C15" s="411"/>
      <c r="D15" s="705"/>
      <c r="F15" s="1079"/>
      <c r="G15" s="1082"/>
      <c r="H15" s="1082"/>
    </row>
    <row r="16" spans="2:21" ht="28.9" customHeight="1">
      <c r="B16" s="427"/>
      <c r="C16" s="411"/>
      <c r="D16" s="427"/>
      <c r="F16" s="1077" t="s">
        <v>979</v>
      </c>
      <c r="G16" s="1080"/>
      <c r="H16" s="1080"/>
    </row>
    <row r="17" spans="2:8" ht="28.9" customHeight="1">
      <c r="B17" s="704" t="s">
        <v>874</v>
      </c>
      <c r="C17" s="411"/>
      <c r="D17" s="704" t="s">
        <v>875</v>
      </c>
      <c r="F17" s="1078"/>
      <c r="G17" s="1081"/>
      <c r="H17" s="1081"/>
    </row>
    <row r="18" spans="2:8" ht="28.9" customHeight="1">
      <c r="B18" s="427"/>
      <c r="C18" s="411"/>
      <c r="D18" s="427"/>
      <c r="F18" s="1079"/>
      <c r="G18" s="1082"/>
      <c r="H18" s="1082"/>
    </row>
    <row r="19" spans="2:8" ht="28.9" customHeight="1">
      <c r="B19" s="427"/>
      <c r="C19" s="411"/>
      <c r="D19" s="427"/>
      <c r="F19" s="1077" t="s">
        <v>980</v>
      </c>
      <c r="G19" s="1080"/>
      <c r="H19" s="1080"/>
    </row>
    <row r="20" spans="2:8" ht="28.9" customHeight="1">
      <c r="B20" s="704" t="s">
        <v>874</v>
      </c>
      <c r="C20" s="411"/>
      <c r="D20" s="704" t="s">
        <v>875</v>
      </c>
      <c r="F20" s="1078"/>
      <c r="G20" s="1081"/>
      <c r="H20" s="1081"/>
    </row>
    <row r="21" spans="2:8" ht="28.9" customHeight="1">
      <c r="B21" s="427"/>
      <c r="C21" s="411"/>
      <c r="D21" s="427"/>
      <c r="F21" s="1079"/>
      <c r="G21" s="1082"/>
      <c r="H21" s="1082"/>
    </row>
    <row r="22" spans="2:8" ht="28.9" customHeight="1">
      <c r="B22" s="427"/>
      <c r="C22" s="411"/>
      <c r="D22" s="427"/>
      <c r="F22" s="1077" t="s">
        <v>981</v>
      </c>
      <c r="G22" s="1080"/>
      <c r="H22" s="1080"/>
    </row>
    <row r="23" spans="2:8" ht="28.9" customHeight="1">
      <c r="B23" s="704" t="s">
        <v>874</v>
      </c>
      <c r="C23" s="411"/>
      <c r="D23" s="704" t="s">
        <v>875</v>
      </c>
      <c r="F23" s="1078"/>
      <c r="G23" s="1081"/>
      <c r="H23" s="1081"/>
    </row>
    <row r="24" spans="2:8" ht="28.9" customHeight="1">
      <c r="B24" s="427"/>
      <c r="C24" s="411"/>
      <c r="D24" s="427"/>
      <c r="F24" s="1079"/>
      <c r="G24" s="1082"/>
      <c r="H24" s="1082"/>
    </row>
    <row r="25" spans="2:8" ht="28.9" customHeight="1">
      <c r="B25" s="427"/>
      <c r="C25" s="411"/>
      <c r="D25" s="427"/>
      <c r="F25" s="1077" t="s">
        <v>982</v>
      </c>
      <c r="G25" s="1085"/>
      <c r="H25" s="1085"/>
    </row>
    <row r="26" spans="2:8" ht="28.9" customHeight="1">
      <c r="B26" s="704" t="s">
        <v>874</v>
      </c>
      <c r="C26" s="411"/>
      <c r="D26" s="704" t="s">
        <v>875</v>
      </c>
      <c r="F26" s="1078"/>
      <c r="G26" s="1086"/>
      <c r="H26" s="1086"/>
    </row>
    <row r="27" spans="2:8" ht="28.9" customHeight="1">
      <c r="B27" s="427"/>
      <c r="C27" s="411"/>
      <c r="D27" s="427"/>
      <c r="F27" s="1079"/>
      <c r="G27" s="1087"/>
      <c r="H27" s="1087"/>
    </row>
    <row r="28" spans="2:8" ht="28.9" customHeight="1">
      <c r="B28" s="427"/>
      <c r="C28" s="411"/>
      <c r="D28" s="427"/>
      <c r="F28" s="1077" t="s">
        <v>983</v>
      </c>
      <c r="G28" s="1080"/>
      <c r="H28" s="1080"/>
    </row>
    <row r="29" spans="2:8" ht="28.9" customHeight="1">
      <c r="B29" s="704" t="s">
        <v>874</v>
      </c>
      <c r="C29" s="411"/>
      <c r="D29" s="704" t="s">
        <v>875</v>
      </c>
      <c r="F29" s="1078"/>
      <c r="G29" s="1081"/>
      <c r="H29" s="1081"/>
    </row>
    <row r="30" spans="2:8" ht="28.9" customHeight="1">
      <c r="B30" s="427"/>
      <c r="C30" s="411"/>
      <c r="D30" s="427"/>
      <c r="F30" s="1079"/>
      <c r="G30" s="1082"/>
      <c r="H30" s="1082"/>
    </row>
    <row r="31" spans="2:8" ht="28.9" customHeight="1">
      <c r="B31" s="427"/>
      <c r="C31" s="411"/>
      <c r="D31" s="427"/>
      <c r="F31" s="1077" t="s">
        <v>984</v>
      </c>
      <c r="G31" s="1080"/>
      <c r="H31" s="1080"/>
    </row>
    <row r="32" spans="2:8" ht="28.9" customHeight="1">
      <c r="B32" s="704" t="s">
        <v>874</v>
      </c>
      <c r="C32" s="411"/>
      <c r="D32" s="704" t="s">
        <v>875</v>
      </c>
      <c r="F32" s="1078"/>
      <c r="G32" s="1081"/>
      <c r="H32" s="1081"/>
    </row>
    <row r="33" spans="2:8" ht="28.9" customHeight="1">
      <c r="B33" s="427"/>
      <c r="C33" s="411"/>
      <c r="D33" s="427"/>
      <c r="F33" s="1079"/>
      <c r="G33" s="1082"/>
      <c r="H33" s="1082"/>
    </row>
    <row r="34" spans="2:8" ht="28.9" customHeight="1">
      <c r="B34" s="427"/>
      <c r="C34" s="411"/>
      <c r="D34" s="427"/>
      <c r="F34" s="1077" t="s">
        <v>985</v>
      </c>
      <c r="G34" s="1085"/>
      <c r="H34" s="1085"/>
    </row>
    <row r="35" spans="2:8" ht="28.9" customHeight="1">
      <c r="B35" s="704" t="s">
        <v>874</v>
      </c>
      <c r="C35" s="411"/>
      <c r="D35" s="704" t="s">
        <v>875</v>
      </c>
      <c r="F35" s="1078"/>
      <c r="G35" s="1086"/>
      <c r="H35" s="1086"/>
    </row>
    <row r="36" spans="2:8" ht="28.9" customHeight="1">
      <c r="B36" s="427"/>
      <c r="C36" s="411"/>
      <c r="D36" s="427"/>
      <c r="F36" s="1079"/>
      <c r="G36" s="1087"/>
      <c r="H36" s="1087"/>
    </row>
    <row r="37" spans="2:8" ht="28.9" customHeight="1">
      <c r="B37" s="427"/>
      <c r="C37" s="411"/>
      <c r="D37" s="427"/>
      <c r="F37" s="1077" t="s">
        <v>986</v>
      </c>
      <c r="G37" s="1085"/>
      <c r="H37" s="1085"/>
    </row>
    <row r="38" spans="2:8" ht="28.9" customHeight="1">
      <c r="B38" s="704" t="s">
        <v>874</v>
      </c>
      <c r="C38" s="411"/>
      <c r="D38" s="704" t="s">
        <v>875</v>
      </c>
      <c r="F38" s="1078"/>
      <c r="G38" s="1086"/>
      <c r="H38" s="1086"/>
    </row>
    <row r="39" spans="2:8" ht="28.9" customHeight="1">
      <c r="B39" s="427"/>
      <c r="C39" s="411"/>
      <c r="D39" s="427"/>
      <c r="F39" s="1079"/>
      <c r="G39" s="1087"/>
      <c r="H39" s="1087"/>
    </row>
    <row r="40" spans="2:8" ht="28.9" customHeight="1">
      <c r="B40" s="427"/>
      <c r="C40" s="411"/>
      <c r="D40" s="427"/>
      <c r="F40" s="1077" t="s">
        <v>987</v>
      </c>
      <c r="G40" s="1085"/>
      <c r="H40" s="1085"/>
    </row>
    <row r="41" spans="2:8" ht="28.9" customHeight="1">
      <c r="B41" s="704" t="s">
        <v>874</v>
      </c>
      <c r="C41" s="411"/>
      <c r="D41" s="704" t="s">
        <v>875</v>
      </c>
      <c r="F41" s="1078"/>
      <c r="G41" s="1086"/>
      <c r="H41" s="1086"/>
    </row>
    <row r="42" spans="2:8" ht="28.9" customHeight="1">
      <c r="B42" s="427"/>
      <c r="C42" s="411"/>
      <c r="D42" s="427"/>
      <c r="F42" s="1079"/>
      <c r="G42" s="1087"/>
      <c r="H42" s="1087"/>
    </row>
    <row r="43" spans="2:8" ht="28.9" customHeight="1">
      <c r="B43" s="427"/>
      <c r="C43" s="411"/>
      <c r="D43" s="427"/>
      <c r="F43" s="1077" t="s">
        <v>988</v>
      </c>
      <c r="G43" s="1085"/>
      <c r="H43" s="1085"/>
    </row>
    <row r="44" spans="2:8" ht="28.9" customHeight="1">
      <c r="B44" s="704" t="s">
        <v>874</v>
      </c>
      <c r="C44" s="411"/>
      <c r="D44" s="704" t="s">
        <v>875</v>
      </c>
      <c r="F44" s="1078"/>
      <c r="G44" s="1086"/>
      <c r="H44" s="1086"/>
    </row>
    <row r="45" spans="2:8" ht="28.9" customHeight="1">
      <c r="B45" s="427"/>
      <c r="C45" s="411"/>
      <c r="D45" s="427"/>
      <c r="F45" s="1079"/>
      <c r="G45" s="1087"/>
      <c r="H45" s="1087"/>
    </row>
    <row r="46" spans="2:8" ht="28.9" customHeight="1">
      <c r="B46" s="427"/>
      <c r="C46" s="411"/>
      <c r="D46" s="427"/>
      <c r="F46" s="1077" t="s">
        <v>989</v>
      </c>
      <c r="G46" s="1085"/>
      <c r="H46" s="1085"/>
    </row>
    <row r="47" spans="2:8" ht="28.9" customHeight="1">
      <c r="B47" s="704" t="s">
        <v>874</v>
      </c>
      <c r="C47" s="411"/>
      <c r="D47" s="704" t="s">
        <v>875</v>
      </c>
      <c r="F47" s="1078"/>
      <c r="G47" s="1086"/>
      <c r="H47" s="1086"/>
    </row>
    <row r="48" spans="2:8" ht="28.9" customHeight="1">
      <c r="B48" s="427"/>
      <c r="C48" s="411"/>
      <c r="D48" s="427"/>
      <c r="F48" s="1079"/>
      <c r="G48" s="1087"/>
      <c r="H48" s="1087"/>
    </row>
    <row r="49" spans="2:8" ht="28.9" customHeight="1">
      <c r="B49" s="427"/>
      <c r="C49" s="411"/>
      <c r="D49" s="427"/>
      <c r="F49" s="1077" t="s">
        <v>990</v>
      </c>
      <c r="G49" s="1085"/>
      <c r="H49" s="1085"/>
    </row>
    <row r="50" spans="2:8" ht="28.9" customHeight="1">
      <c r="B50" s="704" t="s">
        <v>874</v>
      </c>
      <c r="C50" s="411"/>
      <c r="D50" s="704" t="s">
        <v>875</v>
      </c>
      <c r="F50" s="1078"/>
      <c r="G50" s="1086"/>
      <c r="H50" s="1086"/>
    </row>
    <row r="51" spans="2:8" ht="28.9" customHeight="1">
      <c r="B51" s="427"/>
      <c r="C51" s="411"/>
      <c r="D51" s="427"/>
      <c r="F51" s="1079"/>
      <c r="G51" s="1087"/>
      <c r="H51" s="1087"/>
    </row>
    <row r="52" spans="2:8" ht="28.9" customHeight="1">
      <c r="B52" s="427"/>
      <c r="C52" s="411"/>
      <c r="D52" s="427"/>
      <c r="F52" s="1077" t="s">
        <v>991</v>
      </c>
      <c r="G52" s="1085"/>
      <c r="H52" s="1085"/>
    </row>
    <row r="53" spans="2:8" ht="28.9" customHeight="1">
      <c r="B53" s="704" t="s">
        <v>874</v>
      </c>
      <c r="C53" s="411"/>
      <c r="D53" s="704" t="s">
        <v>875</v>
      </c>
      <c r="F53" s="1078"/>
      <c r="G53" s="1086"/>
      <c r="H53" s="1086"/>
    </row>
    <row r="54" spans="2:8" ht="28.9" customHeight="1">
      <c r="B54" s="427"/>
      <c r="C54" s="411"/>
      <c r="D54" s="427"/>
      <c r="F54" s="1079"/>
      <c r="G54" s="1087"/>
      <c r="H54" s="1087"/>
    </row>
    <row r="55" spans="2:8" ht="28.9" customHeight="1">
      <c r="B55" s="427"/>
      <c r="C55" s="411"/>
      <c r="D55" s="427"/>
      <c r="F55" s="1077" t="s">
        <v>992</v>
      </c>
      <c r="G55" s="1085"/>
      <c r="H55" s="1085"/>
    </row>
    <row r="56" spans="2:8" ht="28.9" customHeight="1">
      <c r="B56" s="704" t="s">
        <v>874</v>
      </c>
      <c r="C56" s="411"/>
      <c r="D56" s="704" t="s">
        <v>875</v>
      </c>
      <c r="F56" s="1078"/>
      <c r="G56" s="1086"/>
      <c r="H56" s="1086"/>
    </row>
    <row r="57" spans="2:8" ht="28.9" customHeight="1">
      <c r="B57" s="427"/>
      <c r="C57" s="411"/>
      <c r="D57" s="427"/>
      <c r="F57" s="1079"/>
      <c r="G57" s="1087"/>
      <c r="H57" s="1087"/>
    </row>
    <row r="58" spans="2:8" ht="28.9" customHeight="1">
      <c r="B58" s="427"/>
      <c r="C58" s="411"/>
      <c r="D58" s="427"/>
      <c r="F58" s="1077" t="s">
        <v>993</v>
      </c>
      <c r="G58" s="1085"/>
      <c r="H58" s="1085"/>
    </row>
    <row r="59" spans="2:8" ht="28.9" customHeight="1">
      <c r="B59" s="704" t="s">
        <v>874</v>
      </c>
      <c r="C59" s="411"/>
      <c r="D59" s="704" t="s">
        <v>875</v>
      </c>
      <c r="F59" s="1078"/>
      <c r="G59" s="1086"/>
      <c r="H59" s="1086"/>
    </row>
    <row r="60" spans="2:8" ht="28.9" customHeight="1">
      <c r="B60" s="427"/>
      <c r="C60" s="411"/>
      <c r="D60" s="427"/>
      <c r="F60" s="1079"/>
      <c r="G60" s="1087"/>
      <c r="H60" s="1087"/>
    </row>
    <row r="61" spans="2:8" ht="28.9" customHeight="1">
      <c r="B61" s="427"/>
      <c r="C61" s="411"/>
      <c r="D61" s="427"/>
      <c r="F61" s="1077" t="s">
        <v>994</v>
      </c>
      <c r="G61" s="1085"/>
      <c r="H61" s="1085"/>
    </row>
    <row r="62" spans="2:8" ht="28.9" customHeight="1">
      <c r="B62" s="704" t="s">
        <v>874</v>
      </c>
      <c r="C62" s="411"/>
      <c r="D62" s="704" t="s">
        <v>875</v>
      </c>
      <c r="F62" s="1078"/>
      <c r="G62" s="1086"/>
      <c r="H62" s="1086"/>
    </row>
    <row r="63" spans="2:8" ht="28.9" customHeight="1">
      <c r="B63" s="427"/>
      <c r="C63" s="411"/>
      <c r="D63" s="427"/>
      <c r="F63" s="1079"/>
      <c r="G63" s="1087"/>
      <c r="H63" s="1087"/>
    </row>
    <row r="64" spans="2:8" ht="28.9" customHeight="1">
      <c r="B64" s="427"/>
      <c r="C64" s="411"/>
      <c r="D64" s="427"/>
      <c r="F64" s="1077" t="s">
        <v>995</v>
      </c>
      <c r="G64" s="1085"/>
      <c r="H64" s="1085"/>
    </row>
    <row r="65" spans="2:8" ht="28.9" customHeight="1">
      <c r="B65" s="704" t="s">
        <v>874</v>
      </c>
      <c r="C65" s="411"/>
      <c r="D65" s="704" t="s">
        <v>875</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1,030 MG/Yr</v>
      </c>
    </row>
    <row r="79" spans="1:6" ht="16.5">
      <c r="B79" s="46"/>
      <c r="C79" s="46"/>
      <c r="D79" s="46"/>
      <c r="E79" s="8" t="str">
        <f>IFERROR("Total Cost of NRW = $"&amp;TEXT(SUM(D90,D91,D94,D95,D96,D97,D99),"#,###")&amp;"/Yr","")</f>
        <v>Total Cost of NRW = $1,876,122/Yr</v>
      </c>
      <c r="F79" s="46"/>
    </row>
    <row r="80" spans="1:6">
      <c r="A80"/>
      <c r="B80"/>
      <c r="C80" s="47" t="str">
        <f>"Volume ("&amp;Worksheet!J15&amp;")"</f>
        <v>Volume (MG/Yr)</v>
      </c>
      <c r="D80" s="47" t="s">
        <v>1040</v>
      </c>
      <c r="E80" s="79" t="s">
        <v>1041</v>
      </c>
      <c r="F80"/>
    </row>
    <row r="81" spans="1:6">
      <c r="A81" s="118" t="s">
        <v>1042</v>
      </c>
      <c r="B81" s="118"/>
      <c r="C81" s="100">
        <f>IF(Dashboard!BO$2&gt;0,"",Worksheet!H15)</f>
        <v>3377.5309999999999</v>
      </c>
      <c r="D81" s="872">
        <f>IF(Dashboard!BO$2&gt;0,"",C81*(Worksheet!$H$77))</f>
        <v>3672017.9278899999</v>
      </c>
      <c r="E81" s="489">
        <f>D81</f>
        <v>3672017.9278899999</v>
      </c>
      <c r="F81" s="75" t="s">
        <v>1043</v>
      </c>
    </row>
    <row r="82" spans="1:6">
      <c r="A82" s="118" t="str">
        <f>A81&amp;" MA"</f>
        <v>Vol. from own sources: MA</v>
      </c>
      <c r="B82" s="118"/>
      <c r="C82" s="100">
        <f>IF(Dashboard!BO$2&gt;0,"",Worksheet!X15)</f>
        <v>19.251926700000002</v>
      </c>
      <c r="D82" s="872">
        <f>IF(Dashboard!BO$2&gt;0,"",C82*(Worksheet!$H$77))</f>
        <v>20930.502188973005</v>
      </c>
      <c r="E82" s="489">
        <f t="shared" ref="E82:E100" si="0">D82</f>
        <v>20930.502188973005</v>
      </c>
      <c r="F82"/>
    </row>
    <row r="83" spans="1:6">
      <c r="A83" t="s">
        <v>1044</v>
      </c>
      <c r="B83"/>
      <c r="C83" s="100">
        <f>IF(Dashboard!BO$2&gt;0,"",Worksheet!H16)</f>
        <v>0.38100000000000001</v>
      </c>
      <c r="D83" s="872">
        <f>IF(Dashboard!BO$2&gt;0,"",C83*(Worksheet!$H$77))</f>
        <v>414.21939000000003</v>
      </c>
      <c r="E83" s="489">
        <f t="shared" si="0"/>
        <v>414.21939000000003</v>
      </c>
      <c r="F83"/>
    </row>
    <row r="84" spans="1:6">
      <c r="A84" t="str">
        <f>A83&amp;" MA"</f>
        <v>Water imported: MA</v>
      </c>
      <c r="B84"/>
      <c r="C84" s="100">
        <f>IF(Dashboard!BO$2&gt;0,"",Worksheet!X16)</f>
        <v>2.1716999999999999E-3</v>
      </c>
      <c r="D84" s="872">
        <f>IF(Dashboard!BO$2&gt;0,"",C84*(Worksheet!$H$77))</f>
        <v>2.3610505229999998</v>
      </c>
      <c r="E84" s="489">
        <f t="shared" si="0"/>
        <v>2.3610505229999998</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3358.7670279407375</v>
      </c>
      <c r="D87" s="872">
        <f>IF(Dashboard!BO$2&gt;0,"",C87*(Worksheet!$H$77))</f>
        <v>3651617.9251068905</v>
      </c>
      <c r="E87" s="489">
        <f t="shared" si="0"/>
        <v>3651617.9251068905</v>
      </c>
      <c r="F87"/>
    </row>
    <row r="88" spans="1:6">
      <c r="A88" s="118" t="s">
        <v>1046</v>
      </c>
      <c r="B88"/>
      <c r="C88" s="100">
        <f>IF(Dashboard!BO$2&gt;0,"",Worksheet!H23)</f>
        <v>2328.8180000000002</v>
      </c>
      <c r="D88" s="872">
        <f>IF(Dashboard!BO$2&gt;0,"",C88*(Worksheet!$H$76*1000))</f>
        <v>32300705.660000004</v>
      </c>
      <c r="E88" s="489">
        <f t="shared" si="0"/>
        <v>32300705.660000004</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9.5619999999999994</v>
      </c>
      <c r="D90" s="873">
        <f>IF(Dashboard!BO$2&gt;0,"",IF(ISBLANK('Start Page'!AB22),"",IF(AND(ISBLANK(Worksheet!H77),Worksheet!Z77&lt;&gt;1),"",Worksheet!H25*(IF(Dashboard!BD29=FALSE,Worksheet!H77,IF(Dashboard!BD29=TRUE,Worksheet!H76*INDEX(Sheet1!B2:D4,MATCH('Start Page'!AB22,Sheet1!A2:A4,0),MATCH(Worksheet!J76,Sheet1!B1:D1,0)),""))))))</f>
        <v>10395.710779999999</v>
      </c>
      <c r="E90" s="796">
        <f t="shared" si="0"/>
        <v>10395.710779999999</v>
      </c>
      <c r="F90"/>
    </row>
    <row r="91" spans="1:6">
      <c r="A91" s="797" t="str">
        <f>"Unbilled Unmetered (UUAC) valued at "&amp;A76&amp;""</f>
        <v xml:space="preserve">Unbilled Unmetered (UUAC) valued at </v>
      </c>
      <c r="B91" s="794"/>
      <c r="C91" s="795">
        <f>IF(Dashboard!BO$2&gt;0,"",Worksheet!H26)</f>
        <v>95.275000000000006</v>
      </c>
      <c r="D91" s="873">
        <f>IF(Dashboard!BO$2&gt;0,"",IF(ISBLANK('Start Page'!AB22),"",IF(AND(ISBLANK(Worksheet!H77),Worksheet!Z77&lt;&gt;1),"",Worksheet!H26*(IF(Dashboard!BD29=FALSE,Worksheet!H77,IF(Dashboard!BD29=TRUE,Worksheet!H76*INDEX(Sheet1!B2:D4,MATCH('Start Page'!AB22,Sheet1!A2:A4,0),MATCH(Worksheet!J76,Sheet1!B1:D1,0)),""))))))</f>
        <v>103582.02725000001</v>
      </c>
      <c r="E91" s="796">
        <f t="shared" si="0"/>
        <v>103582.02725000001</v>
      </c>
      <c r="F91"/>
    </row>
    <row r="92" spans="1:6">
      <c r="A92" s="118" t="s">
        <v>1048</v>
      </c>
      <c r="B92" s="874" t="s">
        <v>1049</v>
      </c>
      <c r="C92" s="100">
        <f>IF(Dashboard!BO$2&gt;0,"",Worksheet!H30)</f>
        <v>2433.6550000000002</v>
      </c>
      <c r="D92" s="872">
        <f>IF(Dashboard!BO$2&gt;0,"",C92*(Worksheet!$H$76*1000))</f>
        <v>33754794.850000001</v>
      </c>
      <c r="E92" s="489">
        <f t="shared" si="0"/>
        <v>33754794.850000001</v>
      </c>
      <c r="F92"/>
    </row>
    <row r="93" spans="1:6">
      <c r="A93" t="s">
        <v>1050</v>
      </c>
      <c r="B93"/>
      <c r="C93" s="100">
        <f>IF(Dashboard!BO$2&gt;0,"",Worksheet!H35)</f>
        <v>925.11202794073733</v>
      </c>
      <c r="D93" s="872"/>
      <c r="E93" s="489">
        <f t="shared" si="0"/>
        <v>0</v>
      </c>
      <c r="F93"/>
    </row>
    <row r="94" spans="1:6">
      <c r="A94" s="171" t="s">
        <v>1051</v>
      </c>
      <c r="B94" s="118"/>
      <c r="C94" s="102">
        <f>IF(Dashboard!BO$2&gt;0,"",Worksheet!H43)</f>
        <v>5.822045000000001</v>
      </c>
      <c r="D94" s="875">
        <f>IF(Dashboard!BO$2&gt;0,"",IF(ISBLANK('Start Page'!AB22),"",IF(AND(ISBLANK(Worksheet!H77),Worksheet!Z77&lt;&gt;1),"",C94*Worksheet!H76*INDEX(Sheet1!B2:D4,MATCH('Start Page'!AB22,Sheet1!A2:A4,0),MATCH(Worksheet!J76,Sheet1!B1:D1,0)))))</f>
        <v>80751.764150000017</v>
      </c>
      <c r="E94" s="490">
        <f t="shared" si="0"/>
        <v>80751.764150000017</v>
      </c>
      <c r="F94" s="103"/>
    </row>
    <row r="95" spans="1:6">
      <c r="A95" s="785" t="s">
        <v>1052</v>
      </c>
      <c r="B95" s="785"/>
      <c r="C95" s="786">
        <f>Worksheet!X50</f>
        <v>47.526897959183771</v>
      </c>
      <c r="D95" s="876">
        <f>IF(Dashboard!BO$2&gt;0,"",IF(ISBLANK('Start Page'!AB22),"",IF(AND(ISBLANK(Worksheet!H77),Worksheet!Z77&lt;&gt;1),"",C95*Worksheet!H76*INDEX(Sheet1!B2:D4,MATCH('Start Page'!AB22,Sheet1!A2:A4,0),MATCH(Worksheet!J76,Sheet1!B1:D1,0)))))</f>
        <v>659198.07469387888</v>
      </c>
      <c r="E95" s="787">
        <f t="shared" si="0"/>
        <v>659198.07469387888</v>
      </c>
      <c r="F95" s="103"/>
    </row>
    <row r="96" spans="1:6">
      <c r="A96" s="785" t="s">
        <v>1053</v>
      </c>
      <c r="B96" s="785"/>
      <c r="C96" s="786">
        <f>Worksheet!Y50</f>
        <v>0.19514285714285684</v>
      </c>
      <c r="D96" s="876">
        <f>C96*input_VPC</f>
        <v>212.15736285714254</v>
      </c>
      <c r="E96" s="787">
        <f t="shared" si="0"/>
        <v>212.15736285714254</v>
      </c>
      <c r="F96" s="788" t="s">
        <v>1054</v>
      </c>
    </row>
    <row r="97" spans="1:7">
      <c r="A97" s="171" t="s">
        <v>1055</v>
      </c>
      <c r="B97" s="118"/>
      <c r="C97" s="102">
        <f>IF(Dashboard!BO$2&gt;0,"",Worksheet!H39)</f>
        <v>5.822045000000001</v>
      </c>
      <c r="D97" s="875">
        <f>IF(Dashboard!BO$2&gt;0,"",IF(ISBLANK('Start Page'!AB22),"",IF(AND(ISBLANK(Worksheet!H77),Worksheet!Z77&lt;&gt;1),"",C97*Worksheet!H76*INDEX(Sheet1!B2:D4,MATCH('Start Page'!AB22,Sheet1!A2:A4,0),MATCH(Worksheet!J76,Sheet1!B1:D1,0)))))</f>
        <v>80751.764150000017</v>
      </c>
      <c r="E97" s="490">
        <f t="shared" si="0"/>
        <v>80751.764150000017</v>
      </c>
      <c r="F97" s="103"/>
    </row>
    <row r="98" spans="1:7">
      <c r="A98" s="792" t="s">
        <v>748</v>
      </c>
      <c r="B98" s="792"/>
      <c r="C98" s="793">
        <f>IF(Dashboard!BO$2&gt;0,"",Worksheet!H46)</f>
        <v>59.366130816326631</v>
      </c>
      <c r="D98" s="877">
        <f>IF(Dashboard!BO$2&gt;0,"",SUM(D94:D97))</f>
        <v>820913.76035673614</v>
      </c>
      <c r="E98" s="489">
        <f t="shared" si="0"/>
        <v>820913.76035673614</v>
      </c>
      <c r="F98"/>
    </row>
    <row r="99" spans="1:7">
      <c r="A99" s="171" t="str">
        <f>"Real Losses valued at "&amp;A76&amp;""</f>
        <v xml:space="preserve">Real Losses valued at </v>
      </c>
      <c r="B99" s="118"/>
      <c r="C99" s="102">
        <f>IF(Dashboard!BO$2&gt;0,"",Worksheet!H51)</f>
        <v>865.7458971244107</v>
      </c>
      <c r="D99" s="878">
        <f>IF(Dashboard!BO$2&gt;0,"",Dashboard!N50)</f>
        <v>941230.28189468815</v>
      </c>
      <c r="E99" s="490">
        <f t="shared" si="0"/>
        <v>941230.28189468815</v>
      </c>
      <c r="F99" s="489"/>
    </row>
    <row r="100" spans="1:7">
      <c r="A100" t="s">
        <v>756</v>
      </c>
      <c r="B100"/>
      <c r="C100" s="100">
        <f>IF(Dashboard!BO$2&gt;0,"",Worksheet!H57)</f>
        <v>1029.9490279407373</v>
      </c>
      <c r="D100" s="101">
        <f>IF(Dashboard!BO$2&gt;0,"",D98+D99+D90+D91)</f>
        <v>1876121.7802814245</v>
      </c>
      <c r="E100" s="489">
        <f t="shared" si="0"/>
        <v>1876121.7802814245</v>
      </c>
      <c r="F100"/>
      <c r="G100" s="104"/>
    </row>
    <row r="101" spans="1:7">
      <c r="A101" s="789"/>
    </row>
    <row r="102" spans="1:7">
      <c r="A102" s="789" t="s">
        <v>1056</v>
      </c>
      <c r="C102" s="790">
        <f>C95+C96</f>
        <v>47.722040816326626</v>
      </c>
      <c r="D102" s="104">
        <f>D95+D96</f>
        <v>659410.23205673601</v>
      </c>
      <c r="E102" s="104">
        <f>E95+E96</f>
        <v>659410.23205673601</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- 510 Norristown</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IV (71-90)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2328.8180000000002</v>
      </c>
      <c r="H12" s="881"/>
      <c r="I12" s="4"/>
      <c r="K12" s="756"/>
    </row>
    <row r="13" spans="2:16" ht="22.5" customHeight="1">
      <c r="B13" s="1089"/>
      <c r="C13" s="288"/>
      <c r="D13" s="286"/>
      <c r="E13" s="1098"/>
      <c r="F13" s="290">
        <f>Worksheet!H23+Worksheet!H24</f>
        <v>2328.8180000000002</v>
      </c>
      <c r="G13" s="485" t="s">
        <v>1068</v>
      </c>
      <c r="H13" s="291">
        <f>SUM(G12+G14)</f>
        <v>2328.8180000000002</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2433.6550000000002</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9.5619999999999994</v>
      </c>
      <c r="H16" s="1097"/>
      <c r="I16" s="4"/>
      <c r="K16" s="118"/>
    </row>
    <row r="17" spans="2:16" ht="22.5" customHeight="1">
      <c r="B17" s="299">
        <f>Worksheet!AG15</f>
        <v>3358.3881873322061</v>
      </c>
      <c r="C17" s="300"/>
      <c r="D17" s="301"/>
      <c r="E17" s="194"/>
      <c r="F17" s="302">
        <f>Worksheet!H25+Worksheet!H26</f>
        <v>104.837</v>
      </c>
      <c r="G17" s="289" t="s">
        <v>1073</v>
      </c>
      <c r="H17" s="881"/>
      <c r="I17" s="4"/>
      <c r="K17" s="118"/>
      <c r="L17" s="99"/>
      <c r="M17" s="99"/>
      <c r="N17" s="99"/>
      <c r="O17" s="99"/>
      <c r="P17" s="99"/>
    </row>
    <row r="18" spans="2:16" ht="15.75" customHeight="1">
      <c r="B18" s="297"/>
      <c r="C18" s="1110" t="s">
        <v>1074</v>
      </c>
      <c r="D18" s="286"/>
      <c r="E18" s="303"/>
      <c r="F18" s="294"/>
      <c r="G18" s="304">
        <f>Worksheet!H26</f>
        <v>95.275000000000006</v>
      </c>
      <c r="H18" s="881"/>
      <c r="I18" s="4"/>
      <c r="K18" s="118"/>
    </row>
    <row r="19" spans="2:16" ht="22.5" customHeight="1">
      <c r="B19" s="297"/>
      <c r="C19" s="1110"/>
      <c r="D19" s="815" t="s">
        <v>1075</v>
      </c>
      <c r="E19" s="282"/>
      <c r="F19" s="884"/>
      <c r="G19" s="485" t="s">
        <v>1076</v>
      </c>
      <c r="H19" s="305">
        <f>Worksheet!H25+Worksheet!H26+Worksheet!H46+Worksheet!H51</f>
        <v>1029.9490279407373</v>
      </c>
      <c r="I19" s="4"/>
      <c r="K19" s="118"/>
      <c r="L19" s="99"/>
      <c r="M19" s="99"/>
      <c r="N19" s="99"/>
      <c r="O19" s="99"/>
      <c r="P19" s="99"/>
    </row>
    <row r="20" spans="2:16" ht="15.75" customHeight="1">
      <c r="B20" s="297"/>
      <c r="C20" s="306">
        <f>B17+B27</f>
        <v>3358.7670279407375</v>
      </c>
      <c r="D20" s="286"/>
      <c r="E20" s="194"/>
      <c r="F20" s="307" t="s">
        <v>744</v>
      </c>
      <c r="G20" s="298">
        <f>Worksheet!H39</f>
        <v>5.822045000000001</v>
      </c>
      <c r="H20" s="881"/>
      <c r="I20" s="4"/>
      <c r="K20" s="118"/>
    </row>
    <row r="21" spans="2:16" ht="14.25" customHeight="1">
      <c r="B21" s="308"/>
      <c r="C21" s="309"/>
      <c r="D21" s="306">
        <f>Worksheet!H19</f>
        <v>3358.7670279407375</v>
      </c>
      <c r="E21" s="310"/>
      <c r="F21" s="302">
        <f>Worksheet!H46</f>
        <v>59.366130816326631</v>
      </c>
      <c r="G21" s="289" t="s">
        <v>1077</v>
      </c>
      <c r="H21" s="881"/>
      <c r="I21" s="4"/>
      <c r="K21" s="118"/>
      <c r="L21" s="99"/>
      <c r="M21" s="99"/>
      <c r="N21" s="99"/>
      <c r="O21" s="99"/>
      <c r="P21" s="99"/>
    </row>
    <row r="22" spans="2:16" ht="15.75" customHeight="1">
      <c r="B22" s="297"/>
      <c r="C22" s="285"/>
      <c r="D22" s="286"/>
      <c r="E22" s="194"/>
      <c r="F22" s="310"/>
      <c r="G22" s="311">
        <f>Worksheet!H41</f>
        <v>47.722040816326626</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5.822045000000001</v>
      </c>
      <c r="H24" s="881"/>
      <c r="I24" s="4"/>
      <c r="K24" s="118"/>
    </row>
    <row r="25" spans="2:16" ht="26.25" customHeight="1">
      <c r="B25" s="1088" t="s">
        <v>1079</v>
      </c>
      <c r="C25" s="288"/>
      <c r="D25" s="286"/>
      <c r="E25" s="313">
        <f>Worksheet!H53</f>
        <v>925.11202794073733</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0.37884060853137119</v>
      </c>
      <c r="C27" s="300"/>
      <c r="D27" s="286"/>
      <c r="E27" s="194"/>
      <c r="F27" s="302">
        <f>Worksheet!H51</f>
        <v>865.7458971244107</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1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1084</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- 510 Norristown</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887</v>
      </c>
      <c r="G6" s="1152" t="str">
        <f>IF(OR(ISBLANK('Start Page'!AB22:AL22),'M36 Refs'!AN118&gt;0),"Additional data entry required",Dashboard!BR4)</f>
        <v>Tier IV (71-90)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1085</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1086</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1087</v>
      </c>
      <c r="D10" s="1151" t="s">
        <v>1088</v>
      </c>
      <c r="E10" s="1128"/>
      <c r="F10" s="1129"/>
      <c r="G10" s="1127" t="s">
        <v>896</v>
      </c>
      <c r="H10" s="1128"/>
      <c r="I10" s="1129"/>
      <c r="J10" s="1127" t="s">
        <v>897</v>
      </c>
      <c r="K10" s="1128"/>
      <c r="L10" s="1129"/>
      <c r="M10" s="1127" t="s">
        <v>904</v>
      </c>
      <c r="N10" s="1128"/>
      <c r="O10" s="1129"/>
      <c r="P10" s="1127" t="s">
        <v>916</v>
      </c>
      <c r="Q10" s="1128"/>
      <c r="R10" s="1130"/>
      <c r="S10" s="323"/>
      <c r="T10" s="91"/>
    </row>
    <row r="11" spans="1:20" ht="61.9" customHeight="1" thickTop="1">
      <c r="A11" s="96"/>
      <c r="B11" s="322"/>
      <c r="C11" s="326" t="s">
        <v>1089</v>
      </c>
      <c r="D11" s="1136" t="s">
        <v>1090</v>
      </c>
      <c r="E11" s="1132"/>
      <c r="F11" s="1133"/>
      <c r="G11" s="1131" t="s">
        <v>1091</v>
      </c>
      <c r="H11" s="1132"/>
      <c r="I11" s="1133"/>
      <c r="J11" s="1131" t="s">
        <v>1092</v>
      </c>
      <c r="K11" s="1132"/>
      <c r="L11" s="1147"/>
      <c r="M11" s="1131" t="s">
        <v>1093</v>
      </c>
      <c r="N11" s="1132"/>
      <c r="O11" s="1147"/>
      <c r="P11" s="1131" t="s">
        <v>1094</v>
      </c>
      <c r="Q11" s="1132"/>
      <c r="R11" s="1147"/>
      <c r="S11" s="323"/>
      <c r="T11" s="91"/>
    </row>
    <row r="12" spans="1:20" ht="78" customHeight="1">
      <c r="A12" s="96"/>
      <c r="B12" s="322"/>
      <c r="C12" s="327" t="s">
        <v>1095</v>
      </c>
      <c r="D12" s="1124" t="s">
        <v>1096</v>
      </c>
      <c r="E12" s="1125"/>
      <c r="F12" s="1126"/>
      <c r="G12" s="1134" t="s">
        <v>1097</v>
      </c>
      <c r="H12" s="1125"/>
      <c r="I12" s="1126"/>
      <c r="J12" s="1134" t="s">
        <v>1098</v>
      </c>
      <c r="K12" s="1125"/>
      <c r="L12" s="1135"/>
      <c r="M12" s="1134" t="s">
        <v>1099</v>
      </c>
      <c r="N12" s="1125"/>
      <c r="O12" s="1135"/>
      <c r="P12" s="1134" t="s">
        <v>1100</v>
      </c>
      <c r="Q12" s="1125"/>
      <c r="R12" s="1135"/>
      <c r="S12" s="323"/>
      <c r="T12" s="91"/>
    </row>
    <row r="13" spans="1:20" ht="105.75" customHeight="1">
      <c r="A13" s="96"/>
      <c r="B13" s="322"/>
      <c r="C13" s="327" t="s">
        <v>1101</v>
      </c>
      <c r="D13" s="1137"/>
      <c r="E13" s="1138"/>
      <c r="F13" s="1139"/>
      <c r="G13" s="1134" t="s">
        <v>1102</v>
      </c>
      <c r="H13" s="1125"/>
      <c r="I13" s="1126"/>
      <c r="J13" s="1134" t="s">
        <v>1103</v>
      </c>
      <c r="K13" s="1125"/>
      <c r="L13" s="1135"/>
      <c r="M13" s="1134" t="s">
        <v>1104</v>
      </c>
      <c r="N13" s="1125"/>
      <c r="O13" s="1135"/>
      <c r="P13" s="1134" t="s">
        <v>1105</v>
      </c>
      <c r="Q13" s="1125"/>
      <c r="R13" s="1135"/>
      <c r="S13" s="323"/>
      <c r="T13" s="91"/>
    </row>
    <row r="14" spans="1:20" ht="68.25" customHeight="1">
      <c r="A14" s="96"/>
      <c r="B14" s="322"/>
      <c r="C14" s="327" t="s">
        <v>1106</v>
      </c>
      <c r="D14" s="1137"/>
      <c r="E14" s="1138"/>
      <c r="F14" s="1139"/>
      <c r="G14" s="1140"/>
      <c r="H14" s="1138"/>
      <c r="I14" s="1139"/>
      <c r="J14" s="1134" t="s">
        <v>1107</v>
      </c>
      <c r="K14" s="1125"/>
      <c r="L14" s="1135"/>
      <c r="M14" s="1134" t="s">
        <v>1108</v>
      </c>
      <c r="N14" s="1125"/>
      <c r="O14" s="1135"/>
      <c r="P14" s="1134" t="s">
        <v>1109</v>
      </c>
      <c r="Q14" s="1125"/>
      <c r="R14" s="1135"/>
      <c r="S14" s="323"/>
      <c r="T14" s="91"/>
    </row>
    <row r="15" spans="1:20" ht="84" customHeight="1" thickBot="1">
      <c r="A15" s="96"/>
      <c r="B15" s="322"/>
      <c r="C15" s="328" t="s">
        <v>1110</v>
      </c>
      <c r="D15" s="1117"/>
      <c r="E15" s="1118"/>
      <c r="F15" s="1119"/>
      <c r="G15" s="1120"/>
      <c r="H15" s="1118"/>
      <c r="I15" s="1119"/>
      <c r="J15" s="1121" t="s">
        <v>1111</v>
      </c>
      <c r="K15" s="1122"/>
      <c r="L15" s="1123"/>
      <c r="M15" s="1121" t="s">
        <v>1112</v>
      </c>
      <c r="N15" s="1122"/>
      <c r="O15" s="1123"/>
      <c r="P15" s="1121" t="s">
        <v>1113</v>
      </c>
      <c r="Q15" s="1122"/>
      <c r="R15" s="1123"/>
      <c r="S15" s="323"/>
      <c r="T15" s="91"/>
    </row>
    <row r="16" spans="1:20" ht="21" customHeight="1" thickTop="1" thickBot="1">
      <c r="A16" s="96"/>
      <c r="B16" s="322"/>
      <c r="C16" s="1114" t="s">
        <v>1114</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1</v>
      </c>
      <c r="O19" s="331"/>
      <c r="P19" s="331"/>
      <c r="Q19" s="331">
        <f>IF(AND(ROUND('M36 Refs'!$AH$118,0)&gt;=Q17,ROUND('M36 Refs'!$AH$118,0)&lt;='Loss Control Planning'!Q18,'M36 Refs'!AN118=0),1,0)</f>
        <v>0</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9</v>
      </c>
      <c r="AE98" s="56">
        <f>Worksheet!Y15</f>
        <v>34.797705374393189</v>
      </c>
      <c r="AF98" s="35">
        <f t="shared" ref="AF98:AF103" si="0">AE98</f>
        <v>34.797705374393189</v>
      </c>
      <c r="AG98" s="35">
        <f>IF(AE98&lt;&gt;0,AF98/10,0)</f>
        <v>3.4797705374393191</v>
      </c>
      <c r="AH98" s="35">
        <f>IFERROR(AD98*AG98,0)</f>
        <v>31.317934836953871</v>
      </c>
      <c r="AI98" s="35">
        <f t="shared" ref="AI98:AI117" si="1">IF(AG98=0,0,AF98-AH98)</f>
        <v>3.4797705374393182</v>
      </c>
      <c r="AJ98">
        <f t="array" aca="1" ref="AJ98" ca="1">SUM(1*(AI98&lt;$AI$98:$AI$117))+1+IF(ROW(AI98)-ROW($AI$98)=0,0,SUM(1*(AI98=OFFSET($AI$98,0,0,INDEX(ROW(AI98)-ROW($AI$98)+1,1)-1,1))))</f>
        <v>2</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0.19834692063404119</v>
      </c>
      <c r="AF99" s="35">
        <f t="shared" si="0"/>
        <v>0.19834692063404119</v>
      </c>
      <c r="AG99" s="35">
        <f t="shared" ref="AG99:AG117" si="3">IF(AE99&lt;&gt;0,AF99/10,0)</f>
        <v>1.983469206340412E-2</v>
      </c>
      <c r="AH99" s="35">
        <f t="shared" ref="AH99:AH106" si="4">IFERROR(AD99*AG99,0)</f>
        <v>0.19834692063404119</v>
      </c>
      <c r="AI99" s="35">
        <f t="shared" si="1"/>
        <v>0</v>
      </c>
      <c r="AJ99">
        <f t="array" aca="1" ref="AJ99" ca="1">SUM(1*(AI99&lt;$AI$98:$AI$117))+1+IF(ROW(AI99)-ROW($AI$98)=0,0,SUM(1*(AI99=OFFSET($AI$98,0,0,INDEX(ROW(AI99)-ROW($AI$98)+1,1)-1,1))))</f>
        <v>9</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9</v>
      </c>
      <c r="AE100" s="56">
        <f>Worksheet!Y16</f>
        <v>3.9253305884220761E-3</v>
      </c>
      <c r="AF100" s="35">
        <f t="shared" si="0"/>
        <v>3.9253305884220761E-3</v>
      </c>
      <c r="AG100" s="35">
        <f t="shared" si="3"/>
        <v>3.9253305884220761E-4</v>
      </c>
      <c r="AH100" s="35">
        <f t="shared" si="4"/>
        <v>3.5327975295798685E-3</v>
      </c>
      <c r="AI100" s="35">
        <f t="shared" si="1"/>
        <v>3.9253305884220761E-4</v>
      </c>
      <c r="AJ100">
        <f t="array" aca="1" ref="AJ100" ca="1">SUM(1*(AI100&lt;$AI$98:$AI$117))+1+IF(ROW(AI100)-ROW($AI$98)=0,0,SUM(1*(AI100=OFFSET($AI$98,0,0,INDEX(ROW(AI100)-ROW($AI$98)+1,1)-1,1))))</f>
        <v>7</v>
      </c>
      <c r="AK100" s="118" t="str">
        <f t="shared" si="5"/>
        <v>Water Imported (WI)</v>
      </c>
      <c r="AL100">
        <f t="shared" si="6"/>
        <v>1</v>
      </c>
      <c r="AM100">
        <f t="shared" si="7"/>
        <v>1</v>
      </c>
      <c r="AN100">
        <f t="shared" si="2"/>
        <v>0</v>
      </c>
    </row>
    <row r="101" spans="28:40">
      <c r="AC101" s="168" t="s">
        <v>1156</v>
      </c>
      <c r="AD101" s="36">
        <f>IF(Worksheet!M16="n/a",0,Worksheet!M16)</f>
        <v>9</v>
      </c>
      <c r="AE101" s="56">
        <f>Worksheet!Z16</f>
        <v>2.2374384354005836E-5</v>
      </c>
      <c r="AF101" s="35">
        <f t="shared" si="0"/>
        <v>2.2374384354005836E-5</v>
      </c>
      <c r="AG101" s="35">
        <f t="shared" si="3"/>
        <v>2.2374384354005836E-6</v>
      </c>
      <c r="AH101" s="35">
        <f t="shared" si="4"/>
        <v>2.0136945918605253E-5</v>
      </c>
      <c r="AI101" s="35">
        <f t="shared" si="1"/>
        <v>2.2374384354005836E-6</v>
      </c>
      <c r="AJ101">
        <f t="array" aca="1" ref="AJ101" ca="1">SUM(1*(AI101&lt;$AI$98:$AI$117))+1+IF(ROW(AI101)-ROW($AI$98)=0,0,SUM(1*(AI101=OFFSET($AI$98,0,0,INDEX(ROW(AI101)-ROW($AI$98)+1,1)-1,1))))</f>
        <v>8</v>
      </c>
      <c r="AK101" s="118" t="str">
        <f t="shared" si="5"/>
        <v>WI Error Adjustment (WIEA)</v>
      </c>
      <c r="AL101">
        <f t="shared" si="6"/>
        <v>1</v>
      </c>
      <c r="AM101">
        <f t="shared" si="7"/>
        <v>1</v>
      </c>
      <c r="AN101">
        <f t="shared" si="2"/>
        <v>0</v>
      </c>
    </row>
    <row r="102" spans="28:40">
      <c r="AC102" s="164" t="s">
        <v>1157</v>
      </c>
      <c r="AD102" s="36">
        <f>IF(Worksheet!F17="n/a",0,Worksheet!F17)</f>
        <v>9</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1</v>
      </c>
      <c r="AN102">
        <f t="shared" si="2"/>
        <v>0</v>
      </c>
    </row>
    <row r="103" spans="28:40">
      <c r="AC103" s="168" t="s">
        <v>1158</v>
      </c>
      <c r="AD103" s="57">
        <f>IF(Worksheet!M17="n/a",0,Worksheet!M17)</f>
        <v>9</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1</v>
      </c>
      <c r="AN103" s="60">
        <f t="shared" si="2"/>
        <v>0</v>
      </c>
    </row>
    <row r="104" spans="28:40">
      <c r="AC104" s="165" t="s">
        <v>1159</v>
      </c>
      <c r="AD104" s="65">
        <f>IF(Worksheet!F23="n/a",0,Worksheet!F23)</f>
        <v>9</v>
      </c>
      <c r="AE104" s="169">
        <f>IF(Worksheet!H23&gt;0,Worksheet!Y23,0)</f>
        <v>13.942751819635816</v>
      </c>
      <c r="AF104" s="67">
        <f t="shared" ref="AF104:AF117" si="8">AE104/$AE$120</f>
        <v>17.099601288232606</v>
      </c>
      <c r="AG104" s="67">
        <f t="shared" si="3"/>
        <v>1.7099601288232606</v>
      </c>
      <c r="AH104" s="67">
        <f t="shared" ref="AH104:AH117" si="9">AD104*AG104</f>
        <v>15.389641159409345</v>
      </c>
      <c r="AI104" s="67">
        <f t="shared" si="1"/>
        <v>1.7099601288232602</v>
      </c>
      <c r="AJ104" s="68">
        <f t="array" aca="1" ref="AJ104" ca="1">SUM(1*(AI104&lt;$AI$98:$AI$117))+1+IF(ROW(AI104)-ROW($AI$98)=0,0,SUM(1*(AI104=OFFSET($AI$98,0,0,INDEX(ROW(AI104)-ROW($AI$98)+1,1)-1,1))))</f>
        <v>5</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5.7248180364183741E-2</v>
      </c>
      <c r="AF106" s="71">
        <f t="shared" si="8"/>
        <v>7.0210032522112137E-2</v>
      </c>
      <c r="AG106" s="71">
        <f t="shared" si="3"/>
        <v>7.0210032522112133E-3</v>
      </c>
      <c r="AH106" s="35">
        <f t="shared" si="4"/>
        <v>7.0210032522112137E-2</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14</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3</v>
      </c>
      <c r="AK108" s="889" t="str">
        <f t="shared" si="5"/>
        <v>Unauthorized Consumption (UC)</v>
      </c>
      <c r="AL108" s="64">
        <f t="shared" si="10"/>
        <v>1</v>
      </c>
      <c r="AM108" s="64">
        <f t="shared" si="7"/>
        <v>1</v>
      </c>
      <c r="AN108" s="64">
        <f t="shared" si="2"/>
        <v>0</v>
      </c>
    </row>
    <row r="109" spans="28:40">
      <c r="AC109" s="165" t="s">
        <v>1077</v>
      </c>
      <c r="AD109" s="65">
        <f>IF(Worksheet!F41="n/a",0,Worksheet!F41)</f>
        <v>4</v>
      </c>
      <c r="AE109" s="66">
        <f>IF(AND(Worksheet!F41="n/a",Worksheet!H41=0),0,6)</f>
        <v>6</v>
      </c>
      <c r="AF109" s="67">
        <f t="shared" si="8"/>
        <v>7.3584905660377355</v>
      </c>
      <c r="AG109" s="67">
        <f t="shared" si="3"/>
        <v>0.73584905660377353</v>
      </c>
      <c r="AH109" s="67">
        <f t="shared" si="9"/>
        <v>2.9433962264150941</v>
      </c>
      <c r="AI109" s="67">
        <f t="shared" si="1"/>
        <v>4.415094339622641</v>
      </c>
      <c r="AJ109" s="68">
        <f t="array" aca="1" ref="AJ109" ca="1">SUM(1*(AI109&lt;$AI$98:$AI$117))+1+IF(ROW(AI109)-ROW($AI$98)=0,0,SUM(1*(AI109=OFFSET($AI$98,0,0,INDEX(ROW(AI109)-ROW($AI$98)+1,1)-1,1))))</f>
        <v>1</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4</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6</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100.00000000000001</v>
      </c>
      <c r="AG118" s="34">
        <f>SUM(AG98:AG117)</f>
        <v>10</v>
      </c>
      <c r="AH118" s="78">
        <f>SUM(AH98:AH117)</f>
        <v>83.894780223617516</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1173</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1174</v>
      </c>
      <c r="D4" s="1188" t="s">
        <v>1175</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58" t="s">
        <v>1177</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1178</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3" t="s">
        <v>1180</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3" t="s">
        <v>1182</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3" t="s">
        <v>1183</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3" t="s">
        <v>1185</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3" t="s">
        <v>1187</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3" t="s">
        <v>1189</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3" t="s">
        <v>1191</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3" t="s">
        <v>1192</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3" t="s">
        <v>1193</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58" t="s">
        <v>1194</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3" t="s">
        <v>1196</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3" t="s">
        <v>1197</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3" t="s">
        <v>1198</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58" t="s">
        <v>1200</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3" t="s">
        <v>1202</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3" t="s">
        <v>1204</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3" t="s">
        <v>1206</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1207</v>
      </c>
      <c r="D44" s="1174" t="s">
        <v>1208</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3" t="s">
        <v>1209</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3" t="s">
        <v>1211</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3" t="s">
        <v>1213</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1214</v>
      </c>
      <c r="D53" s="1174" t="s">
        <v>1215</v>
      </c>
      <c r="E53" s="1175"/>
      <c r="F53" s="1175"/>
      <c r="G53" s="1175"/>
      <c r="H53" s="1175"/>
      <c r="I53" s="1175"/>
      <c r="J53" s="1175"/>
      <c r="K53" s="1175"/>
      <c r="L53" s="1176"/>
      <c r="M53" s="892"/>
      <c r="N53" s="891"/>
    </row>
    <row r="54" spans="1:14" ht="18" customHeight="1">
      <c r="A54" s="93"/>
      <c r="B54" s="335"/>
      <c r="C54" s="1181"/>
      <c r="D54" s="896"/>
      <c r="E54" s="1180" t="s">
        <v>1216</v>
      </c>
      <c r="F54" s="1180"/>
      <c r="G54" s="897" t="s">
        <v>1217</v>
      </c>
      <c r="H54" s="897"/>
      <c r="I54" s="1182" t="s">
        <v>1218</v>
      </c>
      <c r="J54" s="1182"/>
      <c r="K54" s="637"/>
      <c r="L54" s="643"/>
      <c r="M54" s="892"/>
      <c r="N54" s="891"/>
    </row>
    <row r="55" spans="1:14" ht="18.75" customHeight="1">
      <c r="A55" s="93"/>
      <c r="B55" s="335"/>
      <c r="C55" s="1181"/>
      <c r="D55" s="896"/>
      <c r="E55" s="1161">
        <v>100</v>
      </c>
      <c r="F55" s="1162"/>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3" t="s">
        <v>1220</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3" t="s">
        <v>1222</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3" t="s">
        <v>1224</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3" t="s">
        <v>1225</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3" t="s">
        <v>1227</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3" t="s">
        <v>1229</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3" t="s">
        <v>1231</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1232</v>
      </c>
      <c r="D73" s="1166" t="s">
        <v>1233</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58" t="s">
        <v>1235</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1237</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1238</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1239</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1251</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1253</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1254</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1255</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1256</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1257</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1258</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1259</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1260</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1261</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1262</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1263</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7" t="s">
        <v>1268</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1269</v>
      </c>
      <c r="D34" s="911" t="s">
        <v>1270</v>
      </c>
      <c r="E34" s="912">
        <v>5</v>
      </c>
      <c r="F34" s="1210" t="s">
        <v>1271</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1272</v>
      </c>
      <c r="D35" s="912">
        <v>2006</v>
      </c>
      <c r="E35" s="912">
        <v>5</v>
      </c>
      <c r="F35" s="1210" t="s">
        <v>1273</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1274</v>
      </c>
      <c r="D36" s="912">
        <v>2007</v>
      </c>
      <c r="E36" s="912">
        <v>7</v>
      </c>
      <c r="F36" s="1210" t="s">
        <v>1275</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1276</v>
      </c>
      <c r="D37" s="912">
        <v>2010</v>
      </c>
      <c r="E37" s="912">
        <v>10</v>
      </c>
      <c r="F37" s="1210" t="s">
        <v>1277</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1278</v>
      </c>
      <c r="D38" s="365">
        <v>2014</v>
      </c>
      <c r="E38" s="365">
        <v>12</v>
      </c>
      <c r="F38" s="1204" t="s">
        <v>1279</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1280</v>
      </c>
      <c r="D39" s="365">
        <v>2020</v>
      </c>
      <c r="E39" s="366">
        <v>11</v>
      </c>
      <c r="F39" s="1204" t="s">
        <v>1281</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D00A7A-9189-4651-8298-58AF5E3535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2024-05-22T15:58:51Z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