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2326D8AB-A671-4DC1-B96F-6BC9666D2AAC}"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<sst xmlns="http://schemas.openxmlformats.org/spreadsheetml/2006/main" count="2551" uniqueCount="1284">
  <si>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</si>
  <si>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</si>
  <si>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</si>
  <si>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</si>
  <si>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</si>
  <si>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</si>
  <si>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</si>
  <si>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</si>
  <si>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</si>
  <si>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</si>
  <si>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</si>
  <si>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</si>
  <si>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</si>
  <si>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</si>
  <si>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</si>
  <si>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</si>
  <si>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</si>
  <si>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</si>
  <si>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</si>
  <si>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</si>
  <si>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</si>
  <si>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</si>
  <si>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</si>
  <si>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</si>
  <si>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</si>
  <si>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</si>
  <si>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</si>
  <si>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</si>
  <si>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</si>
  <si>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</si>
  <si>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</si>
  <si>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</si>
  <si>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</si>
  <si>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</si>
  <si>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</si>
  <si>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</si>
  <si>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</si>
  <si>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</si>
  <si>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</si>
  <si>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</si>
  <si>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</si>
  <si>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</si>
  <si>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</si>
  <si>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</si>
  <si>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</si>
  <si>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</si>
  <si>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</si>
  <si>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</si>
  <si>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</si>
  <si>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</si>
  <si>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</si>
  <si>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</si>
  <si>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</si>
  <si>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</si>
  <si>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</si>
  <si>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</si>
  <si>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</si>
  <si>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</si>
  <si>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</si>
  <si>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</si>
  <si>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</si>
  <si>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</si>
  <si>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</si>
  <si>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</si>
  <si>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</si>
  <si>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</si>
  <si>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</si>
  <si>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</si>
  <si>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</si>
  <si>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</si>
  <si>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</si>
  <si>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</si>
  <si>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</si>
  <si>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</si>
  <si>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</si>
  <si>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</si>
  <si>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</si>
  <si>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</si>
  <si>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</si>
  <si>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</si>
  <si>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</si>
  <si>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</si>
  <si>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</si>
  <si>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</si>
  <si>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</si>
  <si>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</si>
  <si>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</si>
  <si>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</si>
  <si>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</si>
  <si>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</si>
  <si>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</si>
  <si>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</si>
  <si>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</si>
  <si>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</si>
  <si>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</si>
  <si>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</si>
  <si>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</si>
  <si>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</si>
  <si>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</si>
  <si>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</si>
  <si>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</si>
  <si>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</si>
  <si>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</si>
  <si>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</si>
  <si>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</si>
  <si>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</si>
  <si>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</si>
  <si>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</si>
  <si>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</si>
  <si>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</si>
  <si>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</si>
  <si>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</si>
  <si>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</si>
  <si>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</si>
  <si>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</si>
  <si>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</si>
  <si>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</si>
  <si>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</si>
  <si>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</si>
  <si>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</si>
  <si>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</si>
  <si>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</si>
  <si>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</si>
  <si>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</si>
  <si>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</si>
  <si>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</si>
  <si>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</si>
  <si>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</si>
  <si>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</si>
  <si>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</si>
  <si>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</si>
  <si>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</si>
  <si>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</si>
  <si>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</si>
  <si>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</si>
  <si>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</si>
  <si>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</si>
  <si>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</si>
  <si>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</si>
  <si>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</si>
  <si>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</si>
  <si>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</si>
  <si>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</si>
  <si>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</si>
  <si>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</si>
  <si>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</si>
  <si>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</si>
  <si>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</si>
  <si>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</si>
  <si>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</si>
  <si>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</si>
  <si>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</si>
  <si>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</si>
  <si>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</si>
  <si>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</si>
  <si>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</si>
  <si>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</si>
  <si>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</si>
  <si>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</si>
  <si>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</si>
  <si>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</si>
  <si>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</si>
  <si>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</si>
  <si>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</si>
  <si>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</si>
  <si>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</si>
  <si>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</si>
  <si>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</si>
  <si>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</si>
  <si>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</si>
  <si>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</si>
  <si>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</si>
  <si>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</si>
  <si>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</si>
  <si>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</si>
  <si>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</si>
  <si>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</si>
  <si>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</si>
  <si>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</si>
  <si>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</si>
  <si>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</si>
  <si>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</si>
  <si>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</si>
  <si>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</si>
  <si>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</si>
  <si>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</si>
  <si>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</si>
  <si>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</si>
  <si>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</si>
  <si>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</si>
  <si>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</si>
  <si>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</si>
  <si>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</si>
  <si>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</si>
  <si>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</si>
  <si>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</si>
  <si>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</si>
  <si>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</si>
  <si>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</si>
  <si>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</si>
  <si>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</si>
  <si>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</si>
  <si>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</si>
  <si>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</si>
  <si>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</si>
  <si>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</si>
  <si>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</si>
  <si>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</si>
  <si>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</si>
  <si>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</si>
  <si>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</si>
  <si>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</si>
  <si>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</si>
  <si>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</si>
  <si>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</si>
  <si>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</si>
  <si>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</si>
  <si>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</si>
  <si>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</si>
  <si>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</si>
  <si>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</si>
  <si>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</si>
  <si>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</si>
  <si>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</si>
  <si>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</si>
  <si>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</si>
  <si>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</si>
  <si>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</si>
  <si>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</si>
  <si>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</si>
  <si>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</si>
  <si>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</si>
  <si>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</si>
  <si>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</si>
  <si>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</si>
  <si>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</si>
  <si>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</si>
  <si>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</si>
  <si>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</si>
  <si>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</si>
  <si>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</si>
  <si>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</si>
  <si>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</si>
  <si>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</si>
  <si>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</si>
  <si>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</si>
  <si>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</si>
  <si>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</si>
  <si>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</si>
  <si>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</si>
  <si>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</si>
  <si>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</si>
  <si>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</si>
  <si>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</si>
  <si>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</si>
  <si>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</si>
  <si>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</si>
  <si>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</si>
  <si>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</si>
  <si>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</si>
  <si>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</si>
  <si>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</si>
  <si>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</si>
  <si>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</si>
  <si>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</si>
  <si>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</si>
  <si>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</si>
  <si>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</si>
  <si>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</si>
  <si>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</si>
  <si>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</si>
  <si>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</si>
  <si>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</si>
  <si>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</si>
  <si>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</si>
  <si>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</si>
  <si>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</si>
  <si>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</si>
  <si>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</si>
  <si>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</si>
  <si>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</si>
  <si>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</si>
  <si>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</si>
  <si>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</si>
  <si>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</si>
  <si>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</si>
  <si>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</si>
  <si>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</si>
  <si>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</si>
  <si>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</si>
  <si>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</si>
  <si>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</si>
  <si>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</si>
  <si>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</si>
  <si>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</si>
  <si>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</si>
  <si>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</si>
  <si>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</si>
  <si>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</si>
  <si>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</si>
  <si>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</si>
  <si>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</si>
  <si>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</si>
  <si>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</si>
  <si>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</si>
  <si>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</si>
  <si>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</si>
  <si>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</si>
  <si>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</si>
  <si>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</si>
  <si>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</si>
  <si>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</si>
  <si>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</si>
  <si>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</si>
  <si>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</si>
  <si>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</si>
  <si>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</si>
  <si>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</si>
  <si>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</si>
  <si>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</si>
  <si>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</si>
  <si>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</si>
  <si>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</si>
  <si>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</si>
  <si>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</si>
  <si>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</si>
  <si>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</si>
  <si>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</si>
  <si>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</si>
  <si>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</si>
  <si>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</si>
  <si>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</si>
  <si>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</si>
  <si>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</si>
  <si>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</si>
  <si>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</si>
  <si>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</si>
  <si>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</si>
  <si>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</si>
  <si>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</si>
  <si>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</si>
  <si>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</si>
  <si>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</si>
  <si>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</si>
  <si>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</si>
  <si>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</si>
  <si>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</si>
  <si>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</si>
  <si>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</si>
  <si>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</si>
  <si>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</si>
  <si>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</si>
  <si>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</si>
  <si>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</si>
  <si>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</si>
  <si>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</si>
  <si>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</si>
  <si>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</si>
  <si>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</si>
  <si>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</si>
  <si>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</si>
  <si>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</si>
  <si>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</si>
  <si>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</si>
  <si>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</si>
  <si>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</si>
  <si>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</si>
  <si>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</si>
  <si>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</si>
  <si>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</si>
  <si>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</si>
  <si>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</si>
  <si>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</si>
  <si>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</si>
  <si>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</si>
  <si>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</si>
  <si>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</si>
  <si>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</si>
  <si>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</si>
  <si>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</si>
  <si>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</si>
  <si>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</si>
  <si>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</si>
  <si>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</si>
  <si>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</si>
  <si>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</si>
  <si>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</si>
  <si>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</si>
  <si>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</si>
  <si>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</si>
  <si>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</si>
  <si>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</si>
  <si>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</si>
  <si>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</si>
  <si>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</si>
  <si>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</si>
  <si>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</si>
  <si>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</si>
  <si>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</si>
  <si>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</si>
  <si>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</si>
  <si>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</si>
  <si>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</si>
  <si>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</si>
  <si>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</si>
  <si>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</si>
  <si>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</si>
  <si>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</si>
  <si>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</si>
  <si>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</si>
  <si>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</si>
  <si>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</si>
  <si>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</si>
  <si>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</si>
  <si>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</si>
  <si>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</si>
  <si>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</si>
  <si>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</si>
  <si>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</si>
  <si>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</si>
  <si>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</si>
  <si>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</si>
  <si>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</si>
  <si>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</si>
  <si>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</si>
  <si>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</si>
  <si>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</si>
  <si>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</si>
  <si>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</si>
  <si>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</si>
  <si>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</si>
  <si>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</si>
  <si>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</si>
  <si>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</si>
  <si>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</si>
  <si>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</si>
  <si>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</si>
  <si>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</si>
  <si>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</si>
  <si>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</si>
  <si>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</si>
  <si>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</si>
  <si>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</si>
  <si>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</si>
  <si>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</si>
  <si>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</si>
  <si>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</si>
  <si>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</si>
  <si>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</si>
  <si>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</si>
  <si>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</si>
  <si>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</si>
  <si>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</si>
  <si>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</si>
  <si>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</si>
  <si>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</si>
  <si>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</si>
  <si>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</si>
  <si>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</si>
  <si>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</si>
  <si>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</si>
  <si>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</si>
  <si>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</si>
  <si>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</si>
  <si>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</si>
  <si>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</si>
  <si>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</si>
  <si>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</si>
  <si>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</si>
  <si>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</si>
  <si>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</si>
  <si>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</si>
  <si>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</si>
  <si>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</si>
  <si>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</si>
  <si>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</si>
  <si>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</si>
  <si>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</si>
  <si>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</si>
  <si>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</si>
  <si>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</si>
  <si>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</si>
  <si>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</si>
  <si>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</si>
  <si>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</si>
  <si>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</si>
  <si>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</si>
  <si>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</si>
  <si>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</si>
  <si>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</si>
  <si>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</si>
  <si>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</si>
  <si>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</si>
  <si>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</si>
  <si>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</si>
  <si>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</si>
  <si>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</si>
  <si>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</si>
  <si>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</si>
  <si>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</si>
  <si>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</si>
  <si>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</si>
  <si>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</si>
  <si>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</si>
  <si>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</si>
  <si>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</si>
  <si>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</si>
  <si>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</si>
  <si>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</si>
  <si>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</si>
  <si>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</si>
  <si>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</si>
  <si>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</si>
  <si>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</si>
  <si>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</si>
  <si>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</si>
  <si>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Indiana District 410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</si>
  <si>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</si>
  <si>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</si>
  <si>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</si>
  <si>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</si>
  <si>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</si>
  <si>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</si>
  <si>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</si>
  <si>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</si>
  <si>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</si>
  <si>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</si>
  <si>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</si>
  <si>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</si>
  <si>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</si>
  <si>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</si>
  <si>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</si>
  <si>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Indiana</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</si>
  <si>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</si>
  <si>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</si>
  <si>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</si>
  <si>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</si>
  <si>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</si>
  <si>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</si>
  <si>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</si>
  <si>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</si>
  <si>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</si>
  <si>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</si>
  <si>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</si>
  <si>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</si>
  <si>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</si>
  <si>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</si>
  <si>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</si>
  <si>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</si>
  <si>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</si>
  <si>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</si>
  <si>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</si>
  <si>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</si>
  <si>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</si>
  <si>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</si>
  <si>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</si>
  <si>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</si>
  <si>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</si>
  <si>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</si>
  <si>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</si>
  <si>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</si>
  <si>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</si>
  <si>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</si>
  <si>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</si>
  <si>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</si>
  <si>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</si>
  <si>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</si>
  <si>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</si>
  <si>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</si>
  <si>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</si>
  <si>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</si>
  <si>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</si>
  <si>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</si>
  <si>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</si>
  <si>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</si>
  <si>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</si>
  <si>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5320025</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</si>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</sst>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50.030906883876391</c:v>
                </c:pt>
                <c:pt idx="1">
                  <c:v>2.0024160337996988</c:v>
                </c:pt>
                <c:pt idx="2">
                  <c:v>198.26868130728624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5.5511037024792671</c:v>
                </c:pt>
                <c:pt idx="1">
                  <c:v>0.26113598867139654</c:v>
                </c:pt>
                <c:pt idx="2">
                  <c:v>26.829758892773903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38.090773062029491</c:v>
                </c:pt>
                <c:pt idx="1">
                  <c:v>0.92482240795754933</c:v>
                </c:pt>
                <c:pt idx="2">
                  <c:v>76.587205524706633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9.991097870408602</c:v>
                </c:pt>
                <c:pt idx="1">
                  <c:v>0.56875750335916142</c:v>
                </c:pt>
                <c:pt idx="2">
                  <c:v>60.534832546127419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149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8.1000000000000003E-2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18.829000000000001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1.4250649999999998</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11.634836734693865</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1.4250649999999998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116.06493122448992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$283,948/Yr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49.8474</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11587.366599999999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19765.651549999999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161353.27484489777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19765.651549999999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71426.358675551091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27.065808526427517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2.0757320873483418</c:v>
                </c:pt>
                <c:pt idx="1">
                  <c:v>9.0856271993300333E-2</c:v>
                </c:pt>
                <c:pt idx="2">
                  <c:v>9.1904456398209007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44.479803181397124</c:v>
                </c:pt>
                <c:pt idx="1">
                  <c:v>1.8469276802355887</c:v>
                </c:pt>
                <c:pt idx="2">
                  <c:v>184.53922916781588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2606.4435487197379</c:v>
                </c:pt>
                <c:pt idx="1">
                  <c:v>97.186039594358903</c:v>
                </c:pt>
                <c:pt idx="2" formatCode="_(* #,##0_);_(* \(#,##0\);_(* &quot;-&quot;??_);_(@_)">
                  <c:v>9444.6253609807645</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image" Target="../media/image8.emf"/><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CRUC"/><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E"/><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1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1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1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1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16"/>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17"/>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18"/>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19"/>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20"/>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21"/>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22"/>
                  </a:ext>
                </a:extLst>
              </xdr:cNvPicPr>
            </xdr:nvPicPr>
            <xdr:blipFill rotWithShape="1">
              <a:blip xmlns:r="http://schemas.openxmlformats.org/officeDocument/2006/relationships" r:embed="rId1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23"/>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24"/>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25"/>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26"/>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27"/>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28"/>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29"/>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30"/>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I28" sqref="AI28:AL28"/>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45377</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579</v>
      </c>
      <c r="AC26" s="976"/>
      <c r="AD26" s="976"/>
      <c r="AE26" s="976"/>
      <c r="AF26" s="976"/>
      <c r="AG26" s="976"/>
      <c r="AH26" s="976"/>
      <c r="AI26" s="976"/>
      <c r="AJ26" s="976"/>
      <c r="AK26" s="976"/>
      <c r="AL26" s="982"/>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14" t="s">
        <v>581</v>
      </c>
      <c r="C27" s="915"/>
      <c r="D27" s="915"/>
      <c r="E27" s="915"/>
      <c r="F27" s="915"/>
      <c r="G27" s="913" t="s">
        <v>582</v>
      </c>
      <c r="H27" s="913"/>
      <c r="I27" s="913"/>
      <c r="J27" s="913"/>
      <c r="K27" s="913"/>
      <c r="L27" s="913"/>
      <c r="M27" s="913"/>
      <c r="N27" s="913"/>
      <c r="O27" s="913"/>
      <c r="P27" s="913"/>
      <c r="Q27" s="913"/>
      <c r="R27" s="913"/>
      <c r="S27" s="913"/>
      <c r="T27" s="913"/>
      <c r="U27" s="472"/>
      <c r="V27" s="118"/>
      <c r="W27" s="118"/>
      <c r="X27" s="118"/>
      <c r="Y27" s="118"/>
      <c r="Z27" s="118"/>
      <c r="AA27" s="477" t="s">
        <v>583</v>
      </c>
      <c r="AB27" s="975" t="s">
        <v>579</v>
      </c>
      <c r="AC27" s="976"/>
      <c r="AD27" s="976"/>
      <c r="AE27" s="976"/>
      <c r="AF27" s="976"/>
      <c r="AG27" s="976"/>
      <c r="AH27" s="976"/>
      <c r="AI27" s="976"/>
      <c r="AJ27" s="976"/>
      <c r="AK27" s="976"/>
      <c r="AL27" s="982"/>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585</v>
      </c>
      <c r="AI28" s="984">
        <v>7510</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586</v>
      </c>
      <c r="C30" s="915"/>
      <c r="D30" s="915"/>
      <c r="E30" s="915"/>
      <c r="F30" s="915"/>
      <c r="G30" s="913" t="s">
        <v>587</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592</v>
      </c>
      <c r="C33" s="915"/>
      <c r="D33" s="915"/>
      <c r="E33" s="915"/>
      <c r="F33" s="915"/>
      <c r="G33" s="913" t="s">
        <v>593</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594</v>
      </c>
      <c r="AB34" s="955" t="s">
        <v>525</v>
      </c>
      <c r="AC34" s="955"/>
      <c r="AD34" s="955"/>
      <c r="AE34" s="955"/>
      <c r="AF34" s="494"/>
      <c r="AG34" s="494"/>
      <c r="AH34" s="494"/>
      <c r="AI34" s="494"/>
      <c r="AJ34" s="501"/>
      <c r="AK34" s="501"/>
      <c r="AL34" s="118"/>
      <c r="AM34" s="526"/>
      <c r="AN34" s="526"/>
      <c r="AO34" s="526"/>
      <c r="AP34" s="118"/>
      <c r="AQ34" s="118"/>
      <c r="AR34" s="766" t="s">
        <v>594</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595</v>
      </c>
      <c r="C36" s="915"/>
      <c r="D36" s="915"/>
      <c r="E36" s="915"/>
      <c r="F36" s="915"/>
      <c r="G36" s="913" t="s">
        <v>596</v>
      </c>
      <c r="H36" s="913"/>
      <c r="I36" s="913"/>
      <c r="J36" s="913"/>
      <c r="K36" s="913"/>
      <c r="L36" s="913"/>
      <c r="M36" s="913"/>
      <c r="N36" s="913"/>
      <c r="O36" s="913"/>
      <c r="P36" s="913"/>
      <c r="Q36" s="913"/>
      <c r="R36" s="913"/>
      <c r="S36" s="913"/>
      <c r="T36" s="913"/>
      <c r="U36" s="798"/>
      <c r="V36" s="960" t="s">
        <v>597</v>
      </c>
      <c r="W36" s="960"/>
      <c r="X36" s="960"/>
      <c r="Y36" s="960"/>
      <c r="Z36" s="960"/>
      <c r="AA36" s="960"/>
      <c r="AB36" s="960"/>
      <c r="AC36" s="960"/>
      <c r="AD36" s="960"/>
      <c r="AE36" s="960"/>
      <c r="AF36" s="960"/>
      <c r="AG36" s="800"/>
      <c r="AH36" s="983" t="s">
        <v>598</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599</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600</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601</v>
      </c>
      <c r="C39" s="915"/>
      <c r="D39" s="915"/>
      <c r="E39" s="915"/>
      <c r="F39" s="915"/>
      <c r="G39" s="913" t="s">
        <v>602</v>
      </c>
      <c r="H39" s="913"/>
      <c r="I39" s="913"/>
      <c r="J39" s="913"/>
      <c r="K39" s="913"/>
      <c r="L39" s="913"/>
      <c r="M39" s="913"/>
      <c r="N39" s="913"/>
      <c r="O39" s="913"/>
      <c r="P39" s="913"/>
      <c r="Q39" s="913"/>
      <c r="R39" s="913"/>
      <c r="S39" s="913"/>
      <c r="T39" s="913"/>
      <c r="U39" s="798"/>
      <c r="V39" s="510"/>
      <c r="W39" s="962">
        <v>0.01</v>
      </c>
      <c r="X39" s="962"/>
      <c r="Y39" s="962"/>
      <c r="Z39" s="963" t="s">
        <v>603</v>
      </c>
      <c r="AA39" s="964"/>
      <c r="AB39" s="965"/>
      <c r="AC39" s="508" t="s">
        <v>604</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605</v>
      </c>
      <c r="AA40" s="964"/>
      <c r="AB40" s="965"/>
      <c r="AC40" s="980" t="s">
        <v>606</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607</v>
      </c>
      <c r="W42" s="960"/>
      <c r="X42" s="960"/>
      <c r="Y42" s="960"/>
      <c r="Z42" s="960"/>
      <c r="AA42" s="960"/>
      <c r="AB42" s="960"/>
      <c r="AC42" s="960"/>
      <c r="AD42" s="960"/>
      <c r="AE42" s="960"/>
      <c r="AF42" s="960"/>
      <c r="AG42" s="510"/>
      <c r="AH42" s="956" t="s">
        <v>608</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609</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798"/>
      <c r="V44" s="510"/>
      <c r="W44" s="510"/>
      <c r="X44" s="961" t="s">
        <v>600</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612</v>
      </c>
      <c r="AA45" s="964"/>
      <c r="AB45" s="965"/>
      <c r="AC45" s="508" t="s">
        <v>604</v>
      </c>
      <c r="AD45" s="510"/>
      <c r="AE45" s="510"/>
      <c r="AF45" s="510"/>
      <c r="AG45" s="800"/>
      <c r="AH45" s="800"/>
      <c r="AI45" s="967" t="s">
        <v>613</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615</v>
      </c>
      <c r="AA46" s="964"/>
      <c r="AB46" s="965"/>
      <c r="AC46" s="980" t="s">
        <v>616</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619</v>
      </c>
      <c r="AE48" s="956"/>
      <c r="AF48" s="956"/>
      <c r="AG48" s="956"/>
      <c r="AH48" s="956"/>
      <c r="AI48" s="956"/>
      <c r="AJ48" s="956"/>
      <c r="AK48" s="956"/>
      <c r="AL48" s="956"/>
      <c r="AM48" s="956"/>
      <c r="AN48" s="956"/>
      <c r="AO48" s="956"/>
      <c r="AP48" s="956"/>
      <c r="AQ48" s="956"/>
      <c r="AR48" s="956"/>
      <c r="AS48" s="956"/>
      <c r="AT48" s="956"/>
      <c r="AU48" s="956"/>
      <c r="AV48" s="956"/>
      <c r="AW48" s="956"/>
      <c r="AX48" s="960" t="s">
        <v>620</v>
      </c>
      <c r="AY48" s="960"/>
      <c r="AZ48" s="960"/>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52" activePane="bottomLeft" state="frozen"/>
      <selection pane="bottomLeft" activeCell="AP76" sqref="AP76"/>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704</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993" t="str">
        <f>IF(ISBLANK('Start Page'!AB9),"&lt;&lt; Please enter system details on the Start Page &gt;&gt;",'Start Page'!AB9&amp;IF(ISBLANK('Start Page'!AM28),"","  ("&amp;'Start Page'!AM28&amp;")"))</f>
        <v>PAW- Indiana District 410</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706</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707</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708</v>
      </c>
      <c r="L12" s="1003"/>
      <c r="M12" s="1003"/>
      <c r="N12" s="1003"/>
      <c r="O12" s="1003"/>
      <c r="P12" s="1003"/>
      <c r="Q12" s="1003"/>
      <c r="R12" s="1003"/>
      <c r="S12" s="1003"/>
      <c r="T12" s="1003"/>
      <c r="U12" s="999"/>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6"/>
      <c r="O13" s="205"/>
      <c r="P13" s="493" t="s">
        <v>600</v>
      </c>
      <c r="Q13" s="205"/>
      <c r="R13" s="205"/>
      <c r="S13" s="388"/>
      <c r="T13" s="388"/>
      <c r="U13" s="999"/>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723</v>
      </c>
      <c r="D15" s="700" t="s">
        <v>724</v>
      </c>
      <c r="E15" s="463" t="s">
        <v>725</v>
      </c>
      <c r="F15" s="390">
        <f>'Interactive Data Grading'!D20</f>
        <v>10</v>
      </c>
      <c r="G15" s="79"/>
      <c r="H15" s="424">
        <v>726.27300000000002</v>
      </c>
      <c r="I15" s="468"/>
      <c r="J15" s="807" t="str">
        <f>IF('Start Page'!$AB$22="million gallons (US)","MG/Yr",IF('Start Page'!$AB$22="Megalitres (thousand cubic metres)","ML/Yr",IF('Start Page'!$AB$22="acre-feet","Acre-ft/Yr","")))</f>
        <v>MG/Yr</v>
      </c>
      <c r="K15" s="703" t="s">
        <v>724</v>
      </c>
      <c r="L15" s="491" t="s">
        <v>725</v>
      </c>
      <c r="M15" s="390">
        <f>'Interactive Data Grading'!D43</f>
        <v>9</v>
      </c>
      <c r="N15" s="807"/>
      <c r="O15" s="386">
        <v>0.02</v>
      </c>
      <c r="P15" s="466" t="s">
        <v>603</v>
      </c>
      <c r="Q15" s="992"/>
      <c r="R15" s="997"/>
      <c r="S15" s="389" t="str">
        <f>IF('Start Page'!$AB$22="million gallons (US)","MG/Yr",IF('Start Page'!$AB$22="Megalitres (thousand cubic metres)","ML/Yr",IF('Start Page'!$AB$22="acre-feet","acre-ft/yr","")))</f>
        <v>MG/Yr</v>
      </c>
      <c r="T15" s="803" t="s">
        <v>726</v>
      </c>
      <c r="U15" s="445" t="s">
        <v>520</v>
      </c>
      <c r="V15" s="827"/>
      <c r="W15" s="383">
        <f>IF(P15="percent",1,2)</f>
        <v>1</v>
      </c>
      <c r="X15" s="836">
        <f>IF(H15&gt;0,IF(W15=1,O15*H15,Q15),0)</f>
        <v>14.525460000000001</v>
      </c>
      <c r="Y15" s="84">
        <f>$Y$19/$Y$18*H15</f>
        <v>33.341167726769093</v>
      </c>
      <c r="Z15" s="114">
        <f>$Y$19/$Y$18*ABS(X15)</f>
        <v>0.66682335453538188</v>
      </c>
      <c r="AA15" s="754">
        <f>IF(W15=1,input_VOS-input_VOS/(1+O15*AB15),Q15*AB15)</f>
        <v>-14.82189795918373</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741.09489795918375</v>
      </c>
    </row>
    <row r="16" spans="1:33">
      <c r="A16" s="827"/>
      <c r="B16" s="448" t="s">
        <v>524</v>
      </c>
      <c r="C16" s="805" t="s">
        <v>727</v>
      </c>
      <c r="D16" s="700" t="s">
        <v>724</v>
      </c>
      <c r="E16" s="463" t="s">
        <v>725</v>
      </c>
      <c r="F16" s="390" t="str">
        <f>'Interactive Data Grading'!D74</f>
        <v>n/a</v>
      </c>
      <c r="G16" s="79"/>
      <c r="H16" s="423">
        <v>0</v>
      </c>
      <c r="I16" s="468"/>
      <c r="J16" s="807" t="str">
        <f>IF('Start Page'!$AB$22="million gallons (US)","MG/Yr",IF('Start Page'!$AB$22="Megalitres (thousand cubic metres)","ML/Yr",IF('Start Page'!$AB$22="acre-feet","Acre-ft/Yr","")))</f>
        <v>MG/Yr</v>
      </c>
      <c r="K16" s="703" t="s">
        <v>724</v>
      </c>
      <c r="L16" s="491" t="s">
        <v>725</v>
      </c>
      <c r="M16" s="390" t="str">
        <f>'Interactive Data Grading'!D96</f>
        <v>n/a</v>
      </c>
      <c r="N16" s="807"/>
      <c r="O16" s="386"/>
      <c r="P16" s="466" t="s">
        <v>603</v>
      </c>
      <c r="Q16" s="992"/>
      <c r="R16" s="997"/>
      <c r="S16" s="389" t="str">
        <f>IF('Start Page'!$AB$22="million gallons (US)","MG/Yr",IF('Start Page'!$AB$22="Megalitres (thousand cubic metres)","ML/Yr",IF('Start Page'!$AB$22="acre-feet","acre-ft/yr","")))</f>
        <v>MG/Yr</v>
      </c>
      <c r="T16" s="803"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729</v>
      </c>
      <c r="D17" s="700" t="s">
        <v>724</v>
      </c>
      <c r="E17" s="463" t="s">
        <v>725</v>
      </c>
      <c r="F17" s="390">
        <f>'Interactive Data Grading'!D127</f>
        <v>9</v>
      </c>
      <c r="G17" s="79"/>
      <c r="H17" s="254">
        <v>21.609000000000002</v>
      </c>
      <c r="I17" s="468"/>
      <c r="J17" s="807" t="str">
        <f>IF('Start Page'!$AB$22="million gallons (US)","MG/Yr",IF('Start Page'!$AB$22="Megalitres (thousand cubic metres)","ML/Yr",IF('Start Page'!$AB$22="acre-feet","Acre-ft/Yr","")))</f>
        <v>MG/Yr</v>
      </c>
      <c r="K17" s="703" t="s">
        <v>724</v>
      </c>
      <c r="L17" s="491" t="s">
        <v>725</v>
      </c>
      <c r="M17" s="390" t="str">
        <f>'Interactive Data Grading'!D150</f>
        <v/>
      </c>
      <c r="N17" s="807"/>
      <c r="O17" s="386"/>
      <c r="P17" s="466" t="s">
        <v>603</v>
      </c>
      <c r="Q17" s="992"/>
      <c r="R17" s="997"/>
      <c r="S17" s="389" t="str">
        <f>IF('Start Page'!$AB$22="million gallons (US)","MG/Yr",IF('Start Page'!$AB$22="Megalitres (thousand cubic metres)","ML/Yr",IF('Start Page'!$AB$22="acre-feet","acre-ft/yr","")))</f>
        <v>MG/Yr</v>
      </c>
      <c r="T17" s="803" t="s">
        <v>728</v>
      </c>
      <c r="U17" s="445" t="s">
        <v>536</v>
      </c>
      <c r="V17" s="827"/>
      <c r="W17" s="383">
        <f t="shared" si="0"/>
        <v>1</v>
      </c>
      <c r="X17" s="836">
        <f>IF(H17&gt;0,IF(W17=1,O17*H17,Q17),0)</f>
        <v>0</v>
      </c>
      <c r="Y17" s="84">
        <f>$Y$19/$Y$18*H17</f>
        <v>0.99200891869552277</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21.609000000000002</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730</v>
      </c>
      <c r="U18" s="444"/>
      <c r="V18" s="827"/>
      <c r="W18" s="383"/>
      <c r="X18" s="385"/>
      <c r="Y18" s="84">
        <f>H15+H16+H17+IF(H15&gt;0,ABS(X15),0)+IF(H16&gt;0,ABS(X16),0)+IF(H17&gt;0,(ABS(X17)),)</f>
        <v>762.40746000000001</v>
      </c>
      <c r="Z18" s="115"/>
      <c r="AA18" s="118"/>
      <c r="AB18" s="206"/>
      <c r="AC18" s="206"/>
      <c r="AD18" s="206"/>
      <c r="AE18" s="206"/>
      <c r="AF18" s="205">
        <f>SUM(AF15:AF17)</f>
        <v>0</v>
      </c>
      <c r="AG18" s="118" t="s">
        <v>731</v>
      </c>
    </row>
    <row r="19" spans="1:33" ht="13.5" thickBot="1">
      <c r="A19" s="827"/>
      <c r="B19" s="447"/>
      <c r="C19" s="1033" t="s">
        <v>732</v>
      </c>
      <c r="D19" s="1033"/>
      <c r="E19" s="1033"/>
      <c r="F19" s="1033"/>
      <c r="G19" s="205"/>
      <c r="H19" s="727">
        <f>IF(AF18&gt;0,"Select under/over",IF(H15&gt;0,IF(W15=1,H15/(1+O15*AB15),H15-Q15*AB15),0)+IF(H16&gt;0,IF(W16=1,H16/(1+O16*AB16),H16-Q16*AB16),0)-IF(H17&gt;0,IF(W17=1,H17/(1+O17*AB17),H17-Q17*AB17),0))</f>
        <v>719.48589795918372</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736</v>
      </c>
      <c r="D23" s="700" t="s">
        <v>724</v>
      </c>
      <c r="E23" s="463" t="s">
        <v>725</v>
      </c>
      <c r="F23" s="390">
        <f>'Interactive Data Grading'!D177</f>
        <v>10</v>
      </c>
      <c r="G23" s="79"/>
      <c r="H23" s="254">
        <v>570.02599999999995</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13.9980108997083</v>
      </c>
      <c r="Z23" s="845"/>
      <c r="AA23" s="118" t="s">
        <v>737</v>
      </c>
      <c r="AB23" s="206"/>
      <c r="AC23" s="206"/>
      <c r="AD23" s="206"/>
      <c r="AE23" s="206"/>
      <c r="AF23" s="118"/>
      <c r="AG23" s="118"/>
    </row>
    <row r="24" spans="1:33">
      <c r="A24" s="827"/>
      <c r="B24" s="448" t="s">
        <v>544</v>
      </c>
      <c r="C24" s="805" t="s">
        <v>738</v>
      </c>
      <c r="D24" s="700" t="s">
        <v>724</v>
      </c>
      <c r="E24" s="463" t="s">
        <v>725</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1.9891002916996286E-3</v>
      </c>
      <c r="Z24" s="835"/>
      <c r="AA24" s="118"/>
      <c r="AB24" s="206"/>
      <c r="AC24" s="206"/>
      <c r="AD24" s="206"/>
      <c r="AE24" s="206"/>
      <c r="AF24" s="118"/>
      <c r="AG24" s="118"/>
    </row>
    <row r="25" spans="1:33" ht="13.35" customHeight="1">
      <c r="A25" s="827"/>
      <c r="B25" s="448" t="s">
        <v>546</v>
      </c>
      <c r="C25" s="805" t="s">
        <v>739</v>
      </c>
      <c r="D25" s="700" t="s">
        <v>724</v>
      </c>
      <c r="E25" s="463" t="s">
        <v>725</v>
      </c>
      <c r="F25" s="390">
        <f>'Interactive Data Grading'!D224</f>
        <v>10</v>
      </c>
      <c r="G25" s="79"/>
      <c r="H25" s="395">
        <v>8.1000000000000003E-2</v>
      </c>
      <c r="I25" s="468"/>
      <c r="J25" s="807" t="str">
        <f>IF('Start Page'!$AB$22="million gallons (US)","MG/Yr",IF('Start Page'!$AB$22="Megalitres (thousand cubic metres)","ML/Yr",IF('Start Page'!$AB$22="acre-feet","Acre-ft/Yr","")))</f>
        <v>MG/Yr</v>
      </c>
      <c r="K25" s="807"/>
      <c r="L25" s="807"/>
      <c r="M25" s="807"/>
      <c r="N25" s="807"/>
      <c r="O25" s="205"/>
      <c r="P25" s="810" t="s">
        <v>600</v>
      </c>
      <c r="Q25" s="205"/>
      <c r="R25" s="118"/>
      <c r="S25" s="118"/>
      <c r="T25" s="118"/>
      <c r="U25" s="199"/>
      <c r="V25" s="827"/>
      <c r="W25" s="383"/>
      <c r="X25" s="118"/>
      <c r="Y25" s="754">
        <f>H23+H25</f>
        <v>570.10699999999997</v>
      </c>
      <c r="Z25" s="835"/>
      <c r="AA25" s="118"/>
      <c r="AB25" s="206"/>
      <c r="AC25" s="206"/>
      <c r="AD25" s="206"/>
      <c r="AE25" s="206"/>
      <c r="AF25" s="439" t="s">
        <v>740</v>
      </c>
      <c r="AG25" s="118"/>
    </row>
    <row r="26" spans="1:33" ht="15" customHeight="1" thickBot="1">
      <c r="A26" s="827"/>
      <c r="B26" s="448" t="s">
        <v>550</v>
      </c>
      <c r="C26" s="805" t="s">
        <v>741</v>
      </c>
      <c r="D26" s="700" t="s">
        <v>724</v>
      </c>
      <c r="E26" s="463" t="s">
        <v>725</v>
      </c>
      <c r="F26" s="390">
        <f>'Interactive Data Grading'!D247</f>
        <v>10</v>
      </c>
      <c r="G26" s="79"/>
      <c r="H26" s="727">
        <f>IF(OR(W26=1,AND(W26=2,Q26=0)),O26*SUM(H23:H24),Q26)</f>
        <v>18.829000000000001</v>
      </c>
      <c r="I26" s="468"/>
      <c r="J26" s="807" t="str">
        <f>IF('Start Page'!$AB$22="million gallons (US)","MG/Yr",IF('Start Page'!$AB$22="Megalitres (thousand cubic metres)","ML/Yr",IF('Start Page'!$AB$22="acre-feet","Acre-ft/Yr","")))</f>
        <v>MG/Yr</v>
      </c>
      <c r="K26" s="807"/>
      <c r="L26" s="807"/>
      <c r="M26" s="807"/>
      <c r="N26" s="807"/>
      <c r="O26" s="391">
        <v>2.5000000000000001E-3</v>
      </c>
      <c r="P26" s="524" t="s">
        <v>615</v>
      </c>
      <c r="Q26" s="992">
        <v>18.829000000000001</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743</v>
      </c>
      <c r="D30" s="1010"/>
      <c r="E30" s="1010"/>
      <c r="F30" s="1010"/>
      <c r="G30" s="205"/>
      <c r="H30" s="727">
        <f>SUM(H23:H26)</f>
        <v>588.93599999999992</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130.5498979591838</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600</v>
      </c>
      <c r="Q38" s="468"/>
      <c r="R38" s="118"/>
      <c r="S38" s="118"/>
      <c r="T38" s="387"/>
      <c r="U38" s="199"/>
      <c r="V38" s="827"/>
      <c r="W38" s="385"/>
      <c r="X38" s="118"/>
      <c r="Y38" s="118"/>
      <c r="Z38" s="118"/>
      <c r="AA38" s="118"/>
      <c r="AB38" s="206"/>
      <c r="AC38" s="206"/>
    </row>
    <row r="39" spans="1:29" ht="13.35" customHeight="1">
      <c r="A39" s="827"/>
      <c r="B39" s="448" t="s">
        <v>554</v>
      </c>
      <c r="C39" s="805" t="s">
        <v>746</v>
      </c>
      <c r="D39" s="700" t="s">
        <v>724</v>
      </c>
      <c r="E39" s="463" t="s">
        <v>725</v>
      </c>
      <c r="F39" s="390">
        <f>'Interactive Data Grading'!D271</f>
        <v>3</v>
      </c>
      <c r="G39" s="152"/>
      <c r="H39" s="847">
        <f>IF(OR(W39=1,AND(W39=2,Q39=0)),O39*SUM(H23:H24),Q39)</f>
        <v>1.4250649999999998</v>
      </c>
      <c r="I39" s="728"/>
      <c r="J39" s="807" t="str">
        <f>IF('Start Page'!$AB$22="million gallons (US)","MG/Yr",IF('Start Page'!$AB$22="Megalitres (thousand cubic metres)","ML/Yr",IF('Start Page'!$AB$22="acre-feet","Acre-ft/Yr","")))</f>
        <v>MG/Yr</v>
      </c>
      <c r="K39" s="807"/>
      <c r="L39" s="807"/>
      <c r="M39" s="807"/>
      <c r="N39" s="807"/>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747</v>
      </c>
      <c r="D41" s="700" t="s">
        <v>724</v>
      </c>
      <c r="E41" s="463" t="s">
        <v>725</v>
      </c>
      <c r="F41" s="390">
        <f>'Interactive Data Grading'!D300</f>
        <v>7</v>
      </c>
      <c r="G41" s="152"/>
      <c r="H41" s="848">
        <f>IF(OR(T41="Select…..",T41=""),"Select under/over",IF(W41=1,((H23+H25)/(1-(O41*X41)))-(H23+H25),Q41*X41))</f>
        <v>11.634836734693863</v>
      </c>
      <c r="I41" s="728"/>
      <c r="J41" s="807" t="str">
        <f>IF('Start Page'!$AB$22="million gallons (US)","MG/Yr",IF('Start Page'!$AB$22="Megalitres (thousand cubic metres)","ML/Yr",IF('Start Page'!$AB$22="acre-feet","Acre-ft/Yr","")))</f>
        <v>MG/Yr</v>
      </c>
      <c r="K41" s="807"/>
      <c r="L41" s="807"/>
      <c r="M41" s="807"/>
      <c r="N41" s="807"/>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724</v>
      </c>
      <c r="E43" s="463" t="s">
        <v>725</v>
      </c>
      <c r="F43" s="390">
        <f>'Interactive Data Grading'!D322</f>
        <v>3</v>
      </c>
      <c r="G43" s="152"/>
      <c r="H43" s="727">
        <f>IF(OR(W43=1,AND(W43=2,Q43=0)),O43*SUM(H23:H24),Q43)</f>
        <v>1.4250649999999998</v>
      </c>
      <c r="I43" s="728"/>
      <c r="J43" s="807" t="str">
        <f>IF('Start Page'!$AB$22="million gallons (US)","MG/Yr",IF('Start Page'!$AB$22="Megalitres (thousand cubic metres)","ML/Yr",IF('Start Page'!$AB$22="acre-feet","Acre-ft/Yr","")))</f>
        <v>MG/Yr</v>
      </c>
      <c r="K43" s="807"/>
      <c r="L43" s="807"/>
      <c r="M43" s="807"/>
      <c r="N43" s="807"/>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14.484966734693863</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11.633183673469375</v>
      </c>
      <c r="Y50" s="854">
        <f>IFERROR(IF(W41=1,((H25)/(1-(O41*X41)))-(H25),Q41*H25/(H23+H25)),0)</f>
        <v>1.6530612244897991E-3</v>
      </c>
      <c r="Z50" s="855">
        <f>SUM(X50:Y50)</f>
        <v>11.634836734693865</v>
      </c>
      <c r="AA50" s="1029"/>
      <c r="AB50" s="1029"/>
      <c r="AC50" s="1029"/>
    </row>
    <row r="51" spans="1:29">
      <c r="A51" s="827"/>
      <c r="B51" s="448"/>
      <c r="C51" s="1009" t="s">
        <v>754</v>
      </c>
      <c r="D51" s="1009"/>
      <c r="E51" s="1009"/>
      <c r="F51" s="1009"/>
      <c r="G51" s="728"/>
      <c r="H51" s="727">
        <f>IFERROR(H35-H46,"")</f>
        <v>116.06493122448992</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161352.25755102022</v>
      </c>
      <c r="Y51" s="856">
        <f>Y50*input_VPC</f>
        <v>1.0172938775510223</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130.5498979591838</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149.45989795918379</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724</v>
      </c>
      <c r="E61" s="463" t="s">
        <v>725</v>
      </c>
      <c r="F61" s="390">
        <f>'Interactive Data Grading'!D350</f>
        <v>10</v>
      </c>
      <c r="G61" s="47"/>
      <c r="H61" s="256">
        <v>122</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724</v>
      </c>
      <c r="E62" s="463" t="s">
        <v>725</v>
      </c>
      <c r="F62" s="390">
        <f>'Interactive Data Grading'!D374</f>
        <v>10</v>
      </c>
      <c r="G62" s="47"/>
      <c r="H62" s="396">
        <v>7149</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58.598360655737707</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5" t="s">
        <v>766</v>
      </c>
      <c r="D66" s="700" t="s">
        <v>724</v>
      </c>
      <c r="E66" s="463" t="s">
        <v>725</v>
      </c>
      <c r="F66" s="390">
        <f>'Interactive Data Grading'!D398</f>
        <v>10</v>
      </c>
      <c r="G66" s="47"/>
      <c r="H66" s="256">
        <v>19.399999999999999</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19.399999999999999</v>
      </c>
      <c r="X67" s="171" t="s">
        <v>769</v>
      </c>
      <c r="Y67" s="171"/>
      <c r="Z67" s="171"/>
    </row>
    <row r="68" spans="1:26">
      <c r="A68" s="827"/>
      <c r="B68" s="448" t="s">
        <v>577</v>
      </c>
      <c r="C68" s="805" t="s">
        <v>770</v>
      </c>
      <c r="D68" s="700" t="s">
        <v>724</v>
      </c>
      <c r="E68" s="463" t="s">
        <v>725</v>
      </c>
      <c r="F68" s="390">
        <f>'Interactive Data Grading'!D422</f>
        <v>10</v>
      </c>
      <c r="G68" s="47"/>
      <c r="H68" s="256">
        <v>79.400000000000006</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5" t="s">
        <v>774</v>
      </c>
      <c r="D76" s="700" t="s">
        <v>724</v>
      </c>
      <c r="E76" s="425" t="s">
        <v>725</v>
      </c>
      <c r="F76" s="390">
        <f>'Interactive Data Grading'!D446</f>
        <v>10</v>
      </c>
      <c r="G76" s="118"/>
      <c r="H76" s="864">
        <v>13.87</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584</v>
      </c>
      <c r="C77" s="805" t="s">
        <v>777</v>
      </c>
      <c r="D77" s="700" t="s">
        <v>724</v>
      </c>
      <c r="E77" s="463" t="s">
        <v>725</v>
      </c>
      <c r="F77" s="390">
        <f>'Interactive Data Grading'!D469</f>
        <v>10</v>
      </c>
      <c r="G77" s="118"/>
      <c r="H77" s="864">
        <v>615.4</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2687876</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Indiana District 410</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62</v>
      </c>
      <c r="E115" s="628"/>
      <c r="F115" s="258"/>
      <c r="H115" s="669" t="s">
        <v>825</v>
      </c>
      <c r="I115" s="676"/>
      <c r="J115" s="669" t="s">
        <v>804</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t="s">
        <v>52</v>
      </c>
      <c r="E118" s="628" t="str">
        <f>IFERROR(IF(OR($D$127=10,NOT(ISNUMBER($D$127))),"",IF(I118=$I$127,"Limiting","")),"")</f>
        <v>Limiting</v>
      </c>
      <c r="F118" s="258"/>
      <c r="G118" s="669">
        <f>IFERROR(IF(H116&lt;7,1,IF(LEN(D118)&gt;0,1,0)),"")</f>
        <v>1</v>
      </c>
      <c r="H118" s="677">
        <f>VLOOKUP('Interactive Data Grading'!D118,WE!$D$6:$M$16,10,FALSE)</f>
        <v>7</v>
      </c>
      <c r="I118" s="678">
        <f>IF(AND(H118&gt;=7,H121&gt;=7),MAX(H118,9),IF(AND(H118&gt;3,H118&lt;7,H121&gt;3,H121&lt;7),MAX(H118,H121),IF(H121&gt;=7,MAX(7,H118),H118)))</f>
        <v>9</v>
      </c>
    </row>
    <row r="119" spans="1:18" ht="25.9" customHeight="1">
      <c r="A119" s="163"/>
      <c r="B119" s="163" t="s">
        <v>145</v>
      </c>
      <c r="C119" s="743" t="str">
        <f>WE!B37</f>
        <v>What level of data transfer errors are checked as part of the electronic calibration process?</v>
      </c>
      <c r="D119" s="264" t="s">
        <v>61</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827</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60</v>
      </c>
      <c r="E121" s="628" t="str">
        <f t="shared" si="9"/>
        <v/>
      </c>
      <c r="F121" s="258"/>
      <c r="G121" s="669">
        <f>IFERROR(IF(H116&lt;7,1,IF(LEN(D121)&gt;0,1,0)),"")</f>
        <v>1</v>
      </c>
      <c r="H121" s="677">
        <f>VLOOKUP('Interactive Data Grading'!D121,WE!$G$6:$M$16,7,FALSE)</f>
        <v>10</v>
      </c>
      <c r="I121" s="678">
        <f>IF(AND(H118&gt;=7,H121&gt;=7),MAX(H121,9),IF(AND(H118&gt;3,H118&lt;7,H121&gt;3,H121&lt;7),MAX(H118,H121),IF(H118&gt;=7,MAX(7,H121),H121)))</f>
        <v>10</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829</v>
      </c>
    </row>
    <row r="125" spans="1:18" ht="25.15" customHeight="1">
      <c r="A125" s="163"/>
      <c r="B125" s="163" t="s">
        <v>151</v>
      </c>
      <c r="C125" s="743" t="str">
        <f>WE!B43</f>
        <v>Which best describes the frequency of meter readings (data collection frequency as opposed to billing frequency)?</v>
      </c>
      <c r="D125" s="264" t="s">
        <v>64</v>
      </c>
      <c r="E125" s="628" t="str">
        <f t="shared" si="9"/>
        <v/>
      </c>
      <c r="F125" s="258"/>
      <c r="G125" s="669">
        <f>IFERROR(IF(H116&lt;7,1,IF(LEN(D125)&gt;0,1,0)),"")</f>
        <v>1</v>
      </c>
      <c r="H125" s="677">
        <f>VLOOKUP('Interactive Data Grading'!D125,WE!$K$6:$M$16,3,FALSE)</f>
        <v>10</v>
      </c>
      <c r="I125" s="677">
        <f>H125</f>
        <v>10</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8" t="str">
        <f t="shared" si="9"/>
        <v/>
      </c>
      <c r="F126" s="258"/>
      <c r="G126" s="669">
        <f>IFERROR(IF(H116&lt;7,1,IF(LEN(D126)&gt;0,1,0)),"")</f>
        <v>1</v>
      </c>
      <c r="H126" s="677">
        <f>VLOOKUP('Interactive Data Grading'!D126,WE!$L$6:$M$16,2,FALSE)</f>
        <v>10</v>
      </c>
      <c r="I126" s="677">
        <f>H126</f>
        <v>10</v>
      </c>
    </row>
    <row r="127" spans="1:18" ht="27.6" customHeight="1">
      <c r="A127" s="163"/>
      <c r="B127" s="163"/>
      <c r="C127" s="259" t="s">
        <v>808</v>
      </c>
      <c r="D127" s="631">
        <f>IF(D115="","",IF(D115="No","n/a",IF(G127=0,"",IF(R9=0,H116,I127))))</f>
        <v>9</v>
      </c>
      <c r="E127" s="628"/>
      <c r="F127" s="258"/>
      <c r="G127" s="669">
        <f>MIN(G116:G126)</f>
        <v>1</v>
      </c>
      <c r="H127" s="680">
        <f>MIN(H116:H126)</f>
        <v>7</v>
      </c>
      <c r="I127" s="680">
        <f t="array" ref="I127">MIN(IF(ISNUMBER(I116:I126),I116:I126))</f>
        <v>9</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Indiana District 410</v>
      </c>
      <c r="Q3" s="552"/>
      <c r="R3" s="552"/>
      <c r="S3" s="552"/>
      <c r="T3" s="552"/>
      <c r="U3" s="552"/>
      <c r="V3" s="552"/>
      <c r="W3" s="552"/>
      <c r="X3" s="552"/>
      <c r="Y3" s="552"/>
      <c r="Z3" s="552"/>
      <c r="AA3" s="552"/>
      <c r="AB3" s="552"/>
      <c r="AC3" s="549"/>
      <c r="AD3" s="550"/>
      <c r="AE3" s="551"/>
      <c r="AF3" s="548" t="s">
        <v>706</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887</v>
      </c>
      <c r="J7" s="1049">
        <f>BR6</f>
        <v>92</v>
      </c>
      <c r="K7" s="1049"/>
      <c r="L7" s="655"/>
      <c r="M7" s="655"/>
      <c r="N7" s="655"/>
      <c r="O7" s="655"/>
      <c r="P7" s="655"/>
      <c r="Q7" s="654" t="s">
        <v>888</v>
      </c>
      <c r="R7" s="1048" t="str">
        <f>IF(BO2&gt;0,"",BR4)</f>
        <v>Tier V (91-100)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586</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92</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result is above 90th %ile</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38.090773062029491</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38.090773062029491</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38.090773062029491</v>
      </c>
      <c r="AB18" s="1059"/>
      <c r="AC18" s="1059"/>
      <c r="AD18" s="730" t="str">
        <f>BD13</f>
        <v>$/conn/year</v>
      </c>
      <c r="AE18" s="731"/>
      <c r="AF18" s="732"/>
      <c r="AG18" s="732"/>
      <c r="AH18" s="733"/>
      <c r="AI18" s="733"/>
      <c r="AJ18" s="731"/>
      <c r="AK18" s="1059">
        <f>BS22</f>
        <v>28.099675191620893</v>
      </c>
      <c r="AL18" s="1059"/>
      <c r="AM18" s="1059"/>
      <c r="AN18" s="730" t="str">
        <f>BD13</f>
        <v>$/conn/year</v>
      </c>
      <c r="AO18" s="731"/>
      <c r="AP18" s="731"/>
      <c r="AQ18" s="731"/>
      <c r="AR18" s="731"/>
      <c r="AS18" s="731"/>
      <c r="AT18" s="731"/>
      <c r="AU18" s="1059">
        <f>BS29</f>
        <v>9.991097870408602</v>
      </c>
      <c r="AV18" s="1059"/>
      <c r="AW18" s="1059"/>
      <c r="AX18" s="730" t="str">
        <f>BD13</f>
        <v>$/conn/year</v>
      </c>
      <c r="AY18" s="576"/>
      <c r="AZ18" s="193"/>
      <c r="BA18" s="193"/>
      <c r="BB18" s="272"/>
      <c r="BC18" s="89"/>
      <c r="BD18" s="50" t="s">
        <v>911</v>
      </c>
      <c r="BE18" s="182">
        <f>(((5.41*Worksheet!H61)+(0.15*Worksheet!H62)+(7.5*(Worksheet!H62*Worksheet!W67/5280)))*Worksheet!H68)/1000000*365</f>
        <v>55.915179002102278</v>
      </c>
      <c r="BN18" s="535"/>
      <c r="BO18" s="591" t="s">
        <v>928</v>
      </c>
      <c r="BP18" s="593">
        <f>BQ18-BQ17</f>
        <v>8.9525318444022357</v>
      </c>
      <c r="BQ18" s="758">
        <f t="shared" si="0"/>
        <v>18.283980813778896</v>
      </c>
      <c r="BR18" s="591" t="s">
        <v>900</v>
      </c>
      <c r="BS18" s="595">
        <f>SUM(BP16:BP20)-SUM(BS16,BS17)</f>
        <v>76.587205524706633</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171.59715848221762</v>
      </c>
      <c r="BF19" s="181">
        <f>BE19*325851.427242/Worksheet!H62/365</f>
        <v>21.428489472462775</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329.87521816500004</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28.099675191620893</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24.233075430263664</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23.845346223379444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50.030906883876391</v>
      </c>
      <c r="AB29" s="1063"/>
      <c r="AC29" s="1063"/>
      <c r="AD29" s="729" t="str">
        <f>BD10</f>
        <v>gal/conn/day</v>
      </c>
      <c r="AE29" s="729"/>
      <c r="AF29" s="734"/>
      <c r="AG29" s="734"/>
      <c r="AH29" s="575"/>
      <c r="AI29" s="575"/>
      <c r="AJ29" s="575"/>
      <c r="AK29" s="1063">
        <f>BS43</f>
        <v>5.5511037024792671</v>
      </c>
      <c r="AL29" s="1063"/>
      <c r="AM29" s="1063"/>
      <c r="AN29" s="730" t="str">
        <f>BD10</f>
        <v>gal/conn/day</v>
      </c>
      <c r="AO29" s="575"/>
      <c r="AP29" s="575"/>
      <c r="AQ29" s="575"/>
      <c r="AR29" s="575"/>
      <c r="AS29" s="575"/>
      <c r="AT29" s="575"/>
      <c r="AU29" s="1069">
        <f>BS55</f>
        <v>44.479803181397124</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9.991097870408602</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9.991097870408602</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79.400000000000006</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60.534832546127419</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50.030906883876391</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50.030906883876391</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198.26868130728624</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2.0757320873483418</v>
      </c>
      <c r="AI41" s="1068"/>
      <c r="AJ41" s="1068"/>
      <c r="AK41" s="729" t="s">
        <v>949</v>
      </c>
      <c r="AL41" s="661"/>
      <c r="AM41" s="662"/>
      <c r="AN41" s="658"/>
      <c r="AO41" s="658"/>
      <c r="AP41" s="658"/>
      <c r="AQ41" s="658"/>
      <c r="AR41" s="658"/>
      <c r="AS41" s="1067">
        <f>BS69</f>
        <v>2606.4435487197379</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55.915179002102278</v>
      </c>
      <c r="AL43" s="1065"/>
      <c r="AM43" s="1065"/>
      <c r="AN43" s="1065"/>
      <c r="AO43" s="773" t="str">
        <f>BD7</f>
        <v>MG/Yr</v>
      </c>
      <c r="AP43" s="575"/>
      <c r="AQ43" s="575"/>
      <c r="AR43" s="575"/>
      <c r="AS43" s="1065">
        <f>IF(BG19=1,BF19,IFERROR(AK43*1000000/Worksheet!H62/365,""))</f>
        <v>21.428489472462775</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5.5511037024792671</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5.5511037024792671</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26.829758892773903</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74">
        <f>IF(ISBLANK('Start Page'!$AB$22),"",Worksheet!H46)</f>
        <v>14.484966734693863</v>
      </c>
      <c r="J49" s="1074"/>
      <c r="K49" s="1074"/>
      <c r="L49" s="1074"/>
      <c r="M49" s="558"/>
      <c r="N49" s="1075">
        <f>IF(OR(ISBLANK('Start Page'!$AB$22),ISBLANK(Worksheet!J76)),"",(SUM(Worksheet!H43+Worksheet!H39+Worksheet!X50)*Worksheet!H76)*INDEX(Sheet1!B2:D4,MATCH('Start Page'!AB22,Sheet1!A2:A4,0),MATCH(Worksheet!J76,Sheet1!B1:D1,0))+Worksheet!Y50*Worksheet!H77)</f>
        <v>200884.57794489776</v>
      </c>
      <c r="O49" s="1075"/>
      <c r="P49" s="1075"/>
      <c r="Q49" s="1075"/>
      <c r="R49" s="1066" t="s">
        <v>580</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116.06493122448992</v>
      </c>
      <c r="J50" s="1074"/>
      <c r="K50" s="1074"/>
      <c r="L50" s="1074"/>
      <c r="M50" s="558"/>
      <c r="N50" s="1075">
        <f>IFERROR(IF(Worksheet!H41="Select under/over","",IF(ISBLANK('Start Page'!AB22),"",Worksheet!H51*(IF(BD29=FALSE,Worksheet!H77,IF(BD29=TRUE,Worksheet!H76*INDEX(Sheet1!B2:D4,MATCH('Start Page'!AB22,Sheet1!A2:A4,0),MATCH(Worksheet!J76,Sheet1!B1:D1,0)),""))))),"")</f>
        <v>71426.358675551091</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18.91</v>
      </c>
      <c r="J51" s="1074"/>
      <c r="K51" s="1074"/>
      <c r="L51" s="1074"/>
      <c r="M51" s="558"/>
      <c r="N51" s="1075">
        <f>IFERROR(IF(SUM(Sheet1!D90:D91)=0,"",SUM(Sheet1!D90:D91)),"")</f>
        <v>11637.214</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149.45989795918379</v>
      </c>
      <c r="J52" s="1074"/>
      <c r="K52" s="1074"/>
      <c r="L52" s="1074"/>
      <c r="M52" s="558"/>
      <c r="N52" s="1075">
        <f>IF(SUM(N49:N51)=0,"",SUM(N49:N51))</f>
        <v>283948.15062044881</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44.479803181397124</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44.479803181397124</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184.53922916781588</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2.0757320873483418</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2.0757320873483418</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9.1904456398209007</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2606.4435487197379</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2606.4435487197379</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9444.6253609807645</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27.065808526427517</v>
      </c>
      <c r="BQ83" s="608">
        <f>BP83+BQ78</f>
        <v>79.400000000000006</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Indiana District 410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c r="H7" s="1083"/>
    </row>
    <row r="8" spans="2:21" ht="5.45" customHeight="1">
      <c r="F8" s="814"/>
      <c r="G8" s="814"/>
      <c r="H8" s="814"/>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980</v>
      </c>
      <c r="G16" s="1080"/>
      <c r="H16" s="1080"/>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149 MG/Yr</v>
      </c>
    </row>
    <row r="79" spans="1:6" ht="16.5">
      <c r="B79" s="46"/>
      <c r="C79" s="46"/>
      <c r="D79" s="46"/>
      <c r="E79" s="8" t="str">
        <f>IFERROR("Total Cost of NRW = $"&amp;TEXT(SUM(D90,D91,D94,D95,D96,D97,D99),"#,###")&amp;"/Yr","")</f>
        <v>Total Cost of NRW = $283,948/Yr</v>
      </c>
      <c r="F79" s="46"/>
    </row>
    <row r="80" spans="1:6">
      <c r="A80"/>
      <c r="B80"/>
      <c r="C80" s="47" t="str">
        <f>"Volume ("&amp;Worksheet!J15&amp;")"</f>
        <v>Volume (MG/Yr)</v>
      </c>
      <c r="D80" s="47" t="s">
        <v>1041</v>
      </c>
      <c r="E80" s="79" t="s">
        <v>1042</v>
      </c>
      <c r="F80"/>
    </row>
    <row r="81" spans="1:6">
      <c r="A81" s="118" t="s">
        <v>1043</v>
      </c>
      <c r="B81" s="118"/>
      <c r="C81" s="100">
        <f>IF(Dashboard!BO$2&gt;0,"",Worksheet!H15)</f>
        <v>726.27300000000002</v>
      </c>
      <c r="D81" s="872">
        <f>IF(Dashboard!BO$2&gt;0,"",C81*(Worksheet!$H$77))</f>
        <v>446948.40419999999</v>
      </c>
      <c r="E81" s="489">
        <f>D81</f>
        <v>446948.40419999999</v>
      </c>
      <c r="F81" s="75" t="s">
        <v>1044</v>
      </c>
    </row>
    <row r="82" spans="1:6">
      <c r="A82" s="118" t="str">
        <f>A81&amp;" MA"</f>
        <v>Vol. from own sources: MA</v>
      </c>
      <c r="B82" s="118"/>
      <c r="C82" s="100">
        <f>IF(Dashboard!BO$2&gt;0,"",Worksheet!X15)</f>
        <v>14.525460000000001</v>
      </c>
      <c r="D82" s="872">
        <f>IF(Dashboard!BO$2&gt;0,"",C82*(Worksheet!$H$77))</f>
        <v>8938.9680840000001</v>
      </c>
      <c r="E82" s="489">
        <f t="shared" ref="E82:E100" si="0">D82</f>
        <v>8938.9680840000001</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21.609000000000002</v>
      </c>
      <c r="D85" s="872">
        <f>IF(Dashboard!BO$2&gt;0,"",C85*(Worksheet!$H$77))</f>
        <v>13298.178600000001</v>
      </c>
      <c r="E85" s="489">
        <f t="shared" si="0"/>
        <v>13298.178600000001</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719.48589795918372</v>
      </c>
      <c r="D87" s="872">
        <f>IF(Dashboard!BO$2&gt;0,"",C87*(Worksheet!$H$77))</f>
        <v>442771.62160408165</v>
      </c>
      <c r="E87" s="489">
        <f t="shared" si="0"/>
        <v>442771.62160408165</v>
      </c>
      <c r="F87"/>
    </row>
    <row r="88" spans="1:6">
      <c r="A88" s="118" t="s">
        <v>1047</v>
      </c>
      <c r="B88"/>
      <c r="C88" s="100">
        <f>IF(Dashboard!BO$2&gt;0,"",Worksheet!H23)</f>
        <v>570.02599999999995</v>
      </c>
      <c r="D88" s="872">
        <f>IF(Dashboard!BO$2&gt;0,"",C88*(Worksheet!$H$76*1000))</f>
        <v>7906260.6199999992</v>
      </c>
      <c r="E88" s="489">
        <f t="shared" si="0"/>
        <v>7906260.6199999992</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8.1000000000000003E-2</v>
      </c>
      <c r="D90" s="873">
        <f>IF(Dashboard!BO$2&gt;0,"",IF(ISBLANK('Start Page'!AB22),"",IF(AND(ISBLANK(Worksheet!H77),Worksheet!Z77&lt;&gt;1),"",Worksheet!H25*(IF(Dashboard!BD29=FALSE,Worksheet!H77,IF(Dashboard!BD29=TRUE,Worksheet!H76*INDEX(Sheet1!B2:D4,MATCH('Start Page'!AB22,Sheet1!A2:A4,0),MATCH(Worksheet!J76,Sheet1!B1:D1,0)),""))))))</f>
        <v>49.8474</v>
      </c>
      <c r="E90" s="796">
        <f t="shared" si="0"/>
        <v>49.8474</v>
      </c>
      <c r="F90"/>
    </row>
    <row r="91" spans="1:6">
      <c r="A91" s="797" t="str">
        <f>"Unbilled Unmetered (UUAC) valued at "&amp;A76&amp;""</f>
        <v xml:space="preserve">Unbilled Unmetered (UUAC) valued at </v>
      </c>
      <c r="B91" s="794"/>
      <c r="C91" s="795">
        <f>IF(Dashboard!BO$2&gt;0,"",Worksheet!H26)</f>
        <v>18.829000000000001</v>
      </c>
      <c r="D91" s="873">
        <f>IF(Dashboard!BO$2&gt;0,"",IF(ISBLANK('Start Page'!AB22),"",IF(AND(ISBLANK(Worksheet!H77),Worksheet!Z77&lt;&gt;1),"",Worksheet!H26*(IF(Dashboard!BD29=FALSE,Worksheet!H77,IF(Dashboard!BD29=TRUE,Worksheet!H76*INDEX(Sheet1!B2:D4,MATCH('Start Page'!AB22,Sheet1!A2:A4,0),MATCH(Worksheet!J76,Sheet1!B1:D1,0)),""))))))</f>
        <v>11587.366599999999</v>
      </c>
      <c r="E91" s="796">
        <f t="shared" si="0"/>
        <v>11587.366599999999</v>
      </c>
      <c r="F91"/>
    </row>
    <row r="92" spans="1:6">
      <c r="A92" s="118" t="s">
        <v>1049</v>
      </c>
      <c r="B92" s="874" t="s">
        <v>1050</v>
      </c>
      <c r="C92" s="100">
        <f>IF(Dashboard!BO$2&gt;0,"",Worksheet!H30)</f>
        <v>588.93599999999992</v>
      </c>
      <c r="D92" s="872">
        <f>IF(Dashboard!BO$2&gt;0,"",C92*(Worksheet!$H$76*1000))</f>
        <v>8168542.3199999994</v>
      </c>
      <c r="E92" s="489">
        <f t="shared" si="0"/>
        <v>8168542.3199999994</v>
      </c>
      <c r="F92"/>
    </row>
    <row r="93" spans="1:6">
      <c r="A93" t="s">
        <v>1051</v>
      </c>
      <c r="B93"/>
      <c r="C93" s="100">
        <f>IF(Dashboard!BO$2&gt;0,"",Worksheet!H35)</f>
        <v>130.5498979591838</v>
      </c>
      <c r="D93" s="872"/>
      <c r="E93" s="489">
        <f t="shared" si="0"/>
        <v>0</v>
      </c>
      <c r="F93"/>
    </row>
    <row r="94" spans="1:6">
      <c r="A94" s="171" t="s">
        <v>1052</v>
      </c>
      <c r="B94" s="118"/>
      <c r="C94" s="102">
        <f>IF(Dashboard!BO$2&gt;0,"",Worksheet!H43)</f>
        <v>1.4250649999999998</v>
      </c>
      <c r="D94" s="875">
        <f>IF(Dashboard!BO$2&gt;0,"",IF(ISBLANK('Start Page'!AB22),"",IF(AND(ISBLANK(Worksheet!H77),Worksheet!Z77&lt;&gt;1),"",C94*Worksheet!H76*INDEX(Sheet1!B2:D4,MATCH('Start Page'!AB22,Sheet1!A2:A4,0),MATCH(Worksheet!J76,Sheet1!B1:D1,0)))))</f>
        <v>19765.651549999999</v>
      </c>
      <c r="E94" s="490">
        <f t="shared" si="0"/>
        <v>19765.651549999999</v>
      </c>
      <c r="F94" s="103"/>
    </row>
    <row r="95" spans="1:6">
      <c r="A95" s="785" t="s">
        <v>1053</v>
      </c>
      <c r="B95" s="785"/>
      <c r="C95" s="786">
        <f>Worksheet!X50</f>
        <v>11.633183673469375</v>
      </c>
      <c r="D95" s="876">
        <f>IF(Dashboard!BO$2&gt;0,"",IF(ISBLANK('Start Page'!AB22),"",IF(AND(ISBLANK(Worksheet!H77),Worksheet!Z77&lt;&gt;1),"",C95*Worksheet!H76*INDEX(Sheet1!B2:D4,MATCH('Start Page'!AB22,Sheet1!A2:A4,0),MATCH(Worksheet!J76,Sheet1!B1:D1,0)))))</f>
        <v>161352.25755102022</v>
      </c>
      <c r="E95" s="787">
        <f t="shared" si="0"/>
        <v>161352.25755102022</v>
      </c>
      <c r="F95" s="103"/>
    </row>
    <row r="96" spans="1:6">
      <c r="A96" s="785" t="s">
        <v>1054</v>
      </c>
      <c r="B96" s="785"/>
      <c r="C96" s="786">
        <f>Worksheet!Y50</f>
        <v>1.6530612244897991E-3</v>
      </c>
      <c r="D96" s="876">
        <f>C96*input_VPC</f>
        <v>1.0172938775510223</v>
      </c>
      <c r="E96" s="787">
        <f t="shared" si="0"/>
        <v>1.0172938775510223</v>
      </c>
      <c r="F96" s="788" t="s">
        <v>1055</v>
      </c>
    </row>
    <row r="97" spans="1:7">
      <c r="A97" s="171" t="s">
        <v>1056</v>
      </c>
      <c r="B97" s="118"/>
      <c r="C97" s="102">
        <f>IF(Dashboard!BO$2&gt;0,"",Worksheet!H39)</f>
        <v>1.4250649999999998</v>
      </c>
      <c r="D97" s="875">
        <f>IF(Dashboard!BO$2&gt;0,"",IF(ISBLANK('Start Page'!AB22),"",IF(AND(ISBLANK(Worksheet!H77),Worksheet!Z77&lt;&gt;1),"",C97*Worksheet!H76*INDEX(Sheet1!B2:D4,MATCH('Start Page'!AB22,Sheet1!A2:A4,0),MATCH(Worksheet!J76,Sheet1!B1:D1,0)))))</f>
        <v>19765.651549999999</v>
      </c>
      <c r="E97" s="490">
        <f t="shared" si="0"/>
        <v>19765.651549999999</v>
      </c>
      <c r="F97" s="103"/>
    </row>
    <row r="98" spans="1:7">
      <c r="A98" s="792" t="s">
        <v>749</v>
      </c>
      <c r="B98" s="792"/>
      <c r="C98" s="793">
        <f>IF(Dashboard!BO$2&gt;0,"",Worksheet!H46)</f>
        <v>14.484966734693863</v>
      </c>
      <c r="D98" s="877">
        <f>IF(Dashboard!BO$2&gt;0,"",SUM(D94:D97))</f>
        <v>200884.57794489778</v>
      </c>
      <c r="E98" s="489">
        <f t="shared" si="0"/>
        <v>200884.57794489778</v>
      </c>
      <c r="F98"/>
    </row>
    <row r="99" spans="1:7">
      <c r="A99" s="171" t="str">
        <f>"Real Losses valued at "&amp;A76&amp;""</f>
        <v xml:space="preserve">Real Losses valued at </v>
      </c>
      <c r="B99" s="118"/>
      <c r="C99" s="102">
        <f>IF(Dashboard!BO$2&gt;0,"",Worksheet!H51)</f>
        <v>116.06493122448992</v>
      </c>
      <c r="D99" s="878">
        <f>IF(Dashboard!BO$2&gt;0,"",Dashboard!N50)</f>
        <v>71426.358675551091</v>
      </c>
      <c r="E99" s="490">
        <f t="shared" si="0"/>
        <v>71426.358675551091</v>
      </c>
      <c r="F99" s="489"/>
    </row>
    <row r="100" spans="1:7">
      <c r="A100" t="s">
        <v>757</v>
      </c>
      <c r="B100"/>
      <c r="C100" s="100">
        <f>IF(Dashboard!BO$2&gt;0,"",Worksheet!H57)</f>
        <v>149.45989795918379</v>
      </c>
      <c r="D100" s="101">
        <f>IF(Dashboard!BO$2&gt;0,"",D98+D99+D90+D91)</f>
        <v>283948.15062044893</v>
      </c>
      <c r="E100" s="489">
        <f t="shared" si="0"/>
        <v>283948.15062044893</v>
      </c>
      <c r="F100"/>
      <c r="G100" s="104"/>
    </row>
    <row r="101" spans="1:7">
      <c r="A101" s="789"/>
    </row>
    <row r="102" spans="1:7">
      <c r="A102" s="789" t="s">
        <v>1057</v>
      </c>
      <c r="C102" s="790">
        <f>C95+C96</f>
        <v>11.634836734693865</v>
      </c>
      <c r="D102" s="104">
        <f>D95+D96</f>
        <v>161353.27484489777</v>
      </c>
      <c r="E102" s="104">
        <f>E95+E96</f>
        <v>161353.27484489777</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Indiana District 410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21.609000000000002</v>
      </c>
      <c r="E10" s="1107"/>
      <c r="F10" s="1108"/>
      <c r="G10" s="1109"/>
      <c r="H10" s="278">
        <f>D10</f>
        <v>21.609000000000002</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570.02599999999995</v>
      </c>
      <c r="H12" s="881"/>
      <c r="I12" s="4"/>
      <c r="K12" s="756"/>
    </row>
    <row r="13" spans="2:16" ht="22.5" customHeight="1">
      <c r="B13" s="1089"/>
      <c r="C13" s="288"/>
      <c r="D13" s="286"/>
      <c r="E13" s="1098"/>
      <c r="F13" s="290">
        <f>Worksheet!H23+Worksheet!H24</f>
        <v>570.02599999999995</v>
      </c>
      <c r="G13" s="485" t="s">
        <v>1069</v>
      </c>
      <c r="H13" s="291">
        <f>SUM(G12+G14)</f>
        <v>570.02599999999995</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588.93599999999992</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8.1000000000000003E-2</v>
      </c>
      <c r="H16" s="1097"/>
      <c r="I16" s="4"/>
      <c r="K16" s="118"/>
    </row>
    <row r="17" spans="2:16" ht="22.5" customHeight="1">
      <c r="B17" s="299">
        <f>Worksheet!AG15</f>
        <v>741.09489795918375</v>
      </c>
      <c r="C17" s="300"/>
      <c r="D17" s="301"/>
      <c r="E17" s="194"/>
      <c r="F17" s="302">
        <f>Worksheet!H25+Worksheet!H26</f>
        <v>18.91</v>
      </c>
      <c r="G17" s="289" t="s">
        <v>1074</v>
      </c>
      <c r="H17" s="881"/>
      <c r="I17" s="4"/>
      <c r="K17" s="118"/>
      <c r="L17" s="99"/>
      <c r="M17" s="99"/>
      <c r="N17" s="99"/>
      <c r="O17" s="99"/>
      <c r="P17" s="99"/>
    </row>
    <row r="18" spans="2:16" ht="15.75" customHeight="1">
      <c r="B18" s="297"/>
      <c r="C18" s="1110" t="s">
        <v>1075</v>
      </c>
      <c r="D18" s="286"/>
      <c r="E18" s="303"/>
      <c r="F18" s="294"/>
      <c r="G18" s="304">
        <f>Worksheet!H26</f>
        <v>18.829000000000001</v>
      </c>
      <c r="H18" s="881"/>
      <c r="I18" s="4"/>
      <c r="K18" s="118"/>
    </row>
    <row r="19" spans="2:16" ht="22.5" customHeight="1">
      <c r="B19" s="297"/>
      <c r="C19" s="1110"/>
      <c r="D19" s="815" t="s">
        <v>1076</v>
      </c>
      <c r="E19" s="282"/>
      <c r="F19" s="884"/>
      <c r="G19" s="485" t="s">
        <v>1077</v>
      </c>
      <c r="H19" s="305">
        <f>Worksheet!H25+Worksheet!H26+Worksheet!H46+Worksheet!H51</f>
        <v>149.45989795918379</v>
      </c>
      <c r="I19" s="4"/>
      <c r="K19" s="118"/>
      <c r="L19" s="99"/>
      <c r="M19" s="99"/>
      <c r="N19" s="99"/>
      <c r="O19" s="99"/>
      <c r="P19" s="99"/>
    </row>
    <row r="20" spans="2:16" ht="15.75" customHeight="1">
      <c r="B20" s="297"/>
      <c r="C20" s="306">
        <f>B17+B27</f>
        <v>741.09489795918375</v>
      </c>
      <c r="D20" s="286"/>
      <c r="E20" s="194"/>
      <c r="F20" s="307" t="s">
        <v>745</v>
      </c>
      <c r="G20" s="298">
        <f>Worksheet!H39</f>
        <v>1.4250649999999998</v>
      </c>
      <c r="H20" s="881"/>
      <c r="I20" s="4"/>
      <c r="K20" s="118"/>
    </row>
    <row r="21" spans="2:16" ht="14.25" customHeight="1">
      <c r="B21" s="308"/>
      <c r="C21" s="309"/>
      <c r="D21" s="306">
        <f>Worksheet!H19</f>
        <v>719.48589795918372</v>
      </c>
      <c r="E21" s="310"/>
      <c r="F21" s="302">
        <f>Worksheet!H46</f>
        <v>14.484966734693863</v>
      </c>
      <c r="G21" s="289" t="s">
        <v>1078</v>
      </c>
      <c r="H21" s="881"/>
      <c r="I21" s="4"/>
      <c r="K21" s="118"/>
      <c r="L21" s="99"/>
      <c r="M21" s="99"/>
      <c r="N21" s="99"/>
      <c r="O21" s="99"/>
      <c r="P21" s="99"/>
    </row>
    <row r="22" spans="2:16" ht="15.75" customHeight="1">
      <c r="B22" s="297"/>
      <c r="C22" s="285"/>
      <c r="D22" s="286"/>
      <c r="E22" s="194"/>
      <c r="F22" s="310"/>
      <c r="G22" s="311">
        <f>Worksheet!H41</f>
        <v>11.634836734693863</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1.4250649999999998</v>
      </c>
      <c r="H24" s="881"/>
      <c r="I24" s="4"/>
      <c r="K24" s="118"/>
    </row>
    <row r="25" spans="2:16" ht="26.25" customHeight="1">
      <c r="B25" s="1088" t="s">
        <v>1080</v>
      </c>
      <c r="C25" s="288"/>
      <c r="D25" s="286"/>
      <c r="E25" s="313">
        <f>Worksheet!H53</f>
        <v>130.5498979591838</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116.06493122448992</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705</v>
      </c>
      <c r="G4" s="1141" t="str">
        <f>IF(ISBLANK('Start Page'!AB9),"&lt;&lt; Please enter system details on the Start Page &gt;&gt;",'Start Page'!AB9&amp;IF(ISBLANK('Start Page'!AM28),"","  ("&amp;'Start Page'!AM28&amp;")"))</f>
        <v>PAW- Indiana District 410</v>
      </c>
      <c r="H4" s="1142"/>
      <c r="I4" s="1142"/>
      <c r="J4" s="1142"/>
      <c r="K4" s="1142"/>
      <c r="L4" s="1142"/>
      <c r="M4" s="1142"/>
      <c r="N4" s="1142"/>
      <c r="O4" s="1143"/>
      <c r="S4" s="323"/>
      <c r="T4" s="91"/>
    </row>
    <row r="5" spans="1:20" ht="17.100000000000001" customHeight="1">
      <c r="A5" s="96"/>
      <c r="B5" s="322"/>
      <c r="E5"/>
      <c r="F5" s="274" t="s">
        <v>706</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V (91-100)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33.341167726769093</v>
      </c>
      <c r="AF98" s="35">
        <f t="shared" ref="AF98:AF103" si="0">AE98</f>
        <v>33.341167726769093</v>
      </c>
      <c r="AG98" s="35">
        <f>IF(AE98&lt;&gt;0,AF98/10,0)</f>
        <v>3.3341167726769094</v>
      </c>
      <c r="AH98" s="35">
        <f>IFERROR(AD98*AG98,0)</f>
        <v>33.341167726769093</v>
      </c>
      <c r="AI98" s="35">
        <f t="shared" ref="AI98:AI117" si="1">IF(AG98=0,0,AF98-AH98)</f>
        <v>0</v>
      </c>
      <c r="AJ98">
        <f t="array" aca="1" ref="AJ98" ca="1">SUM(1*(AI98&lt;$AI$98:$AI$117))+1+IF(ROW(AI98)-ROW($AI$98)=0,0,SUM(1*(AI98=OFFSET($AI$98,0,0,INDEX(ROW(AI98)-ROW($AI$98)+1,1)-1,1))))</f>
        <v>6</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0.66682335453538188</v>
      </c>
      <c r="AF99" s="35">
        <f t="shared" si="0"/>
        <v>0.66682335453538188</v>
      </c>
      <c r="AG99" s="35">
        <f t="shared" ref="AG99:AG117" si="3">IF(AE99&lt;&gt;0,AF99/10,0)</f>
        <v>6.6682335453538188E-2</v>
      </c>
      <c r="AH99" s="35">
        <f t="shared" ref="AH99:AH106" si="4">IFERROR(AD99*AG99,0)</f>
        <v>0.6001410190818437</v>
      </c>
      <c r="AI99" s="35">
        <f t="shared" si="1"/>
        <v>6.6682335453538188E-2</v>
      </c>
      <c r="AJ99">
        <f t="array" aca="1" ref="AJ99" ca="1">SUM(1*(AI99&lt;$AI$98:$AI$117))+1+IF(ROW(AI99)-ROW($AI$98)=0,0,SUM(1*(AI99=OFFSET($AI$98,0,0,INDEX(ROW(AI99)-ROW($AI$98)+1,1)-1,1))))</f>
        <v>5</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7</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8</v>
      </c>
      <c r="AK101" s="118" t="str">
        <f t="shared" si="5"/>
        <v>WI Error Adjustment (WIEA)</v>
      </c>
      <c r="AL101">
        <f t="shared" si="6"/>
        <v>0</v>
      </c>
      <c r="AM101">
        <f t="shared" si="7"/>
        <v>0</v>
      </c>
      <c r="AN101">
        <f t="shared" si="2"/>
        <v>0</v>
      </c>
    </row>
    <row r="102" spans="28:40">
      <c r="AC102" s="164" t="s">
        <v>1158</v>
      </c>
      <c r="AD102" s="36">
        <f>IF(Worksheet!F17="n/a",0,Worksheet!F17)</f>
        <v>9</v>
      </c>
      <c r="AE102" s="56">
        <f>Worksheet!Y17</f>
        <v>0.99200891869552277</v>
      </c>
      <c r="AF102" s="35">
        <f t="shared" si="0"/>
        <v>0.99200891869552277</v>
      </c>
      <c r="AG102" s="35">
        <f t="shared" si="3"/>
        <v>9.9200891869552277E-2</v>
      </c>
      <c r="AH102" s="35">
        <f t="shared" si="4"/>
        <v>0.89280802682597049</v>
      </c>
      <c r="AI102" s="35">
        <f t="shared" si="1"/>
        <v>9.9200891869552277E-2</v>
      </c>
      <c r="AJ102">
        <f t="array" aca="1" ref="AJ102" ca="1">SUM(1*(AI102&lt;$AI$98:$AI$117))+1+IF(ROW(AI102)-ROW($AI$98)=0,0,SUM(1*(AI102=OFFSET($AI$98,0,0,INDEX(ROW(AI102)-ROW($AI$98)+1,1)-1,1))))</f>
        <v>4</v>
      </c>
      <c r="AK102" s="118" t="str">
        <f t="shared" si="5"/>
        <v>Water Exported (WE)</v>
      </c>
      <c r="AL102">
        <f t="shared" si="6"/>
        <v>1</v>
      </c>
      <c r="AM102">
        <f t="shared" si="7"/>
        <v>1</v>
      </c>
      <c r="AN102">
        <f t="shared" si="2"/>
        <v>0</v>
      </c>
    </row>
    <row r="103" spans="28:40">
      <c r="AC103" s="168" t="s">
        <v>1159</v>
      </c>
      <c r="AD103" s="57" t="str">
        <f>IF(Worksheet!M17="n/a",0,Worksheet!M17)</f>
        <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9</v>
      </c>
      <c r="AK103" s="861" t="str">
        <f t="shared" si="5"/>
        <v>WE Error Adjustment (WEEA)</v>
      </c>
      <c r="AL103">
        <f t="shared" si="6"/>
        <v>0</v>
      </c>
      <c r="AM103" s="60">
        <f t="shared" si="7"/>
        <v>0</v>
      </c>
      <c r="AN103" s="60">
        <f t="shared" si="2"/>
        <v>0</v>
      </c>
    </row>
    <row r="104" spans="28:40">
      <c r="AC104" s="165" t="s">
        <v>1160</v>
      </c>
      <c r="AD104" s="65">
        <f>IF(Worksheet!F23="n/a",0,Worksheet!F23)</f>
        <v>10</v>
      </c>
      <c r="AE104" s="169">
        <f>IF(Worksheet!H23&gt;0,Worksheet!Y23,0)</f>
        <v>13.9980108997083</v>
      </c>
      <c r="AF104" s="67">
        <f t="shared" ref="AF104:AF117" si="8">AE104/$AE$120</f>
        <v>17.167371858132821</v>
      </c>
      <c r="AG104" s="67">
        <f t="shared" si="3"/>
        <v>1.7167371858132821</v>
      </c>
      <c r="AH104" s="67">
        <f t="shared" ref="AH104:AH117" si="9">AD104*AG104</f>
        <v>17.167371858132821</v>
      </c>
      <c r="AI104" s="67">
        <f t="shared" si="1"/>
        <v>0</v>
      </c>
      <c r="AJ104" s="68">
        <f t="array" aca="1" ref="AJ104" ca="1">SUM(1*(AI104&lt;$AI$98:$AI$117))+1+IF(ROW(AI104)-ROW($AI$98)=0,0,SUM(1*(AI104=OFFSET($AI$98,0,0,INDEX(ROW(AI104)-ROW($AI$98)+1,1)-1,1))))</f>
        <v>10</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1.9891002916996286E-3</v>
      </c>
      <c r="AF106" s="71">
        <f t="shared" si="8"/>
        <v>2.4394626218957709E-3</v>
      </c>
      <c r="AG106" s="71">
        <f t="shared" si="3"/>
        <v>2.4394626218957708E-4</v>
      </c>
      <c r="AH106" s="35">
        <f t="shared" si="4"/>
        <v>2.4394626218957709E-3</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1168</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91.617135640601433</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81EB49F8-DFB7-4CA6-BE20-87E23F92FC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