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AC7FB4D6-5E94-41B4-BF43-143214FE03D5}"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<sst xmlns="http://schemas.openxmlformats.org/spreadsheetml/2006/main" count="2555" uniqueCount="1284">
  <si>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</si>
  <si>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</si>
  <si>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</si>
  <si>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</si>
  <si>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</si>
  <si>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</si>
  <si>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</si>
  <si>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</si>
  <si>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</si>
  <si>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</si>
  <si>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</si>
  <si>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</si>
  <si>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</si>
  <si>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</si>
  <si>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</si>
  <si>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</si>
  <si>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</si>
  <si>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</si>
  <si>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</si>
  <si>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</si>
  <si>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</si>
  <si>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</si>
  <si>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</si>
  <si>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</si>
  <si>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</si>
  <si>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</si>
  <si>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</si>
  <si>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</si>
  <si>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</si>
  <si>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</si>
  <si>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</si>
  <si>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</si>
  <si>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</si>
  <si>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</si>
  <si>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</si>
  <si>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</si>
  <si>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</si>
  <si>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</si>
  <si>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</si>
  <si>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</si>
  <si>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</si>
  <si>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</si>
  <si>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</si>
  <si>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</si>
  <si>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</si>
  <si>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</si>
  <si>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</si>
  <si>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</si>
  <si>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</si>
  <si>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</si>
  <si>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</si>
  <si>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</si>
  <si>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</si>
  <si>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</si>
  <si>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</si>
  <si>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</si>
  <si>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</si>
  <si>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</si>
  <si>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</si>
  <si>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</si>
  <si>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</si>
  <si>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</si>
  <si>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</si>
  <si>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</si>
  <si>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</si>
  <si>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</si>
  <si>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</si>
  <si>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</si>
  <si>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</si>
  <si>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</si>
  <si>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</si>
  <si>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</si>
  <si>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</si>
  <si>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</si>
  <si>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</si>
  <si>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</si>
  <si>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</si>
  <si>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</si>
  <si>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</si>
  <si>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</si>
  <si>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</si>
  <si>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</si>
  <si>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</si>
  <si>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</si>
  <si>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</si>
  <si>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</si>
  <si>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</si>
  <si>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</si>
  <si>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</si>
  <si>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</si>
  <si>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</si>
  <si>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</si>
  <si>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</si>
  <si>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</si>
  <si>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</si>
  <si>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</si>
  <si>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</si>
  <si>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</si>
  <si>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</si>
  <si>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</si>
  <si>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</si>
  <si>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</si>
  <si>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</si>
  <si>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</si>
  <si>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</si>
  <si>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</si>
  <si>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</si>
  <si>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</si>
  <si>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</si>
  <si>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</si>
  <si>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</si>
  <si>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</si>
  <si>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</si>
  <si>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</si>
  <si>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</si>
  <si>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</si>
  <si>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</si>
  <si>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</si>
  <si>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</si>
  <si>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</si>
  <si>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</si>
  <si>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</si>
  <si>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</si>
  <si>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</si>
  <si>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</si>
  <si>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</si>
  <si>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</si>
  <si>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</si>
  <si>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</si>
  <si>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</si>
  <si>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</si>
  <si>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</si>
  <si>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</si>
  <si>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</si>
  <si>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</si>
  <si>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</si>
  <si>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</si>
  <si>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</si>
  <si>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</si>
  <si>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</si>
  <si>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</si>
  <si>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</si>
  <si>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</si>
  <si>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</si>
  <si>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</si>
  <si>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</si>
  <si>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</si>
  <si>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</si>
  <si>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</si>
  <si>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</si>
  <si>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</si>
  <si>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</si>
  <si>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</si>
  <si>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</si>
  <si>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</si>
  <si>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</si>
  <si>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</si>
  <si>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</si>
  <si>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</si>
  <si>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</si>
  <si>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</si>
  <si>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</si>
  <si>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</si>
  <si>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</si>
  <si>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</si>
  <si>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</si>
  <si>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</si>
  <si>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</si>
  <si>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</si>
  <si>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</si>
  <si>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</si>
  <si>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</si>
  <si>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</si>
  <si>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</si>
  <si>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</si>
  <si>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</si>
  <si>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</si>
  <si>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</si>
  <si>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</si>
  <si>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</si>
  <si>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</si>
  <si>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</si>
  <si>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</si>
  <si>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</si>
  <si>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</si>
  <si>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</si>
  <si>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</si>
  <si>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</si>
  <si>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</si>
  <si>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</si>
  <si>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</si>
  <si>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</si>
  <si>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</si>
  <si>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</si>
  <si>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</si>
  <si>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</si>
  <si>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</si>
  <si>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</si>
  <si>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</si>
  <si>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</si>
  <si>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</si>
  <si>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</si>
  <si>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</si>
  <si>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</si>
  <si>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</si>
  <si>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</si>
  <si>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</si>
  <si>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</si>
  <si>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</si>
  <si>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</si>
  <si>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</si>
  <si>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</si>
  <si>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</si>
  <si>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</si>
  <si>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</si>
  <si>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</si>
  <si>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</si>
  <si>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</si>
  <si>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</si>
  <si>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</si>
  <si>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</si>
  <si>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</si>
  <si>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</si>
  <si>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</si>
  <si>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</si>
  <si>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</si>
  <si>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</si>
  <si>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</si>
  <si>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</si>
  <si>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</si>
  <si>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</si>
  <si>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</si>
  <si>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</si>
  <si>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</si>
  <si>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</si>
  <si>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</si>
  <si>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</si>
  <si>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</si>
  <si>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</si>
  <si>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</si>
  <si>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</si>
  <si>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</si>
  <si>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</si>
  <si>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</si>
  <si>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</si>
  <si>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</si>
  <si>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</si>
  <si>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</si>
  <si>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</si>
  <si>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</si>
  <si>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</si>
  <si>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</si>
  <si>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</si>
  <si>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</si>
  <si>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</si>
  <si>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</si>
  <si>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</si>
  <si>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</si>
  <si>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</si>
  <si>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</si>
  <si>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</si>
  <si>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</si>
  <si>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</si>
  <si>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</si>
  <si>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</si>
  <si>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</si>
  <si>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</si>
  <si>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</si>
  <si>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</si>
  <si>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</si>
  <si>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</si>
  <si>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</si>
  <si>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</si>
  <si>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</si>
  <si>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</si>
  <si>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</si>
  <si>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</si>
  <si>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</si>
  <si>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</si>
  <si>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</si>
  <si>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</si>
  <si>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</si>
  <si>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</si>
  <si>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</si>
  <si>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</si>
  <si>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</si>
  <si>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</si>
  <si>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</si>
  <si>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</si>
  <si>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</si>
  <si>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</si>
  <si>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</si>
  <si>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</si>
  <si>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</si>
  <si>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</si>
  <si>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</si>
  <si>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</si>
  <si>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</si>
  <si>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</si>
  <si>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</si>
  <si>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</si>
  <si>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</si>
  <si>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</si>
  <si>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</si>
  <si>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</si>
  <si>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</si>
  <si>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</si>
  <si>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</si>
  <si>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</si>
  <si>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</si>
  <si>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</si>
  <si>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</si>
  <si>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</si>
  <si>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</si>
  <si>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</si>
  <si>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</si>
  <si>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</si>
  <si>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</si>
  <si>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</si>
  <si>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</si>
  <si>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</si>
  <si>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</si>
  <si>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</si>
  <si>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</si>
  <si>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</si>
  <si>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</si>
  <si>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</si>
  <si>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</si>
  <si>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</si>
  <si>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</si>
  <si>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</si>
  <si>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</si>
  <si>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</si>
  <si>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</si>
  <si>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</si>
  <si>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</si>
  <si>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</si>
  <si>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</si>
  <si>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</si>
  <si>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</si>
  <si>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</si>
  <si>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</si>
  <si>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</si>
  <si>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</si>
  <si>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</si>
  <si>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</si>
  <si>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</si>
  <si>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</si>
  <si>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</si>
  <si>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</si>
  <si>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</si>
  <si>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</si>
  <si>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</si>
  <si>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</si>
  <si>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</si>
  <si>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</si>
  <si>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</si>
  <si>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</si>
  <si>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</si>
  <si>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</si>
  <si>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</si>
  <si>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</si>
  <si>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</si>
  <si>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</si>
  <si>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</si>
  <si>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</si>
  <si>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</si>
  <si>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</si>
  <si>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</si>
  <si>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</si>
  <si>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</si>
  <si>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</si>
  <si>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</si>
  <si>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</si>
  <si>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</si>
  <si>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</si>
  <si>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</si>
  <si>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</si>
  <si>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</si>
  <si>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</si>
  <si>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</si>
  <si>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</si>
  <si>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</si>
  <si>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</si>
  <si>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</si>
  <si>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</si>
  <si>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</si>
  <si>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</si>
  <si>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</si>
  <si>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</si>
  <si>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</si>
  <si>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</si>
  <si>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</si>
  <si>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</si>
  <si>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</si>
  <si>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</si>
  <si>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</si>
  <si>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</si>
  <si>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</si>
  <si>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</si>
  <si>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</si>
  <si>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</si>
  <si>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</si>
  <si>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</si>
  <si>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</si>
  <si>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</si>
  <si>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</si>
  <si>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</si>
  <si>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</si>
  <si>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</si>
  <si>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</si>
  <si>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</si>
  <si>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</si>
  <si>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</si>
  <si>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</si>
  <si>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</si>
  <si>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</si>
  <si>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</si>
  <si>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</si>
  <si>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</si>
  <si>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</si>
  <si>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</si>
  <si>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</si>
  <si>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</si>
  <si>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</si>
  <si>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</si>
  <si>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</si>
  <si>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</si>
  <si>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</si>
  <si>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</si>
  <si>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</si>
  <si>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</si>
  <si>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</si>
  <si>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</si>
  <si>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</si>
  <si>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</si>
  <si>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</si>
  <si>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</si>
  <si>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</si>
  <si>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</si>
  <si>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</si>
  <si>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</si>
  <si>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</si>
  <si>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</si>
  <si>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</si>
  <si>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</si>
  <si>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</si>
  <si>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</si>
  <si>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</si>
  <si>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</si>
  <si>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</si>
  <si>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</si>
  <si>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</si>
  <si>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</si>
  <si>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</si>
  <si>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</si>
  <si>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</si>
  <si>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</si>
  <si>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</si>
  <si>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</si>
  <si>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</si>
  <si>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</si>
  <si>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</si>
  <si>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</si>
  <si>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</si>
  <si>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</si>
  <si>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</si>
  <si>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</si>
  <si>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</si>
  <si>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</si>
  <si>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</si>
  <si>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</si>
  <si>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</si>
  <si>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</si>
  <si>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</si>
  <si>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</si>
  <si>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</si>
  <si>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</si>
  <si>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</si>
  <si>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</si>
  <si>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</si>
  <si>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</si>
  <si>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</si>
  <si>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</si>
  <si>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</si>
  <si>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</si>
  <si>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</si>
  <si>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</si>
  <si>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</si>
  <si>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</si>
  <si>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</si>
  <si>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</si>
  <si>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</si>
  <si>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</si>
  <si>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</si>
  <si>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</si>
  <si>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</si>
  <si>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</si>
  <si>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</si>
  <si>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</si>
  <si>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</si>
  <si>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</si>
  <si>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</si>
  <si>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</si>
  <si>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</si>
  <si>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</si>
  <si>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</si>
  <si>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</si>
  <si>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</si>
  <si>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</si>
  <si>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</si>
  <si>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</si>
  <si>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</si>
  <si>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</si>
  <si>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</si>
  <si>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</si>
  <si>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Uniontown/Connellsville District 230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</si>
  <si>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</si>
  <si>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</si>
  <si>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</si>
  <si>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</si>
  <si>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</si>
  <si>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</si>
  <si>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</si>
  <si>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</si>
  <si>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</si>
  <si>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</si>
  <si>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</si>
  <si>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</si>
  <si>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</si>
  <si>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</si>
  <si>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</si>
  <si>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Uniontown/Connellsville</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</si>
  <si>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</si>
  <si>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</si>
  <si>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</si>
  <si>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</si>
  <si>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</si>
  <si>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</si>
  <si>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</si>
  <si>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</si>
  <si>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</si>
  <si>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</si>
  <si>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</si>
  <si>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</si>
  <si>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</si>
  <si>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</si>
  <si>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</si>
  <si>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</si>
  <si>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</si>
  <si>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</si>
  <si>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</si>
  <si>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</si>
  <si>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</si>
  <si>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</si>
  <si>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</si>
  <si>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</si>
  <si>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</si>
  <si>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</si>
  <si>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</si>
  <si>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</si>
  <si>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</si>
  <si>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</si>
  <si>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</si>
  <si>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</si>
  <si>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</si>
  <si>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</si>
  <si>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</si>
  <si>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</si>
  <si>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</si>
  <si>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</si>
  <si>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</si>
  <si>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</si>
  <si>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</si>
  <si>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</si>
  <si>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</si>
  <si>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5260022;5260020</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</si>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</sst>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45.035908927035699</c:v>
                </c:pt>
                <c:pt idx="1">
                  <c:v>2.0024160337996988</c:v>
                </c:pt>
                <c:pt idx="2">
                  <c:v>203.26367926412695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4.7655183637488419</c:v>
                </c:pt>
                <c:pt idx="1">
                  <c:v>0.26113598867139654</c:v>
                </c:pt>
                <c:pt idx="2">
                  <c:v>27.615344231504331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56.143352105694184</c:v>
                </c:pt>
                <c:pt idx="1">
                  <c:v>0.92482240795754933</c:v>
                </c:pt>
                <c:pt idx="2">
                  <c:v>58.534626481041933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23.659829505521067</c:v>
                </c:pt>
                <c:pt idx="1">
                  <c:v>0.38772920688421864</c:v>
                </c:pt>
                <c:pt idx="2">
                  <c:v>24.418592148122041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32.483522600173117</c:v>
                </c:pt>
                <c:pt idx="1">
                  <c:v>0.56875750335916142</c:v>
                </c:pt>
                <c:pt idx="2">
                  <c:v>38.042407816362903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440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23.12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223.714</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1.9748224999999999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16.592836734693858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1.9748224999999999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173.59155908163248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$1,208,546/Yr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51094.275200000004</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494398.99144000001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27390.788074999997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224641.0103102038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27390.788074999997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383630.40190804453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45.665808526427512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1.4597832613323667</c:v>
                </c:pt>
                <c:pt idx="1">
                  <c:v>9.0856271993300333E-2</c:v>
                </c:pt>
                <c:pt idx="2">
                  <c:v>9.8063944658368758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40.27039056328686</c:v>
                </c:pt>
                <c:pt idx="1">
                  <c:v>1.8469276802355887</c:v>
                </c:pt>
                <c:pt idx="2">
                  <c:v>188.74864178592614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2013.519528164343</c:v>
                </c:pt>
                <c:pt idx="1">
                  <c:v>97.186039594358903</c:v>
                </c:pt>
                <c:pt idx="2" formatCode="_(* #,##0_);_(* \(#,##0\);_(* &quot;-&quot;??_);_(@_)">
                  <c:v>10037.549381536161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image" Target="../media/image7.emf"/><Relationship Id="rId18" Type="http://schemas.openxmlformats.org/officeDocument/2006/relationships/hyperlink" Target="#'Interactive Data Grading'!WI"/><Relationship Id="rId26" Type="http://schemas.openxmlformats.org/officeDocument/2006/relationships/image" Target="../media/image10.emf"/><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image" Target="../media/image8.emf"/><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28" Type="http://schemas.openxmlformats.org/officeDocument/2006/relationships/image" Target="../media/image1.png"/><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4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5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5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5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53"/>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5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55"/>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56"/>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57"/>
                  </a:ext>
                </a:extLst>
              </xdr:cNvPicPr>
            </xdr:nvPicPr>
            <xdr:blipFill rotWithShape="1">
              <a:blip xmlns:r="http://schemas.openxmlformats.org/officeDocument/2006/relationships" r:embed="rId13"/>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58"/>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59"/>
                  </a:ext>
                </a:extLst>
              </xdr:cNvPicPr>
            </xdr:nvPicPr>
            <xdr:blipFill rotWithShape="1">
              <a:blip xmlns:r="http://schemas.openxmlformats.org/officeDocument/2006/relationships" r:embed="rId1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60"/>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61"/>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62"/>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63"/>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64"/>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65"/>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66"/>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67"/>
                  </a:ext>
                </a:extLst>
              </xdr:cNvPicPr>
            </xdr:nvPicPr>
            <xdr:blipFill rotWithShape="1">
              <a:blip xmlns:r="http://schemas.openxmlformats.org/officeDocument/2006/relationships" r:embed="rId2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G24" sqref="AG24:AL24"/>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45011</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579</v>
      </c>
      <c r="AC26" s="918"/>
      <c r="AD26" s="918"/>
      <c r="AE26" s="918"/>
      <c r="AF26" s="918"/>
      <c r="AG26" s="918"/>
      <c r="AH26" s="918"/>
      <c r="AI26" s="918"/>
      <c r="AJ26" s="918"/>
      <c r="AK26" s="918"/>
      <c r="AL26" s="927"/>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45" t="s">
        <v>581</v>
      </c>
      <c r="C27" s="946"/>
      <c r="D27" s="946"/>
      <c r="E27" s="946"/>
      <c r="F27" s="946"/>
      <c r="G27" s="947" t="s">
        <v>582</v>
      </c>
      <c r="H27" s="947"/>
      <c r="I27" s="947"/>
      <c r="J27" s="947"/>
      <c r="K27" s="947"/>
      <c r="L27" s="947"/>
      <c r="M27" s="947"/>
      <c r="N27" s="947"/>
      <c r="O27" s="947"/>
      <c r="P27" s="947"/>
      <c r="Q27" s="947"/>
      <c r="R27" s="947"/>
      <c r="S27" s="947"/>
      <c r="T27" s="947"/>
      <c r="U27" s="472"/>
      <c r="V27" s="118"/>
      <c r="W27" s="118"/>
      <c r="X27" s="118"/>
      <c r="Y27" s="118"/>
      <c r="Z27" s="118"/>
      <c r="AA27" s="477" t="s">
        <v>583</v>
      </c>
      <c r="AB27" s="917" t="s">
        <v>579</v>
      </c>
      <c r="AC27" s="918"/>
      <c r="AD27" s="918"/>
      <c r="AE27" s="918"/>
      <c r="AF27" s="918"/>
      <c r="AG27" s="918"/>
      <c r="AH27" s="918"/>
      <c r="AI27" s="918"/>
      <c r="AJ27" s="918"/>
      <c r="AK27" s="918"/>
      <c r="AL27" s="927"/>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585</v>
      </c>
      <c r="AI28" s="929">
        <v>13571</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586</v>
      </c>
      <c r="C30" s="946"/>
      <c r="D30" s="946"/>
      <c r="E30" s="946"/>
      <c r="F30" s="946"/>
      <c r="G30" s="947" t="s">
        <v>587</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592</v>
      </c>
      <c r="C33" s="946"/>
      <c r="D33" s="946"/>
      <c r="E33" s="946"/>
      <c r="F33" s="946"/>
      <c r="G33" s="947" t="s">
        <v>593</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594</v>
      </c>
      <c r="AB34" s="933" t="s">
        <v>525</v>
      </c>
      <c r="AC34" s="933"/>
      <c r="AD34" s="933"/>
      <c r="AE34" s="933"/>
      <c r="AF34" s="494"/>
      <c r="AG34" s="494"/>
      <c r="AH34" s="494"/>
      <c r="AI34" s="494"/>
      <c r="AJ34" s="501"/>
      <c r="AK34" s="501"/>
      <c r="AL34" s="118"/>
      <c r="AM34" s="526"/>
      <c r="AN34" s="526"/>
      <c r="AO34" s="526"/>
      <c r="AP34" s="118"/>
      <c r="AQ34" s="118"/>
      <c r="AR34" s="766" t="s">
        <v>594</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595</v>
      </c>
      <c r="C36" s="946"/>
      <c r="D36" s="946"/>
      <c r="E36" s="946"/>
      <c r="F36" s="946"/>
      <c r="G36" s="947" t="s">
        <v>596</v>
      </c>
      <c r="H36" s="947"/>
      <c r="I36" s="947"/>
      <c r="J36" s="947"/>
      <c r="K36" s="947"/>
      <c r="L36" s="947"/>
      <c r="M36" s="947"/>
      <c r="N36" s="947"/>
      <c r="O36" s="947"/>
      <c r="P36" s="947"/>
      <c r="Q36" s="947"/>
      <c r="R36" s="947"/>
      <c r="S36" s="947"/>
      <c r="T36" s="947"/>
      <c r="U36" s="801"/>
      <c r="V36" s="934" t="s">
        <v>597</v>
      </c>
      <c r="W36" s="934"/>
      <c r="X36" s="934"/>
      <c r="Y36" s="934"/>
      <c r="Z36" s="934"/>
      <c r="AA36" s="934"/>
      <c r="AB36" s="934"/>
      <c r="AC36" s="934"/>
      <c r="AD36" s="934"/>
      <c r="AE36" s="934"/>
      <c r="AF36" s="934"/>
      <c r="AG36" s="798"/>
      <c r="AH36" s="928" t="s">
        <v>598</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599</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600</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601</v>
      </c>
      <c r="C39" s="946"/>
      <c r="D39" s="946"/>
      <c r="E39" s="946"/>
      <c r="F39" s="946"/>
      <c r="G39" s="947" t="s">
        <v>602</v>
      </c>
      <c r="H39" s="947"/>
      <c r="I39" s="947"/>
      <c r="J39" s="947"/>
      <c r="K39" s="947"/>
      <c r="L39" s="947"/>
      <c r="M39" s="947"/>
      <c r="N39" s="947"/>
      <c r="O39" s="947"/>
      <c r="P39" s="947"/>
      <c r="Q39" s="947"/>
      <c r="R39" s="947"/>
      <c r="S39" s="947"/>
      <c r="T39" s="947"/>
      <c r="U39" s="801"/>
      <c r="V39" s="510"/>
      <c r="W39" s="936">
        <v>0.01</v>
      </c>
      <c r="X39" s="936"/>
      <c r="Y39" s="936"/>
      <c r="Z39" s="922" t="s">
        <v>603</v>
      </c>
      <c r="AA39" s="923"/>
      <c r="AB39" s="924"/>
      <c r="AC39" s="508" t="s">
        <v>604</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605</v>
      </c>
      <c r="AA40" s="923"/>
      <c r="AB40" s="924"/>
      <c r="AC40" s="925" t="s">
        <v>606</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607</v>
      </c>
      <c r="W42" s="934"/>
      <c r="X42" s="934"/>
      <c r="Y42" s="934"/>
      <c r="Z42" s="934"/>
      <c r="AA42" s="934"/>
      <c r="AB42" s="934"/>
      <c r="AC42" s="934"/>
      <c r="AD42" s="934"/>
      <c r="AE42" s="934"/>
      <c r="AF42" s="934"/>
      <c r="AG42" s="510"/>
      <c r="AH42" s="935" t="s">
        <v>608</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609</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801"/>
      <c r="V44" s="510"/>
      <c r="W44" s="510"/>
      <c r="X44" s="932" t="s">
        <v>600</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612</v>
      </c>
      <c r="AA45" s="923"/>
      <c r="AB45" s="924"/>
      <c r="AC45" s="508" t="s">
        <v>604</v>
      </c>
      <c r="AD45" s="510"/>
      <c r="AE45" s="510"/>
      <c r="AF45" s="510"/>
      <c r="AG45" s="798"/>
      <c r="AH45" s="798"/>
      <c r="AI45" s="938" t="s">
        <v>613</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615</v>
      </c>
      <c r="AA46" s="923"/>
      <c r="AB46" s="924"/>
      <c r="AC46" s="925" t="s">
        <v>616</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619</v>
      </c>
      <c r="AE48" s="935"/>
      <c r="AF48" s="935"/>
      <c r="AG48" s="935"/>
      <c r="AH48" s="935"/>
      <c r="AI48" s="935"/>
      <c r="AJ48" s="935"/>
      <c r="AK48" s="935"/>
      <c r="AL48" s="935"/>
      <c r="AM48" s="935"/>
      <c r="AN48" s="935"/>
      <c r="AO48" s="935"/>
      <c r="AP48" s="935"/>
      <c r="AQ48" s="935"/>
      <c r="AR48" s="935"/>
      <c r="AS48" s="935"/>
      <c r="AT48" s="935"/>
      <c r="AU48" s="935"/>
      <c r="AV48" s="935"/>
      <c r="AW48" s="935"/>
      <c r="AX48" s="934" t="s">
        <v>620</v>
      </c>
      <c r="AY48" s="934"/>
      <c r="AZ48" s="934"/>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C17" sqref="C1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704</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1018" t="str">
        <f>IF(ISBLANK('Start Page'!AB9),"&lt;&lt; Please enter system details on the Start Page &gt;&gt;",'Start Page'!AB9&amp;IF(ISBLANK('Start Page'!AM28),"","  ("&amp;'Start Page'!AM28&amp;")"))</f>
        <v>PAW- Uniontown/Connellsville District 230</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706</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707</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708</v>
      </c>
      <c r="L12" s="1028"/>
      <c r="M12" s="1028"/>
      <c r="N12" s="1028"/>
      <c r="O12" s="1028"/>
      <c r="P12" s="1028"/>
      <c r="Q12" s="1028"/>
      <c r="R12" s="1028"/>
      <c r="S12" s="1028"/>
      <c r="T12" s="1028"/>
      <c r="U12" s="1024"/>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4"/>
      <c r="O13" s="205"/>
      <c r="P13" s="493" t="s">
        <v>600</v>
      </c>
      <c r="Q13" s="205"/>
      <c r="R13" s="205"/>
      <c r="S13" s="388"/>
      <c r="T13" s="388"/>
      <c r="U13" s="1024"/>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723</v>
      </c>
      <c r="D15" s="700" t="s">
        <v>724</v>
      </c>
      <c r="E15" s="463" t="s">
        <v>725</v>
      </c>
      <c r="F15" s="390">
        <f>'Interactive Data Grading'!D20</f>
        <v>10</v>
      </c>
      <c r="G15" s="79"/>
      <c r="H15" s="424">
        <v>600.00699999999995</v>
      </c>
      <c r="I15" s="468"/>
      <c r="J15" s="805" t="str">
        <f>IF('Start Page'!$AB$22="million gallons (US)","MG/Yr",IF('Start Page'!$AB$22="Megalitres (thousand cubic metres)","ML/Yr",IF('Start Page'!$AB$22="acre-feet","Acre-ft/Yr","")))</f>
        <v>MG/Yr</v>
      </c>
      <c r="K15" s="703" t="s">
        <v>724</v>
      </c>
      <c r="L15" s="491" t="s">
        <v>725</v>
      </c>
      <c r="M15" s="390">
        <f>'Interactive Data Grading'!D43</f>
        <v>9</v>
      </c>
      <c r="N15" s="805"/>
      <c r="O15" s="386">
        <v>0.02</v>
      </c>
      <c r="P15" s="466" t="s">
        <v>603</v>
      </c>
      <c r="Q15" s="992"/>
      <c r="R15" s="1022"/>
      <c r="S15" s="389" t="str">
        <f>IF('Start Page'!$AB$22="million gallons (US)","MG/Yr",IF('Start Page'!$AB$22="Megalitres (thousand cubic metres)","ML/Yr",IF('Start Page'!$AB$22="acre-feet","acre-ft/yr","")))</f>
        <v>MG/Yr</v>
      </c>
      <c r="T15" s="807" t="s">
        <v>726</v>
      </c>
      <c r="U15" s="445" t="s">
        <v>520</v>
      </c>
      <c r="V15" s="827"/>
      <c r="W15" s="383">
        <f>IF(P15="percent",1,2)</f>
        <v>1</v>
      </c>
      <c r="X15" s="836">
        <f>IF(H15&gt;0,IF(W15=1,O15*H15,Q15),0)</f>
        <v>12.00014</v>
      </c>
      <c r="Y15" s="84">
        <f>$Y$19/$Y$18*H15</f>
        <v>17.06432249815126</v>
      </c>
      <c r="Z15" s="114">
        <f>$Y$19/$Y$18*ABS(X15)</f>
        <v>0.34128644996302526</v>
      </c>
      <c r="AA15" s="754">
        <f>IF(W15=1,input_VOS-input_VOS/(1+O15*AB15),Q15*AB15)</f>
        <v>-12.245040816326537</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612.25204081632648</v>
      </c>
    </row>
    <row r="16" spans="1:33">
      <c r="A16" s="827"/>
      <c r="B16" s="448" t="s">
        <v>524</v>
      </c>
      <c r="C16" s="803" t="s">
        <v>727</v>
      </c>
      <c r="D16" s="700" t="s">
        <v>724</v>
      </c>
      <c r="E16" s="463" t="s">
        <v>725</v>
      </c>
      <c r="F16" s="390">
        <f>'Interactive Data Grading'!D74</f>
        <v>9</v>
      </c>
      <c r="G16" s="79"/>
      <c r="H16" s="423">
        <v>618.64499999999998</v>
      </c>
      <c r="I16" s="468"/>
      <c r="J16" s="805" t="str">
        <f>IF('Start Page'!$AB$22="million gallons (US)","MG/Yr",IF('Start Page'!$AB$22="Megalitres (thousand cubic metres)","ML/Yr",IF('Start Page'!$AB$22="acre-feet","Acre-ft/Yr","")))</f>
        <v>MG/Yr</v>
      </c>
      <c r="K16" s="703" t="s">
        <v>724</v>
      </c>
      <c r="L16" s="491" t="s">
        <v>725</v>
      </c>
      <c r="M16" s="390">
        <f>'Interactive Data Grading'!D96</f>
        <v>9</v>
      </c>
      <c r="N16" s="805"/>
      <c r="O16" s="386"/>
      <c r="P16" s="466" t="s">
        <v>603</v>
      </c>
      <c r="Q16" s="992"/>
      <c r="R16" s="1022"/>
      <c r="S16" s="389" t="str">
        <f>IF('Start Page'!$AB$22="million gallons (US)","MG/Yr",IF('Start Page'!$AB$22="Megalitres (thousand cubic metres)","ML/Yr",IF('Start Page'!$AB$22="acre-feet","acre-ft/yr","")))</f>
        <v>MG/Yr</v>
      </c>
      <c r="T16" s="807" t="s">
        <v>728</v>
      </c>
      <c r="U16" s="445" t="s">
        <v>529</v>
      </c>
      <c r="V16" s="827"/>
      <c r="W16" s="383">
        <f t="shared" ref="W16:W17" si="0">IF(P16="percent",1,2)</f>
        <v>1</v>
      </c>
      <c r="X16" s="836">
        <f>IF(H16&gt;0,IF(W16=1,O16*H16,Q16),0)</f>
        <v>0</v>
      </c>
      <c r="Y16" s="84">
        <f>$Y$19/$Y$18*H16</f>
        <v>17.594391051885708</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618.64499999999998</v>
      </c>
    </row>
    <row r="17" spans="1:33" ht="13.35" customHeight="1">
      <c r="A17" s="827"/>
      <c r="B17" s="448" t="s">
        <v>533</v>
      </c>
      <c r="C17" s="803" t="s">
        <v>729</v>
      </c>
      <c r="D17" s="700" t="s">
        <v>724</v>
      </c>
      <c r="E17" s="463" t="s">
        <v>725</v>
      </c>
      <c r="F17" s="390" t="str">
        <f>'Interactive Data Grading'!D127</f>
        <v>n/a</v>
      </c>
      <c r="G17" s="79"/>
      <c r="H17" s="254">
        <v>0</v>
      </c>
      <c r="I17" s="468"/>
      <c r="J17" s="805" t="str">
        <f>IF('Start Page'!$AB$22="million gallons (US)","MG/Yr",IF('Start Page'!$AB$22="Megalitres (thousand cubic metres)","ML/Yr",IF('Start Page'!$AB$22="acre-feet","Acre-ft/Yr","")))</f>
        <v>MG/Yr</v>
      </c>
      <c r="K17" s="703" t="s">
        <v>724</v>
      </c>
      <c r="L17" s="491" t="s">
        <v>725</v>
      </c>
      <c r="M17" s="390" t="str">
        <f>'Interactive Data Grading'!D150</f>
        <v>n/a</v>
      </c>
      <c r="N17" s="805"/>
      <c r="O17" s="386"/>
      <c r="P17" s="466" t="s">
        <v>603</v>
      </c>
      <c r="Q17" s="992"/>
      <c r="R17" s="1022"/>
      <c r="S17" s="389" t="str">
        <f>IF('Start Page'!$AB$22="million gallons (US)","MG/Yr",IF('Start Page'!$AB$22="Megalitres (thousand cubic metres)","ML/Yr",IF('Start Page'!$AB$22="acre-feet","acre-ft/yr","")))</f>
        <v>MG/Yr</v>
      </c>
      <c r="T17" s="807"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730</v>
      </c>
      <c r="U18" s="444"/>
      <c r="V18" s="827"/>
      <c r="W18" s="383"/>
      <c r="X18" s="385"/>
      <c r="Y18" s="84">
        <f>H15+H16+H17+IF(H15&gt;0,ABS(X15),0)+IF(H16&gt;0,ABS(X16),0)+IF(H17&gt;0,(ABS(X17)),)</f>
        <v>1230.6521400000001</v>
      </c>
      <c r="Z18" s="115"/>
      <c r="AA18" s="118"/>
      <c r="AB18" s="206"/>
      <c r="AC18" s="206"/>
      <c r="AD18" s="206"/>
      <c r="AE18" s="206"/>
      <c r="AF18" s="205">
        <f>SUM(AF15:AF17)</f>
        <v>0</v>
      </c>
      <c r="AG18" s="118" t="s">
        <v>731</v>
      </c>
    </row>
    <row r="19" spans="1:33" ht="13.5" thickBot="1">
      <c r="A19" s="827"/>
      <c r="B19" s="447"/>
      <c r="C19" s="995" t="s">
        <v>732</v>
      </c>
      <c r="D19" s="995"/>
      <c r="E19" s="995"/>
      <c r="F19" s="995"/>
      <c r="G19" s="205"/>
      <c r="H19" s="727">
        <f>IF(AF18&gt;0,"Select under/over",IF(H15&gt;0,IF(W15=1,H15/(1+O15*AB15),H15-Q15*AB15),0)+IF(H16&gt;0,IF(W16=1,H16/(1+O16*AB16),H16-Q16*AB16),0)-IF(H17&gt;0,IF(W17=1,H17/(1+O17*AB17),H17-Q17*AB17),0))</f>
        <v>1230.8970408163264</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736</v>
      </c>
      <c r="D23" s="700" t="s">
        <v>724</v>
      </c>
      <c r="E23" s="463" t="s">
        <v>725</v>
      </c>
      <c r="F23" s="390">
        <f>'Interactive Data Grading'!D177</f>
        <v>10</v>
      </c>
      <c r="G23" s="79"/>
      <c r="H23" s="254">
        <v>789.92899999999997</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13.601893612808086</v>
      </c>
      <c r="Z23" s="845"/>
      <c r="AA23" s="118" t="s">
        <v>737</v>
      </c>
      <c r="AB23" s="206"/>
      <c r="AC23" s="206"/>
      <c r="AD23" s="206"/>
      <c r="AE23" s="206"/>
      <c r="AF23" s="118"/>
      <c r="AG23" s="118"/>
    </row>
    <row r="24" spans="1:33">
      <c r="A24" s="827"/>
      <c r="B24" s="448" t="s">
        <v>544</v>
      </c>
      <c r="C24" s="803" t="s">
        <v>738</v>
      </c>
      <c r="D24" s="700" t="s">
        <v>724</v>
      </c>
      <c r="E24" s="463" t="s">
        <v>725</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0.39810638719191593</v>
      </c>
      <c r="Z24" s="835"/>
      <c r="AA24" s="118"/>
      <c r="AB24" s="206"/>
      <c r="AC24" s="206"/>
      <c r="AD24" s="206"/>
      <c r="AE24" s="206"/>
      <c r="AF24" s="118"/>
      <c r="AG24" s="118"/>
    </row>
    <row r="25" spans="1:33" ht="13.35" customHeight="1">
      <c r="A25" s="827"/>
      <c r="B25" s="448" t="s">
        <v>546</v>
      </c>
      <c r="C25" s="803" t="s">
        <v>739</v>
      </c>
      <c r="D25" s="700" t="s">
        <v>724</v>
      </c>
      <c r="E25" s="463" t="s">
        <v>725</v>
      </c>
      <c r="F25" s="390">
        <f>'Interactive Data Grading'!D224</f>
        <v>10</v>
      </c>
      <c r="G25" s="79"/>
      <c r="H25" s="395">
        <v>23.12</v>
      </c>
      <c r="I25" s="468"/>
      <c r="J25" s="805" t="str">
        <f>IF('Start Page'!$AB$22="million gallons (US)","MG/Yr",IF('Start Page'!$AB$22="Megalitres (thousand cubic metres)","ML/Yr",IF('Start Page'!$AB$22="acre-feet","Acre-ft/Yr","")))</f>
        <v>MG/Yr</v>
      </c>
      <c r="K25" s="805"/>
      <c r="L25" s="805"/>
      <c r="M25" s="805"/>
      <c r="N25" s="805"/>
      <c r="O25" s="205"/>
      <c r="P25" s="813" t="s">
        <v>600</v>
      </c>
      <c r="Q25" s="205"/>
      <c r="R25" s="118"/>
      <c r="S25" s="118"/>
      <c r="T25" s="118"/>
      <c r="U25" s="199"/>
      <c r="V25" s="827"/>
      <c r="W25" s="383"/>
      <c r="X25" s="118"/>
      <c r="Y25" s="754">
        <f>H23+H25</f>
        <v>813.04899999999998</v>
      </c>
      <c r="Z25" s="835"/>
      <c r="AA25" s="118"/>
      <c r="AB25" s="206"/>
      <c r="AC25" s="206"/>
      <c r="AD25" s="206"/>
      <c r="AE25" s="206"/>
      <c r="AF25" s="439" t="s">
        <v>740</v>
      </c>
      <c r="AG25" s="118"/>
    </row>
    <row r="26" spans="1:33" ht="15" customHeight="1" thickBot="1">
      <c r="A26" s="827"/>
      <c r="B26" s="448" t="s">
        <v>550</v>
      </c>
      <c r="C26" s="803" t="s">
        <v>741</v>
      </c>
      <c r="D26" s="700" t="s">
        <v>724</v>
      </c>
      <c r="E26" s="463" t="s">
        <v>725</v>
      </c>
      <c r="F26" s="390">
        <f>'Interactive Data Grading'!D247</f>
        <v>8</v>
      </c>
      <c r="G26" s="79"/>
      <c r="H26" s="727">
        <f>IF(OR(W26=1,AND(W26=2,Q26=0)),O26*SUM(H23:H24),Q26)</f>
        <v>223.714</v>
      </c>
      <c r="I26" s="468"/>
      <c r="J26" s="805" t="str">
        <f>IF('Start Page'!$AB$22="million gallons (US)","MG/Yr",IF('Start Page'!$AB$22="Megalitres (thousand cubic metres)","ML/Yr",IF('Start Page'!$AB$22="acre-feet","Acre-ft/Yr","")))</f>
        <v>MG/Yr</v>
      </c>
      <c r="K26" s="805"/>
      <c r="L26" s="805"/>
      <c r="M26" s="805"/>
      <c r="N26" s="805"/>
      <c r="O26" s="391">
        <v>2.5000000000000001E-3</v>
      </c>
      <c r="P26" s="524" t="s">
        <v>615</v>
      </c>
      <c r="Q26" s="992">
        <v>223.714</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743</v>
      </c>
      <c r="D30" s="989"/>
      <c r="E30" s="989"/>
      <c r="F30" s="989"/>
      <c r="G30" s="205"/>
      <c r="H30" s="727">
        <f>SUM(H23:H26)</f>
        <v>1036.7629999999999</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194.13404081632643</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600</v>
      </c>
      <c r="Q38" s="468"/>
      <c r="R38" s="118"/>
      <c r="S38" s="118"/>
      <c r="T38" s="387"/>
      <c r="U38" s="199"/>
      <c r="V38" s="827"/>
      <c r="W38" s="385"/>
      <c r="X38" s="118"/>
      <c r="Y38" s="118"/>
      <c r="Z38" s="118"/>
      <c r="AA38" s="118"/>
      <c r="AB38" s="206"/>
      <c r="AC38" s="206"/>
    </row>
    <row r="39" spans="1:29" ht="13.35" customHeight="1">
      <c r="A39" s="827"/>
      <c r="B39" s="448" t="s">
        <v>554</v>
      </c>
      <c r="C39" s="803" t="s">
        <v>746</v>
      </c>
      <c r="D39" s="700" t="s">
        <v>724</v>
      </c>
      <c r="E39" s="463" t="s">
        <v>725</v>
      </c>
      <c r="F39" s="390">
        <f>'Interactive Data Grading'!D271</f>
        <v>3</v>
      </c>
      <c r="G39" s="152"/>
      <c r="H39" s="847">
        <f>IF(OR(W39=1,AND(W39=2,Q39=0)),O39*SUM(H23:H24),Q39)</f>
        <v>1.9748224999999999</v>
      </c>
      <c r="I39" s="728"/>
      <c r="J39" s="805" t="str">
        <f>IF('Start Page'!$AB$22="million gallons (US)","MG/Yr",IF('Start Page'!$AB$22="Megalitres (thousand cubic metres)","ML/Yr",IF('Start Page'!$AB$22="acre-feet","Acre-ft/Yr","")))</f>
        <v>MG/Yr</v>
      </c>
      <c r="K39" s="805"/>
      <c r="L39" s="805"/>
      <c r="M39" s="805"/>
      <c r="N39" s="805"/>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747</v>
      </c>
      <c r="D41" s="700" t="s">
        <v>724</v>
      </c>
      <c r="E41" s="463" t="s">
        <v>725</v>
      </c>
      <c r="F41" s="390">
        <f>'Interactive Data Grading'!D300</f>
        <v>7</v>
      </c>
      <c r="G41" s="152"/>
      <c r="H41" s="848">
        <f>IF(OR(T41="Select…..",T41=""),"Select under/over",IF(W41=1,((H23+H25)/(1-(O41*X41)))-(H23+H25),Q41*X41))</f>
        <v>16.592836734693947</v>
      </c>
      <c r="I41" s="728"/>
      <c r="J41" s="805" t="str">
        <f>IF('Start Page'!$AB$22="million gallons (US)","MG/Yr",IF('Start Page'!$AB$22="Megalitres (thousand cubic metres)","ML/Yr",IF('Start Page'!$AB$22="acre-feet","Acre-ft/Yr","")))</f>
        <v>MG/Yr</v>
      </c>
      <c r="K41" s="805"/>
      <c r="L41" s="805"/>
      <c r="M41" s="805"/>
      <c r="N41" s="805"/>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724</v>
      </c>
      <c r="E43" s="463" t="s">
        <v>725</v>
      </c>
      <c r="F43" s="390">
        <f>'Interactive Data Grading'!D322</f>
        <v>3</v>
      </c>
      <c r="G43" s="152"/>
      <c r="H43" s="727">
        <f>IF(OR(W43=1,AND(W43=2,Q43=0)),O43*SUM(H23:H24),Q43)</f>
        <v>1.9748224999999999</v>
      </c>
      <c r="I43" s="728"/>
      <c r="J43" s="805" t="str">
        <f>IF('Start Page'!$AB$22="million gallons (US)","MG/Yr",IF('Start Page'!$AB$22="Megalitres (thousand cubic metres)","ML/Yr",IF('Start Page'!$AB$22="acre-feet","Acre-ft/Yr","")))</f>
        <v>MG/Yr</v>
      </c>
      <c r="K43" s="805"/>
      <c r="L43" s="805"/>
      <c r="M43" s="805"/>
      <c r="N43" s="805"/>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20.542481734693943</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16.120999999999981</v>
      </c>
      <c r="Y50" s="854">
        <f>IFERROR(IF(W41=1,((H25)/(1-(O41*X41)))-(H25),Q41*H25/(H23+H25)),0)</f>
        <v>0.47183673469387699</v>
      </c>
      <c r="Z50" s="855">
        <f>SUM(X50:Y50)</f>
        <v>16.592836734693858</v>
      </c>
      <c r="AA50" s="990"/>
      <c r="AB50" s="990"/>
      <c r="AC50" s="990"/>
    </row>
    <row r="51" spans="1:29">
      <c r="A51" s="827"/>
      <c r="B51" s="448"/>
      <c r="C51" s="996" t="s">
        <v>754</v>
      </c>
      <c r="D51" s="996"/>
      <c r="E51" s="996"/>
      <c r="F51" s="996"/>
      <c r="G51" s="728"/>
      <c r="H51" s="727">
        <f>IFERROR(H35-H46,"")</f>
        <v>173.59155908163248</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223598.26999999973</v>
      </c>
      <c r="Y51" s="856">
        <f>Y50*input_VPC</f>
        <v>1042.7403102040805</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194.13404081632643</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440.96804081632644</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724</v>
      </c>
      <c r="E61" s="463" t="s">
        <v>725</v>
      </c>
      <c r="F61" s="390">
        <f>'Interactive Data Grading'!D350</f>
        <v>10</v>
      </c>
      <c r="G61" s="47"/>
      <c r="H61" s="256">
        <v>236.2</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724</v>
      </c>
      <c r="E62" s="463" t="s">
        <v>725</v>
      </c>
      <c r="F62" s="390">
        <f>'Interactive Data Grading'!D374</f>
        <v>10</v>
      </c>
      <c r="G62" s="47"/>
      <c r="H62" s="396">
        <v>11810</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50</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724</v>
      </c>
      <c r="E66" s="463" t="s">
        <v>725</v>
      </c>
      <c r="F66" s="390">
        <f>'Interactive Data Grading'!D398</f>
        <v>10</v>
      </c>
      <c r="G66" s="47"/>
      <c r="H66" s="256">
        <v>16.399999999999999</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16.399999999999999</v>
      </c>
      <c r="X67" s="171" t="s">
        <v>769</v>
      </c>
      <c r="Y67" s="171"/>
      <c r="Z67" s="171"/>
    </row>
    <row r="68" spans="1:26">
      <c r="A68" s="827"/>
      <c r="B68" s="448" t="s">
        <v>577</v>
      </c>
      <c r="C68" s="803" t="s">
        <v>770</v>
      </c>
      <c r="D68" s="700" t="s">
        <v>724</v>
      </c>
      <c r="E68" s="463" t="s">
        <v>725</v>
      </c>
      <c r="F68" s="390">
        <f>'Interactive Data Grading'!D422</f>
        <v>10</v>
      </c>
      <c r="G68" s="47"/>
      <c r="H68" s="256">
        <v>98</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3" t="s">
        <v>774</v>
      </c>
      <c r="D76" s="700" t="s">
        <v>724</v>
      </c>
      <c r="E76" s="425" t="s">
        <v>725</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584</v>
      </c>
      <c r="C77" s="803" t="s">
        <v>777</v>
      </c>
      <c r="D77" s="700" t="s">
        <v>724</v>
      </c>
      <c r="E77" s="463" t="s">
        <v>725</v>
      </c>
      <c r="F77" s="390">
        <f>'Interactive Data Grading'!D469</f>
        <v>10</v>
      </c>
      <c r="G77" s="118"/>
      <c r="H77" s="864">
        <v>2209.96</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4825025</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92" activePane="bottomLeft" state="frozen"/>
      <selection activeCell="B15" sqref="B15:F17"/>
      <selection pane="bottomLeft" activeCell="AB467" sqref="AB46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Uniontown/Connellsville District 230</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62</v>
      </c>
      <c r="E62" s="628"/>
      <c r="F62" s="258"/>
      <c r="I62" s="676"/>
      <c r="J62" s="669" t="s">
        <v>804</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9</v>
      </c>
    </row>
    <row r="66" spans="1:18" ht="26.45" customHeight="1">
      <c r="A66" s="163"/>
      <c r="B66" s="441" t="s">
        <v>99</v>
      </c>
      <c r="C66" s="743" t="str">
        <f>WI!B37</f>
        <v>What level of data transfer errors are checked as part of the electronic calibration process?</v>
      </c>
      <c r="D66" s="264" t="s">
        <v>61</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818</v>
      </c>
    </row>
    <row r="72" spans="1:18" ht="25.5" customHeight="1">
      <c r="A72" s="163"/>
      <c r="B72" s="441" t="s">
        <v>105</v>
      </c>
      <c r="C72" s="743" t="str">
        <f>WI!B43</f>
        <v>Which best describes the frequency of meter readings (data collection frequency as opposed to billing frequency)?</v>
      </c>
      <c r="D72" s="264" t="s">
        <v>58</v>
      </c>
      <c r="E72" s="628" t="str">
        <f t="shared" si="5"/>
        <v>Limiting</v>
      </c>
      <c r="F72" s="258"/>
      <c r="G72" s="669">
        <f>IFERROR(IF(H63&lt;7,1,IF(LEN(D72)&gt;0,1,0)),"")</f>
        <v>1</v>
      </c>
      <c r="H72" s="677">
        <f>VLOOKUP('Interactive Data Grading'!D72,WI!$K$6:$M$16,3,FALSE)</f>
        <v>9</v>
      </c>
      <c r="I72" s="677">
        <f>H72</f>
        <v>9</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808</v>
      </c>
      <c r="D74" s="631">
        <f>IF(D62="","",IF(D62="No","n/a",IF(G74=0,"",IF(R8=0,H63,I74))))</f>
        <v>9</v>
      </c>
      <c r="E74" s="628"/>
      <c r="F74" s="258"/>
      <c r="G74" s="669">
        <f>MIN(G63:G73)</f>
        <v>1</v>
      </c>
      <c r="H74" s="680">
        <f>MIN(H63:H73)</f>
        <v>7</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137</v>
      </c>
      <c r="E93" s="628" t="str">
        <f t="shared" ref="E93:E95" si="7">IFERROR(IF(OR($D$96="",$H93=10,NOT(ISNUMBER($H93))),"",IF(H93=$H$96,"Limiting","")),"")</f>
        <v>Limiting</v>
      </c>
      <c r="F93" s="258"/>
      <c r="G93" s="683">
        <f>IF(OR(LEN(D93)&gt;0,D92=WIEA!$C$23),1,0)</f>
        <v>1</v>
      </c>
      <c r="H93" s="677">
        <f>VLOOKUP('Interactive Data Grading'!D93,WIEA!$D$6:$G$16,4,FALSE)</f>
        <v>9</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90</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808</v>
      </c>
      <c r="D96" s="753">
        <f>IF(D62="No","n/a",IF(G96=0,"",H96))</f>
        <v>9</v>
      </c>
      <c r="E96" s="628"/>
      <c r="F96" s="258"/>
      <c r="G96" s="683">
        <f>MIN(G92:G95)</f>
        <v>1</v>
      </c>
      <c r="H96" s="680">
        <f t="array" ref="H96">MIN(IF(ISNUMBER(H92:H95),H92:H95))</f>
        <v>9</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266</v>
      </c>
      <c r="E244" s="628" t="str">
        <f>IF(OR($D$247=10,$D$247=3),"",IFERROR(IF(H244=MIN($H$244:$H$246),"Limiting",""),""))</f>
        <v>Limiting</v>
      </c>
      <c r="F244" s="258"/>
      <c r="H244" s="677">
        <f>VLOOKUP('Interactive Data Grading'!D244,UUAC!$C$6:$F$15,4,FALSE)</f>
        <v>8</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8</v>
      </c>
      <c r="E247" s="628"/>
      <c r="F247" s="258"/>
      <c r="H247" s="680">
        <f>MIN(H244:H246)</f>
        <v>8</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Uniontown/Connellsville District 230</v>
      </c>
      <c r="Q3" s="552"/>
      <c r="R3" s="552"/>
      <c r="S3" s="552"/>
      <c r="T3" s="552"/>
      <c r="U3" s="552"/>
      <c r="V3" s="552"/>
      <c r="W3" s="552"/>
      <c r="X3" s="552"/>
      <c r="Y3" s="552"/>
      <c r="Z3" s="552"/>
      <c r="AA3" s="552"/>
      <c r="AB3" s="552"/>
      <c r="AC3" s="549"/>
      <c r="AD3" s="550"/>
      <c r="AE3" s="551"/>
      <c r="AF3" s="548" t="s">
        <v>706</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89</v>
      </c>
      <c r="BS6" s="585"/>
      <c r="BT6" s="584"/>
      <c r="BU6" s="586"/>
      <c r="BV6" s="586"/>
      <c r="BW6" s="586"/>
      <c r="BX6" s="50"/>
      <c r="BY6" s="50"/>
    </row>
    <row r="7" spans="1:77" s="190" customFormat="1" ht="12.95" customHeight="1">
      <c r="A7" s="189"/>
      <c r="B7" s="265"/>
      <c r="C7" s="50"/>
      <c r="D7" s="193"/>
      <c r="E7" s="711"/>
      <c r="F7" s="193"/>
      <c r="G7" s="193"/>
      <c r="H7" s="553"/>
      <c r="I7" s="654" t="s">
        <v>887</v>
      </c>
      <c r="J7" s="1068">
        <f>BR6</f>
        <v>89</v>
      </c>
      <c r="K7" s="1068"/>
      <c r="L7" s="655"/>
      <c r="M7" s="655"/>
      <c r="N7" s="655"/>
      <c r="O7" s="655"/>
      <c r="P7" s="655"/>
      <c r="Q7" s="654" t="s">
        <v>888</v>
      </c>
      <c r="R7" s="1067" t="str">
        <f>IF(BO2&gt;0,"",BR4)</f>
        <v>Tier IV (71-90)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586</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89</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109.73333333333333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56.143352105694184</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56.143352105694184</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56.143352105694184</v>
      </c>
      <c r="AB18" s="1061"/>
      <c r="AC18" s="1061"/>
      <c r="AD18" s="730" t="str">
        <f>BD13</f>
        <v>$/conn/year</v>
      </c>
      <c r="AE18" s="731"/>
      <c r="AF18" s="732"/>
      <c r="AG18" s="732"/>
      <c r="AH18" s="733"/>
      <c r="AI18" s="733"/>
      <c r="AJ18" s="731"/>
      <c r="AK18" s="1061">
        <f>BS22</f>
        <v>23.659829505521067</v>
      </c>
      <c r="AL18" s="1061"/>
      <c r="AM18" s="1061"/>
      <c r="AN18" s="730" t="str">
        <f>BD13</f>
        <v>$/conn/year</v>
      </c>
      <c r="AO18" s="731"/>
      <c r="AP18" s="731"/>
      <c r="AQ18" s="731"/>
      <c r="AR18" s="731"/>
      <c r="AS18" s="731"/>
      <c r="AT18" s="731"/>
      <c r="AU18" s="1061">
        <f>BS29</f>
        <v>32.483522600173117</v>
      </c>
      <c r="AV18" s="1061"/>
      <c r="AW18" s="1061"/>
      <c r="AX18" s="730" t="str">
        <f>BD13</f>
        <v>$/conn/year</v>
      </c>
      <c r="AY18" s="576"/>
      <c r="AZ18" s="193"/>
      <c r="BA18" s="193"/>
      <c r="BB18" s="272"/>
      <c r="BC18" s="89"/>
      <c r="BD18" s="50" t="s">
        <v>911</v>
      </c>
      <c r="BE18" s="182">
        <f>(((5.41*Worksheet!H61)+(0.15*Worksheet!H62)+(7.5*(Worksheet!H62*Worksheet!W67/5280)))*Worksheet!H68)/1000000*365</f>
        <v>118.91598135136363</v>
      </c>
      <c r="BN18" s="535"/>
      <c r="BO18" s="591" t="s">
        <v>928</v>
      </c>
      <c r="BP18" s="593">
        <f>BQ18-BQ17</f>
        <v>8.9525318444022357</v>
      </c>
      <c r="BQ18" s="758">
        <f t="shared" si="0"/>
        <v>18.283980813778896</v>
      </c>
      <c r="BR18" s="591" t="s">
        <v>900</v>
      </c>
      <c r="BS18" s="595">
        <f>SUM(BP16:BP20)-SUM(BS16,BS17)</f>
        <v>58.534626481041933</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364.9392680519037</v>
      </c>
      <c r="BF19" s="181">
        <f>BE19*325851.427242/Worksheet!H62/365</f>
        <v>27.586554545454543</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663.23660899999993</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23.659829505521067</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23.659829505521067</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24.418592148122041</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45.035908927035699</v>
      </c>
      <c r="AB29" s="1062"/>
      <c r="AC29" s="1062"/>
      <c r="AD29" s="729" t="str">
        <f>BD10</f>
        <v>gal/conn/day</v>
      </c>
      <c r="AE29" s="729"/>
      <c r="AF29" s="734"/>
      <c r="AG29" s="734"/>
      <c r="AH29" s="575"/>
      <c r="AI29" s="575"/>
      <c r="AJ29" s="575"/>
      <c r="AK29" s="1062">
        <f>BS43</f>
        <v>4.7655183637488419</v>
      </c>
      <c r="AL29" s="1062"/>
      <c r="AM29" s="1062"/>
      <c r="AN29" s="730" t="str">
        <f>BD10</f>
        <v>gal/conn/day</v>
      </c>
      <c r="AO29" s="575"/>
      <c r="AP29" s="575"/>
      <c r="AQ29" s="575"/>
      <c r="AR29" s="575"/>
      <c r="AS29" s="575"/>
      <c r="AT29" s="575"/>
      <c r="AU29" s="1057">
        <f>BS55</f>
        <v>40.27039056328686</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32.483522600173117</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32.483522600173117</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98</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38.042407816362903</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AOP is above 90th %ile</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45.035908927035699</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45.035908927035699</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203.26367926412695</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1.4597832613323667</v>
      </c>
      <c r="AI41" s="1056"/>
      <c r="AJ41" s="1056"/>
      <c r="AK41" s="729" t="s">
        <v>949</v>
      </c>
      <c r="AL41" s="661"/>
      <c r="AM41" s="662"/>
      <c r="AN41" s="658"/>
      <c r="AO41" s="658"/>
      <c r="AP41" s="658"/>
      <c r="AQ41" s="658"/>
      <c r="AR41" s="658"/>
      <c r="AS41" s="1055">
        <f>BS69</f>
        <v>2013.519528164343</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118.91598135136363</v>
      </c>
      <c r="AL43" s="1054"/>
      <c r="AM43" s="1054"/>
      <c r="AN43" s="1054"/>
      <c r="AO43" s="773" t="str">
        <f>BD7</f>
        <v>MG/Yr</v>
      </c>
      <c r="AP43" s="575"/>
      <c r="AQ43" s="575"/>
      <c r="AR43" s="575"/>
      <c r="AS43" s="1054">
        <f>IF(BG19=1,BF19,IFERROR(AK43*1000000/Worksheet!H62/365,""))</f>
        <v>27.586554545454543</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4.7655183637488419</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4.7655183637488419</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27.615344231504331</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49">
        <f>IF(ISBLANK('Start Page'!$AB$22),"",Worksheet!H46)</f>
        <v>20.542481734693943</v>
      </c>
      <c r="J49" s="1049"/>
      <c r="K49" s="1049"/>
      <c r="L49" s="1049"/>
      <c r="M49" s="558"/>
      <c r="N49" s="1050">
        <f>IF(OR(ISBLANK('Start Page'!$AB$22),ISBLANK(Worksheet!J76)),"",(SUM(Worksheet!H43+Worksheet!H39+Worksheet!X50)*Worksheet!H76)*INDEX(Sheet1!B2:D4,MATCH('Start Page'!AB22,Sheet1!A2:A4,0),MATCH(Worksheet!J76,Sheet1!B1:D1,0))+Worksheet!Y50*Worksheet!H77)</f>
        <v>279422.58646020381</v>
      </c>
      <c r="O49" s="1050"/>
      <c r="P49" s="1050"/>
      <c r="Q49" s="1050"/>
      <c r="R49" s="1048" t="s">
        <v>580</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173.59155908163248</v>
      </c>
      <c r="J50" s="1049"/>
      <c r="K50" s="1049"/>
      <c r="L50" s="1049"/>
      <c r="M50" s="558"/>
      <c r="N50" s="1050">
        <f>IFERROR(IF(Worksheet!H41="Select under/over","",IF(ISBLANK('Start Page'!AB22),"",Worksheet!H51*(IF(BD29=FALSE,Worksheet!H77,IF(BD29=TRUE,Worksheet!H76*INDEX(Sheet1!B2:D4,MATCH('Start Page'!AB22,Sheet1!A2:A4,0),MATCH(Worksheet!J76,Sheet1!B1:D1,0)),""))))),"")</f>
        <v>383630.40190804453</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246.834</v>
      </c>
      <c r="J51" s="1049"/>
      <c r="K51" s="1049"/>
      <c r="L51" s="1049"/>
      <c r="M51" s="558"/>
      <c r="N51" s="1050">
        <f>IFERROR(IF(SUM(Sheet1!D90:D91)=0,"",SUM(Sheet1!D90:D91)),"")</f>
        <v>545493.26664000005</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440.96804081632644</v>
      </c>
      <c r="J52" s="1049"/>
      <c r="K52" s="1049"/>
      <c r="L52" s="1049"/>
      <c r="M52" s="558"/>
      <c r="N52" s="1050">
        <f>IF(SUM(N49:N51)=0,"",SUM(N49:N51))</f>
        <v>1208546.2550082484</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40.27039056328686</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40.27039056328686</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188.74864178592614</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1.4597832613323667</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1.4597832613323667</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9.8063944658368758</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2013.519528164343</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2013.519528164343</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10037.549381536161</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45.665808526427512</v>
      </c>
      <c r="BQ83" s="608">
        <f>BP83+BQ78</f>
        <v>98</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Uniontown/Connellsville District 230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440 MG/Yr</v>
      </c>
    </row>
    <row r="79" spans="1:6" ht="16.5">
      <c r="B79" s="46"/>
      <c r="C79" s="46"/>
      <c r="D79" s="46"/>
      <c r="E79" s="8" t="str">
        <f>IFERROR("Total Cost of NRW = $"&amp;TEXT(SUM(D90,D91,D94,D95,D96,D97,D99),"#,###")&amp;"/Yr","")</f>
        <v>Total Cost of NRW = $1,208,546/Yr</v>
      </c>
      <c r="F79" s="46"/>
    </row>
    <row r="80" spans="1:6">
      <c r="A80"/>
      <c r="B80"/>
      <c r="C80" s="47" t="str">
        <f>"Volume ("&amp;Worksheet!J15&amp;")"</f>
        <v>Volume (MG/Yr)</v>
      </c>
      <c r="D80" s="47" t="s">
        <v>1041</v>
      </c>
      <c r="E80" s="79" t="s">
        <v>1042</v>
      </c>
      <c r="F80"/>
    </row>
    <row r="81" spans="1:6">
      <c r="A81" s="118" t="s">
        <v>1043</v>
      </c>
      <c r="B81" s="118"/>
      <c r="C81" s="100">
        <f>IF(Dashboard!BO$2&gt;0,"",Worksheet!H15)</f>
        <v>600.00699999999995</v>
      </c>
      <c r="D81" s="872">
        <f>IF(Dashboard!BO$2&gt;0,"",C81*(Worksheet!$H$77))</f>
        <v>1325991.4697199999</v>
      </c>
      <c r="E81" s="489">
        <f>D81</f>
        <v>1325991.4697199999</v>
      </c>
      <c r="F81" s="75" t="s">
        <v>1044</v>
      </c>
    </row>
    <row r="82" spans="1:6">
      <c r="A82" s="118" t="str">
        <f>A81&amp;" MA"</f>
        <v>Vol. from own sources: MA</v>
      </c>
      <c r="B82" s="118"/>
      <c r="C82" s="100">
        <f>IF(Dashboard!BO$2&gt;0,"",Worksheet!X15)</f>
        <v>12.00014</v>
      </c>
      <c r="D82" s="872">
        <f>IF(Dashboard!BO$2&gt;0,"",C82*(Worksheet!$H$77))</f>
        <v>26519.8293944</v>
      </c>
      <c r="E82" s="489">
        <f t="shared" ref="E82:E100" si="0">D82</f>
        <v>26519.8293944</v>
      </c>
      <c r="F82"/>
    </row>
    <row r="83" spans="1:6">
      <c r="A83" t="s">
        <v>1045</v>
      </c>
      <c r="B83"/>
      <c r="C83" s="100">
        <f>IF(Dashboard!BO$2&gt;0,"",Worksheet!H16)</f>
        <v>618.64499999999998</v>
      </c>
      <c r="D83" s="872">
        <f>IF(Dashboard!BO$2&gt;0,"",C83*(Worksheet!$H$77))</f>
        <v>1367180.7042</v>
      </c>
      <c r="E83" s="489">
        <f t="shared" si="0"/>
        <v>1367180.7042</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1230.8970408163264</v>
      </c>
      <c r="D87" s="872">
        <f>IF(Dashboard!BO$2&gt;0,"",C87*(Worksheet!$H$77))</f>
        <v>2720233.2243224485</v>
      </c>
      <c r="E87" s="489">
        <f t="shared" si="0"/>
        <v>2720233.2243224485</v>
      </c>
      <c r="F87"/>
    </row>
    <row r="88" spans="1:6">
      <c r="A88" s="118" t="s">
        <v>1047</v>
      </c>
      <c r="B88"/>
      <c r="C88" s="100">
        <f>IF(Dashboard!BO$2&gt;0,"",Worksheet!H23)</f>
        <v>789.92899999999997</v>
      </c>
      <c r="D88" s="872">
        <f>IF(Dashboard!BO$2&gt;0,"",C88*(Worksheet!$H$76*1000))</f>
        <v>10956315.23</v>
      </c>
      <c r="E88" s="489">
        <f t="shared" si="0"/>
        <v>10956315.23</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23.12</v>
      </c>
      <c r="D90" s="873">
        <f>IF(Dashboard!BO$2&gt;0,"",IF(ISBLANK('Start Page'!AB22),"",IF(AND(ISBLANK(Worksheet!H77),Worksheet!Z77&lt;&gt;1),"",Worksheet!H25*(IF(Dashboard!BD29=FALSE,Worksheet!H77,IF(Dashboard!BD29=TRUE,Worksheet!H76*INDEX(Sheet1!B2:D4,MATCH('Start Page'!AB22,Sheet1!A2:A4,0),MATCH(Worksheet!J76,Sheet1!B1:D1,0)),""))))))</f>
        <v>51094.275200000004</v>
      </c>
      <c r="E90" s="796">
        <f t="shared" si="0"/>
        <v>51094.275200000004</v>
      </c>
      <c r="F90"/>
    </row>
    <row r="91" spans="1:6">
      <c r="A91" s="797" t="str">
        <f>"Unbilled Unmetered (UUAC) valued at "&amp;A76&amp;""</f>
        <v xml:space="preserve">Unbilled Unmetered (UUAC) valued at </v>
      </c>
      <c r="B91" s="794"/>
      <c r="C91" s="795">
        <f>IF(Dashboard!BO$2&gt;0,"",Worksheet!H26)</f>
        <v>223.714</v>
      </c>
      <c r="D91" s="873">
        <f>IF(Dashboard!BO$2&gt;0,"",IF(ISBLANK('Start Page'!AB22),"",IF(AND(ISBLANK(Worksheet!H77),Worksheet!Z77&lt;&gt;1),"",Worksheet!H26*(IF(Dashboard!BD29=FALSE,Worksheet!H77,IF(Dashboard!BD29=TRUE,Worksheet!H76*INDEX(Sheet1!B2:D4,MATCH('Start Page'!AB22,Sheet1!A2:A4,0),MATCH(Worksheet!J76,Sheet1!B1:D1,0)),""))))))</f>
        <v>494398.99144000001</v>
      </c>
      <c r="E91" s="796">
        <f t="shared" si="0"/>
        <v>494398.99144000001</v>
      </c>
      <c r="F91"/>
    </row>
    <row r="92" spans="1:6">
      <c r="A92" s="118" t="s">
        <v>1049</v>
      </c>
      <c r="B92" s="874" t="s">
        <v>1050</v>
      </c>
      <c r="C92" s="100">
        <f>IF(Dashboard!BO$2&gt;0,"",Worksheet!H30)</f>
        <v>1036.7629999999999</v>
      </c>
      <c r="D92" s="872">
        <f>IF(Dashboard!BO$2&gt;0,"",C92*(Worksheet!$H$76*1000))</f>
        <v>14379902.809999999</v>
      </c>
      <c r="E92" s="489">
        <f t="shared" si="0"/>
        <v>14379902.809999999</v>
      </c>
      <c r="F92"/>
    </row>
    <row r="93" spans="1:6">
      <c r="A93" t="s">
        <v>1051</v>
      </c>
      <c r="B93"/>
      <c r="C93" s="100">
        <f>IF(Dashboard!BO$2&gt;0,"",Worksheet!H35)</f>
        <v>194.13404081632643</v>
      </c>
      <c r="D93" s="872"/>
      <c r="E93" s="489">
        <f t="shared" si="0"/>
        <v>0</v>
      </c>
      <c r="F93"/>
    </row>
    <row r="94" spans="1:6">
      <c r="A94" s="171" t="s">
        <v>1052</v>
      </c>
      <c r="B94" s="118"/>
      <c r="C94" s="102">
        <f>IF(Dashboard!BO$2&gt;0,"",Worksheet!H43)</f>
        <v>1.9748224999999999</v>
      </c>
      <c r="D94" s="875">
        <f>IF(Dashboard!BO$2&gt;0,"",IF(ISBLANK('Start Page'!AB22),"",IF(AND(ISBLANK(Worksheet!H77),Worksheet!Z77&lt;&gt;1),"",C94*Worksheet!H76*INDEX(Sheet1!B2:D4,MATCH('Start Page'!AB22,Sheet1!A2:A4,0),MATCH(Worksheet!J76,Sheet1!B1:D1,0)))))</f>
        <v>27390.788074999997</v>
      </c>
      <c r="E94" s="490">
        <f t="shared" si="0"/>
        <v>27390.788074999997</v>
      </c>
      <c r="F94" s="103"/>
    </row>
    <row r="95" spans="1:6">
      <c r="A95" s="785" t="s">
        <v>1053</v>
      </c>
      <c r="B95" s="785"/>
      <c r="C95" s="786">
        <f>Worksheet!X50</f>
        <v>16.120999999999981</v>
      </c>
      <c r="D95" s="876">
        <f>IF(Dashboard!BO$2&gt;0,"",IF(ISBLANK('Start Page'!AB22),"",IF(AND(ISBLANK(Worksheet!H77),Worksheet!Z77&lt;&gt;1),"",C95*Worksheet!H76*INDEX(Sheet1!B2:D4,MATCH('Start Page'!AB22,Sheet1!A2:A4,0),MATCH(Worksheet!J76,Sheet1!B1:D1,0)))))</f>
        <v>223598.26999999973</v>
      </c>
      <c r="E95" s="787">
        <f t="shared" si="0"/>
        <v>223598.26999999973</v>
      </c>
      <c r="F95" s="103"/>
    </row>
    <row r="96" spans="1:6">
      <c r="A96" s="785" t="s">
        <v>1054</v>
      </c>
      <c r="B96" s="785"/>
      <c r="C96" s="786">
        <f>Worksheet!Y50</f>
        <v>0.47183673469387699</v>
      </c>
      <c r="D96" s="876">
        <f>C96*input_VPC</f>
        <v>1042.7403102040805</v>
      </c>
      <c r="E96" s="787">
        <f t="shared" si="0"/>
        <v>1042.7403102040805</v>
      </c>
      <c r="F96" s="788" t="s">
        <v>1055</v>
      </c>
    </row>
    <row r="97" spans="1:7">
      <c r="A97" s="171" t="s">
        <v>1056</v>
      </c>
      <c r="B97" s="118"/>
      <c r="C97" s="102">
        <f>IF(Dashboard!BO$2&gt;0,"",Worksheet!H39)</f>
        <v>1.9748224999999999</v>
      </c>
      <c r="D97" s="875">
        <f>IF(Dashboard!BO$2&gt;0,"",IF(ISBLANK('Start Page'!AB22),"",IF(AND(ISBLANK(Worksheet!H77),Worksheet!Z77&lt;&gt;1),"",C97*Worksheet!H76*INDEX(Sheet1!B2:D4,MATCH('Start Page'!AB22,Sheet1!A2:A4,0),MATCH(Worksheet!J76,Sheet1!B1:D1,0)))))</f>
        <v>27390.788074999997</v>
      </c>
      <c r="E97" s="490">
        <f t="shared" si="0"/>
        <v>27390.788074999997</v>
      </c>
      <c r="F97" s="103"/>
    </row>
    <row r="98" spans="1:7">
      <c r="A98" s="792" t="s">
        <v>749</v>
      </c>
      <c r="B98" s="792"/>
      <c r="C98" s="793">
        <f>IF(Dashboard!BO$2&gt;0,"",Worksheet!H46)</f>
        <v>20.542481734693943</v>
      </c>
      <c r="D98" s="877">
        <f>IF(Dashboard!BO$2&gt;0,"",SUM(D94:D97))</f>
        <v>279422.58646020381</v>
      </c>
      <c r="E98" s="489">
        <f t="shared" si="0"/>
        <v>279422.58646020381</v>
      </c>
      <c r="F98"/>
    </row>
    <row r="99" spans="1:7">
      <c r="A99" s="171" t="str">
        <f>"Real Losses valued at "&amp;A76&amp;""</f>
        <v xml:space="preserve">Real Losses valued at </v>
      </c>
      <c r="B99" s="118"/>
      <c r="C99" s="102">
        <f>IF(Dashboard!BO$2&gt;0,"",Worksheet!H51)</f>
        <v>173.59155908163248</v>
      </c>
      <c r="D99" s="878">
        <f>IF(Dashboard!BO$2&gt;0,"",Dashboard!N50)</f>
        <v>383630.40190804453</v>
      </c>
      <c r="E99" s="490">
        <f t="shared" si="0"/>
        <v>383630.40190804453</v>
      </c>
      <c r="F99" s="489"/>
    </row>
    <row r="100" spans="1:7">
      <c r="A100" t="s">
        <v>757</v>
      </c>
      <c r="B100"/>
      <c r="C100" s="100">
        <f>IF(Dashboard!BO$2&gt;0,"",Worksheet!H57)</f>
        <v>440.96804081632644</v>
      </c>
      <c r="D100" s="101">
        <f>IF(Dashboard!BO$2&gt;0,"",D98+D99+D90+D91)</f>
        <v>1208546.2550082484</v>
      </c>
      <c r="E100" s="489">
        <f t="shared" si="0"/>
        <v>1208546.2550082484</v>
      </c>
      <c r="F100"/>
      <c r="G100" s="104"/>
    </row>
    <row r="101" spans="1:7">
      <c r="A101" s="789"/>
    </row>
    <row r="102" spans="1:7">
      <c r="A102" s="789" t="s">
        <v>1057</v>
      </c>
      <c r="C102" s="790">
        <f>C95+C96</f>
        <v>16.592836734693858</v>
      </c>
      <c r="D102" s="104">
        <f>D95+D96</f>
        <v>224641.0103102038</v>
      </c>
      <c r="E102" s="104">
        <f>E95+E96</f>
        <v>224641.0103102038</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Uniontown/Connellsville District 230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789.92899999999997</v>
      </c>
      <c r="H12" s="881"/>
      <c r="I12" s="4"/>
      <c r="K12" s="756"/>
    </row>
    <row r="13" spans="2:16" ht="22.5" customHeight="1">
      <c r="B13" s="1089"/>
      <c r="C13" s="288"/>
      <c r="D13" s="286"/>
      <c r="E13" s="1098"/>
      <c r="F13" s="290">
        <f>Worksheet!H23+Worksheet!H24</f>
        <v>789.92899999999997</v>
      </c>
      <c r="G13" s="485" t="s">
        <v>1069</v>
      </c>
      <c r="H13" s="291">
        <f>SUM(G12+G14)</f>
        <v>789.92899999999997</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1036.7629999999999</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23.12</v>
      </c>
      <c r="H16" s="1097"/>
      <c r="I16" s="4"/>
      <c r="K16" s="118"/>
    </row>
    <row r="17" spans="2:16" ht="22.5" customHeight="1">
      <c r="B17" s="299">
        <f>Worksheet!AG15</f>
        <v>612.25204081632648</v>
      </c>
      <c r="C17" s="300"/>
      <c r="D17" s="301"/>
      <c r="E17" s="194"/>
      <c r="F17" s="302">
        <f>Worksheet!H25+Worksheet!H26</f>
        <v>246.834</v>
      </c>
      <c r="G17" s="289" t="s">
        <v>1074</v>
      </c>
      <c r="H17" s="881"/>
      <c r="I17" s="4"/>
      <c r="K17" s="118"/>
      <c r="L17" s="99"/>
      <c r="M17" s="99"/>
      <c r="N17" s="99"/>
      <c r="O17" s="99"/>
      <c r="P17" s="99"/>
    </row>
    <row r="18" spans="2:16" ht="15.75" customHeight="1">
      <c r="B18" s="297"/>
      <c r="C18" s="1110" t="s">
        <v>1075</v>
      </c>
      <c r="D18" s="286"/>
      <c r="E18" s="303"/>
      <c r="F18" s="294"/>
      <c r="G18" s="304">
        <f>Worksheet!H26</f>
        <v>223.714</v>
      </c>
      <c r="H18" s="881"/>
      <c r="I18" s="4"/>
      <c r="K18" s="118"/>
    </row>
    <row r="19" spans="2:16" ht="22.5" customHeight="1">
      <c r="B19" s="297"/>
      <c r="C19" s="1110"/>
      <c r="D19" s="815" t="s">
        <v>1076</v>
      </c>
      <c r="E19" s="282"/>
      <c r="F19" s="884"/>
      <c r="G19" s="485" t="s">
        <v>1077</v>
      </c>
      <c r="H19" s="305">
        <f>Worksheet!H25+Worksheet!H26+Worksheet!H46+Worksheet!H51</f>
        <v>440.96804081632638</v>
      </c>
      <c r="I19" s="4"/>
      <c r="K19" s="118"/>
      <c r="L19" s="99"/>
      <c r="M19" s="99"/>
      <c r="N19" s="99"/>
      <c r="O19" s="99"/>
      <c r="P19" s="99"/>
    </row>
    <row r="20" spans="2:16" ht="15.75" customHeight="1">
      <c r="B20" s="297"/>
      <c r="C20" s="306">
        <f>B17+B27</f>
        <v>1230.8970408163264</v>
      </c>
      <c r="D20" s="286"/>
      <c r="E20" s="194"/>
      <c r="F20" s="307" t="s">
        <v>745</v>
      </c>
      <c r="G20" s="298">
        <f>Worksheet!H39</f>
        <v>1.9748224999999999</v>
      </c>
      <c r="H20" s="881"/>
      <c r="I20" s="4"/>
      <c r="K20" s="118"/>
    </row>
    <row r="21" spans="2:16" ht="14.25" customHeight="1">
      <c r="B21" s="308"/>
      <c r="C21" s="309"/>
      <c r="D21" s="306">
        <f>Worksheet!H19</f>
        <v>1230.8970408163264</v>
      </c>
      <c r="E21" s="310"/>
      <c r="F21" s="302">
        <f>Worksheet!H46</f>
        <v>20.542481734693943</v>
      </c>
      <c r="G21" s="289" t="s">
        <v>1078</v>
      </c>
      <c r="H21" s="881"/>
      <c r="I21" s="4"/>
      <c r="K21" s="118"/>
      <c r="L21" s="99"/>
      <c r="M21" s="99"/>
      <c r="N21" s="99"/>
      <c r="O21" s="99"/>
      <c r="P21" s="99"/>
    </row>
    <row r="22" spans="2:16" ht="15.75" customHeight="1">
      <c r="B22" s="297"/>
      <c r="C22" s="285"/>
      <c r="D22" s="286"/>
      <c r="E22" s="194"/>
      <c r="F22" s="310"/>
      <c r="G22" s="311">
        <f>Worksheet!H41</f>
        <v>16.592836734693947</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1.9748224999999999</v>
      </c>
      <c r="H24" s="881"/>
      <c r="I24" s="4"/>
      <c r="K24" s="118"/>
    </row>
    <row r="25" spans="2:16" ht="26.25" customHeight="1">
      <c r="B25" s="1088" t="s">
        <v>1080</v>
      </c>
      <c r="C25" s="288"/>
      <c r="D25" s="286"/>
      <c r="E25" s="313">
        <f>Worksheet!H53</f>
        <v>194.13404081632643</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618.64499999999998</v>
      </c>
      <c r="C27" s="300"/>
      <c r="D27" s="286"/>
      <c r="E27" s="194"/>
      <c r="F27" s="302">
        <f>Worksheet!H51</f>
        <v>173.59155908163248</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705</v>
      </c>
      <c r="G4" s="1111" t="str">
        <f>IF(ISBLANK('Start Page'!AB9),"&lt;&lt; Please enter system details on the Start Page &gt;&gt;",'Start Page'!AB9&amp;IF(ISBLANK('Start Page'!AM28),"","  ("&amp;'Start Page'!AM28&amp;")"))</f>
        <v>PAW- Uniontown/Connellsville District 230</v>
      </c>
      <c r="H4" s="1112"/>
      <c r="I4" s="1112"/>
      <c r="J4" s="1112"/>
      <c r="K4" s="1112"/>
      <c r="L4" s="1112"/>
      <c r="M4" s="1112"/>
      <c r="N4" s="1112"/>
      <c r="O4" s="1113"/>
      <c r="S4" s="323"/>
      <c r="T4" s="91"/>
    </row>
    <row r="5" spans="1:20" ht="17.100000000000001" customHeight="1">
      <c r="A5" s="96"/>
      <c r="B5" s="322"/>
      <c r="E5"/>
      <c r="F5" s="274" t="s">
        <v>706</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17.06432249815126</v>
      </c>
      <c r="AF98" s="35">
        <f t="shared" ref="AF98:AF103" si="0">AE98</f>
        <v>17.06432249815126</v>
      </c>
      <c r="AG98" s="35">
        <f>IF(AE98&lt;&gt;0,AF98/10,0)</f>
        <v>1.7064322498151259</v>
      </c>
      <c r="AH98" s="35">
        <f>IFERROR(AD98*AG98,0)</f>
        <v>17.06432249815126</v>
      </c>
      <c r="AI98" s="35">
        <f t="shared" ref="AI98:AI117" si="1">IF(AG98=0,0,AF98-AH98)</f>
        <v>0</v>
      </c>
      <c r="AJ98">
        <f t="array" aca="1" ref="AJ98" ca="1">SUM(1*(AI98&lt;$AI$98:$AI$117))+1+IF(ROW(AI98)-ROW($AI$98)=0,0,SUM(1*(AI98=OFFSET($AI$98,0,0,INDEX(ROW(AI98)-ROW($AI$98)+1,1)-1,1))))</f>
        <v>7</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0.34128644996302526</v>
      </c>
      <c r="AF99" s="35">
        <f t="shared" si="0"/>
        <v>0.34128644996302526</v>
      </c>
      <c r="AG99" s="35">
        <f t="shared" ref="AG99:AG117" si="3">IF(AE99&lt;&gt;0,AF99/10,0)</f>
        <v>3.4128644996302526E-2</v>
      </c>
      <c r="AH99" s="35">
        <f t="shared" ref="AH99:AH106" si="4">IFERROR(AD99*AG99,0)</f>
        <v>0.30715780496672274</v>
      </c>
      <c r="AI99" s="35">
        <f t="shared" si="1"/>
        <v>3.4128644996302526E-2</v>
      </c>
      <c r="AJ99">
        <f t="array" aca="1" ref="AJ99" ca="1">SUM(1*(AI99&lt;$AI$98:$AI$117))+1+IF(ROW(AI99)-ROW($AI$98)=0,0,SUM(1*(AI99=OFFSET($AI$98,0,0,INDEX(ROW(AI99)-ROW($AI$98)+1,1)-1,1))))</f>
        <v>6</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9</v>
      </c>
      <c r="AE100" s="56">
        <f>Worksheet!Y16</f>
        <v>17.594391051885708</v>
      </c>
      <c r="AF100" s="35">
        <f t="shared" si="0"/>
        <v>17.594391051885708</v>
      </c>
      <c r="AG100" s="35">
        <f t="shared" si="3"/>
        <v>1.7594391051885707</v>
      </c>
      <c r="AH100" s="35">
        <f t="shared" si="4"/>
        <v>15.834951946697137</v>
      </c>
      <c r="AI100" s="35">
        <f t="shared" si="1"/>
        <v>1.7594391051885712</v>
      </c>
      <c r="AJ100">
        <f t="array" aca="1" ref="AJ100" ca="1">SUM(1*(AI100&lt;$AI$98:$AI$117))+1+IF(ROW(AI100)-ROW($AI$98)=0,0,SUM(1*(AI100=OFFSET($AI$98,0,0,INDEX(ROW(AI100)-ROW($AI$98)+1,1)-1,1))))</f>
        <v>4</v>
      </c>
      <c r="AK100" s="118" t="str">
        <f t="shared" si="5"/>
        <v>Water Imported (WI)</v>
      </c>
      <c r="AL100">
        <f t="shared" si="6"/>
        <v>1</v>
      </c>
      <c r="AM100">
        <f t="shared" si="7"/>
        <v>1</v>
      </c>
      <c r="AN100">
        <f t="shared" si="2"/>
        <v>0</v>
      </c>
    </row>
    <row r="101" spans="28:40">
      <c r="AC101" s="168" t="s">
        <v>1157</v>
      </c>
      <c r="AD101" s="36">
        <f>IF(Worksheet!M16="n/a",0,Worksheet!M16)</f>
        <v>9</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8</v>
      </c>
      <c r="AK101" s="118" t="str">
        <f t="shared" si="5"/>
        <v>WI Error Adjustment (WIEA)</v>
      </c>
      <c r="AL101">
        <f t="shared" si="6"/>
        <v>0</v>
      </c>
      <c r="AM101">
        <f t="shared" si="7"/>
        <v>1</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9</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10</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13.601893612808086</v>
      </c>
      <c r="AF104" s="67">
        <f t="shared" ref="AF104:AF117" si="8">AE104/$AE$120</f>
        <v>16.681567638349538</v>
      </c>
      <c r="AG104" s="67">
        <f t="shared" si="3"/>
        <v>1.6681567638349537</v>
      </c>
      <c r="AH104" s="67">
        <f t="shared" ref="AH104:AH117" si="9">AD104*AG104</f>
        <v>16.681567638349538</v>
      </c>
      <c r="AI104" s="67">
        <f t="shared" si="1"/>
        <v>0</v>
      </c>
      <c r="AJ104" s="68">
        <f t="array" aca="1" ref="AJ104" ca="1">SUM(1*(AI104&lt;$AI$98:$AI$117))+1+IF(ROW(AI104)-ROW($AI$98)=0,0,SUM(1*(AI104=OFFSET($AI$98,0,0,INDEX(ROW(AI104)-ROW($AI$98)+1,1)-1,1))))</f>
        <v>11</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0.39810638719191593</v>
      </c>
      <c r="AF106" s="71">
        <f t="shared" si="8"/>
        <v>0.4882436824051799</v>
      </c>
      <c r="AG106" s="71">
        <f t="shared" si="3"/>
        <v>4.8824368240517987E-2</v>
      </c>
      <c r="AH106" s="35">
        <f t="shared" si="4"/>
        <v>0.4882436824051799</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8</v>
      </c>
      <c r="AE107" s="62">
        <v>2</v>
      </c>
      <c r="AF107" s="63">
        <f t="shared" si="8"/>
        <v>2.4528301886792452</v>
      </c>
      <c r="AG107" s="63">
        <f t="shared" si="3"/>
        <v>0.24528301886792453</v>
      </c>
      <c r="AH107" s="63">
        <f t="shared" si="9"/>
        <v>1.9622641509433962</v>
      </c>
      <c r="AI107" s="63">
        <f t="shared" si="1"/>
        <v>0.49056603773584895</v>
      </c>
      <c r="AJ107" s="64">
        <f t="array" aca="1" ref="AJ107" ca="1">SUM(1*(AI107&lt;$AI$98:$AI$117))+1+IF(ROW(AI107)-ROW($AI$98)=0,0,SUM(1*(AI107=OFFSET($AI$98,0,0,INDEX(ROW(AI107)-ROW($AI$98)+1,1)-1,1))))</f>
        <v>5</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9.9999999999999964</v>
      </c>
      <c r="AH118" s="78">
        <f>SUM(AH98:AH117)</f>
        <v>89.498885080003802</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0378F8E9-1884-4827-939B-C6E359E002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2024-05-22T17:23:34Z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2024-02-01T16:46:48Z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908e1107-79d2-4d31-a979-974fd7a039bd</vt:lpwstr>
  </property>
  <property fmtid="{D5CDD505-2E9C-101B-9397-08002B2CF9AE}" pid="9" name="MSIP_Label_846c87f6-c46e-48eb-b7ce-d3a4a7d30611_ContentBits">
    <vt:lpwstr>0</vt:lpwstr>
  </property>
</Properties>
</file>