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3C731AD5-F9EF-417C-B470-340899BBA5B8}"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<sst xmlns="http://schemas.openxmlformats.org/spreadsheetml/2006/main" count="2569" uniqueCount="1282">
  <si>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</si>
  <si>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</si>
  <si>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</si>
  <si>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</si>
  <si>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</si>
  <si>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</si>
  <si>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</si>
  <si>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</si>
  <si>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</si>
  <si>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</si>
  <si>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</si>
  <si>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</si>
  <si>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</si>
  <si>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</si>
  <si>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</si>
  <si>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</si>
  <si>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</si>
  <si>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</si>
  <si>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</si>
  <si>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</si>
  <si>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</si>
  <si>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</si>
  <si>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</si>
  <si>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</si>
  <si>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</si>
  <si>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</si>
  <si>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</si>
  <si>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</si>
  <si>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</si>
  <si>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</si>
  <si>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</si>
  <si>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</si>
  <si>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</si>
  <si>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</si>
  <si>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</si>
  <si>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</si>
  <si>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</si>
  <si>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</si>
  <si>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</si>
  <si>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</si>
  <si>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</si>
  <si>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</si>
  <si>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</si>
  <si>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</si>
  <si>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</si>
  <si>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</si>
  <si>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</si>
  <si>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</si>
  <si>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</si>
  <si>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</si>
  <si>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</si>
  <si>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</si>
  <si>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</si>
  <si>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</si>
  <si>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</si>
  <si>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</si>
  <si>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</si>
  <si>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</si>
  <si>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</si>
  <si>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</si>
  <si>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</si>
  <si>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</si>
  <si>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</si>
  <si>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</si>
  <si>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</si>
  <si>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</si>
  <si>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</si>
  <si>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</si>
  <si>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</si>
  <si>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</si>
  <si>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</si>
  <si>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</si>
  <si>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</si>
  <si>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</si>
  <si>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</si>
  <si>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</si>
  <si>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</si>
  <si>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</si>
  <si>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</si>
  <si>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</si>
  <si>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</si>
  <si>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</si>
  <si>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</si>
  <si>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</si>
  <si>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</si>
  <si>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</si>
  <si>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</si>
  <si>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</si>
  <si>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</si>
  <si>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</si>
  <si>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</si>
  <si>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</si>
  <si>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</si>
  <si>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</si>
  <si>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</si>
  <si>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</si>
  <si>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</si>
  <si>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</si>
  <si>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</si>
  <si>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</si>
  <si>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</si>
  <si>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</si>
  <si>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</si>
  <si>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</si>
  <si>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</si>
  <si>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</si>
  <si>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</si>
  <si>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</si>
  <si>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</si>
  <si>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</si>
  <si>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</si>
  <si>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</si>
  <si>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</si>
  <si>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</si>
  <si>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</si>
  <si>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</si>
  <si>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</si>
  <si>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</si>
  <si>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</si>
  <si>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</si>
  <si>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</si>
  <si>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</si>
  <si>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</si>
  <si>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</si>
  <si>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</si>
  <si>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</si>
  <si>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</si>
  <si>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</si>
  <si>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</si>
  <si>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</si>
  <si>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</si>
  <si>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</si>
  <si>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</si>
  <si>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</si>
  <si>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</si>
  <si>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</si>
  <si>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</si>
  <si>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</si>
  <si>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</si>
  <si>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</si>
  <si>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</si>
  <si>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</si>
  <si>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</si>
  <si>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</si>
  <si>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</si>
  <si>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</si>
  <si>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</si>
  <si>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</si>
  <si>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</si>
  <si>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</si>
  <si>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</si>
  <si>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</si>
  <si>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</si>
  <si>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</si>
  <si>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</si>
  <si>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</si>
  <si>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</si>
  <si>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</si>
  <si>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</si>
  <si>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</si>
  <si>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</si>
  <si>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</si>
  <si>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</si>
  <si>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</si>
  <si>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</si>
  <si>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</si>
  <si>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</si>
  <si>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</si>
  <si>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</si>
  <si>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</si>
  <si>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</si>
  <si>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</si>
  <si>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</si>
  <si>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</si>
  <si>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</si>
  <si>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</si>
  <si>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</si>
  <si>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</si>
  <si>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</si>
  <si>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</si>
  <si>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</si>
  <si>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</si>
  <si>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</si>
  <si>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</si>
  <si>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</si>
  <si>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</si>
  <si>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</si>
  <si>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</si>
  <si>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</si>
  <si>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</si>
  <si>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</si>
  <si>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</si>
  <si>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</si>
  <si>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</si>
  <si>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</si>
  <si>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</si>
  <si>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</si>
  <si>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</si>
  <si>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</si>
  <si>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</si>
  <si>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</si>
  <si>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</si>
  <si>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</si>
  <si>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</si>
  <si>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</si>
  <si>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</si>
  <si>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</si>
  <si>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</si>
  <si>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</si>
  <si>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</si>
  <si>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</si>
  <si>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</si>
  <si>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</si>
  <si>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</si>
  <si>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</si>
  <si>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</si>
  <si>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</si>
  <si>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</si>
  <si>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</si>
  <si>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</si>
  <si>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</si>
  <si>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</si>
  <si>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</si>
  <si>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</si>
  <si>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</si>
  <si>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</si>
  <si>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</si>
  <si>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</si>
  <si>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</si>
  <si>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</si>
  <si>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</si>
  <si>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</si>
  <si>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</si>
  <si>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</si>
  <si>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</si>
  <si>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</si>
  <si>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</si>
  <si>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</si>
  <si>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</si>
  <si>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</si>
  <si>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</si>
  <si>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</si>
  <si>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</si>
  <si>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</si>
  <si>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</si>
  <si>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</si>
  <si>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</si>
  <si>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</si>
  <si>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</si>
  <si>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</si>
  <si>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</si>
  <si>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</si>
  <si>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</si>
  <si>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</si>
  <si>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</si>
  <si>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</si>
  <si>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</si>
  <si>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</si>
  <si>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</si>
  <si>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</si>
  <si>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</si>
  <si>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</si>
  <si>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</si>
  <si>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</si>
  <si>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</si>
  <si>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</si>
  <si>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</si>
  <si>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</si>
  <si>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</si>
  <si>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</si>
  <si>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</si>
  <si>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</si>
  <si>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</si>
  <si>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</si>
  <si>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</si>
  <si>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</si>
  <si>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</si>
  <si>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</si>
  <si>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</si>
  <si>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</si>
  <si>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</si>
  <si>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</si>
  <si>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</si>
  <si>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</si>
  <si>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</si>
  <si>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</si>
  <si>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</si>
  <si>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</si>
  <si>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</si>
  <si>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</si>
  <si>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</si>
  <si>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</si>
  <si>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</si>
  <si>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</si>
  <si>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</si>
  <si>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</si>
  <si>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</si>
  <si>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</si>
  <si>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</si>
  <si>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</si>
  <si>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</si>
  <si>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</si>
  <si>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</si>
  <si>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</si>
  <si>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</si>
  <si>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</si>
  <si>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</si>
  <si>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</si>
  <si>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</si>
  <si>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</si>
  <si>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</si>
  <si>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</si>
  <si>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</si>
  <si>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</si>
  <si>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</si>
  <si>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</si>
  <si>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</si>
  <si>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</si>
  <si>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</si>
  <si>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</si>
  <si>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</si>
  <si>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</si>
  <si>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</si>
  <si>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</si>
  <si>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</si>
  <si>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</si>
  <si>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</si>
  <si>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</si>
  <si>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</si>
  <si>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</si>
  <si>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</si>
  <si>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</si>
  <si>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</si>
  <si>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</si>
  <si>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</si>
  <si>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</si>
  <si>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</si>
  <si>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</si>
  <si>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</si>
  <si>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</si>
  <si>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</si>
  <si>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</si>
  <si>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</si>
  <si>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</si>
  <si>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</si>
  <si>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</si>
  <si>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</si>
  <si>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</si>
  <si>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</si>
  <si>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</si>
  <si>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</si>
  <si>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</si>
  <si>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</si>
  <si>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</si>
  <si>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</si>
  <si>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</si>
  <si>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</si>
  <si>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</si>
  <si>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</si>
  <si>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</si>
  <si>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</si>
  <si>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</si>
  <si>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</si>
  <si>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</si>
  <si>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</si>
  <si>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</si>
  <si>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</si>
  <si>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</si>
  <si>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</si>
  <si>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</si>
  <si>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</si>
  <si>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</si>
  <si>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</si>
  <si>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</si>
  <si>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</si>
  <si>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</si>
  <si>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</si>
  <si>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</si>
  <si>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</si>
  <si>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</si>
  <si>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</si>
  <si>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</si>
  <si>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</si>
  <si>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</si>
  <si>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</si>
  <si>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</si>
  <si>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</si>
  <si>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</si>
  <si>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</si>
  <si>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</si>
  <si>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</si>
  <si>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</si>
  <si>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</si>
  <si>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</si>
  <si>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</si>
  <si>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</si>
  <si>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</si>
  <si>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</si>
  <si>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</si>
  <si>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</si>
  <si>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</si>
  <si>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</si>
  <si>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</si>
  <si>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</si>
  <si>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</si>
  <si>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</si>
  <si>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</si>
  <si>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</si>
  <si>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</si>
  <si>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</si>
  <si>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</si>
  <si>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</si>
  <si>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</si>
  <si>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</si>
  <si>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</si>
  <si>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</si>
  <si>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</si>
  <si>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</si>
  <si>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</si>
  <si>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</si>
  <si>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</si>
  <si>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</si>
  <si>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</si>
  <si>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</si>
  <si>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</si>
  <si>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</si>
  <si>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</si>
  <si>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</si>
  <si>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</si>
  <si>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</si>
  <si>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</si>
  <si>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</si>
  <si>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</si>
  <si>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</si>
  <si>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</si>
  <si>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</si>
  <si>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</si>
  <si>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</si>
  <si>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</si>
  <si>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</si>
  <si>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</si>
  <si>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</si>
  <si>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</si>
  <si>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</si>
  <si>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</si>
  <si>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</si>
  <si>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</si>
  <si>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</si>
  <si>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</si>
  <si>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</si>
  <si>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</si>
  <si>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</si>
  <si>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</si>
  <si>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</si>
  <si>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</si>
  <si>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</si>
  <si>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</si>
  <si>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</si>
  <si>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</si>
  <si>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</si>
  <si>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</si>
  <si>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</si>
  <si>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</si>
  <si>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</si>
  <si>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</si>
  <si>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</si>
  <si>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</si>
  <si>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</si>
  <si>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</si>
  <si>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</si>
  <si>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</si>
  <si>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</si>
  <si>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</si>
  <si>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</si>
  <si>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</si>
  <si>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</si>
  <si>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</si>
  <si>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</si>
  <si>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</si>
  <si>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</si>
  <si>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</si>
  <si>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</si>
  <si>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</si>
  <si>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</si>
  <si>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</si>
  <si>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</si>
  <si>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</si>
  <si>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</si>
  <si>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</si>
  <si>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</si>
  <si>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</si>
  <si>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</si>
  <si>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</si>
  <si>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</si>
  <si>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</si>
  <si>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</si>
  <si>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</si>
  <si>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</si>
  <si>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</si>
  <si>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</si>
  <si>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</si>
  <si>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</si>
  <si>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</si>
  <si>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</si>
  <si>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</si>
  <si>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</si>
  <si>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</si>
  <si>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</si>
  <si>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</si>
  <si>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</si>
  <si>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</si>
  <si>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</si>
  <si>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</si>
  <si>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</si>
  <si>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</si>
  <si>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</si>
  <si>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</si>
  <si>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</si>
  <si>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</si>
  <si>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</si>
  <si>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</si>
  <si>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</si>
  <si>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</si>
  <si>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</si>
  <si>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</si>
  <si>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</si>
  <si>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</si>
  <si>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</si>
  <si>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</si>
  <si>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</si>
  <si>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</si>
  <si>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</si>
  <si>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</si>
  <si>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</si>
  <si>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</si>
  <si>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</si>
  <si>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</si>
  <si>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</si>
  <si>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</si>
  <si>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</si>
  <si>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</si>
  <si>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</si>
  <si>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</si>
  <si>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</si>
  <si>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</si>
  <si>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</si>
  <si>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</si>
  <si>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</si>
  <si>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</si>
  <si>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</si>
  <si>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</si>
  <si>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</si>
  <si>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</si>
  <si>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</si>
  <si>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</si>
  <si>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</si>
  <si>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</si>
  <si>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</si>
  <si>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</si>
  <si>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</si>
  <si>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</si>
  <si>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</si>
  <si>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</si>
  <si>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</si>
  <si>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</si>
  <si>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</si>
  <si>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</si>
  <si>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</si>
  <si>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</si>
  <si>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</si>
  <si>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</si>
  <si>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</si>
  <si>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</si>
  <si>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</si>
  <si>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</si>
  <si>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</si>
  <si>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</si>
  <si>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</si>
  <si>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</si>
  <si>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</si>
  <si>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</si>
  <si>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</si>
  <si>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</si>
  <si>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</si>
  <si>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</si>
  <si>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</si>
  <si>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</si>
  <si>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</si>
  <si>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</si>
  <si>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</si>
  <si>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</si>
  <si>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</si>
  <si>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</si>
  <si>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</si>
  <si>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</si>
  <si>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</si>
  <si>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</si>
  <si>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</si>
  <si>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</si>
  <si>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</si>
  <si>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</si>
  <si>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</si>
  <si>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</si>
  <si>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</si>
  <si>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</si>
  <si>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</si>
  <si>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</si>
  <si>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</si>
  <si>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</si>
  <si>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</si>
  <si>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</si>
  <si>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</si>
  <si>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</si>
  <si>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</si>
  <si>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</si>
  <si>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</si>
  <si>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</si>
  <si>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</si>
  <si>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</si>
  <si>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</si>
  <si>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</si>
  <si>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</si>
  <si>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</si>
  <si>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</si>
  <si>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</si>
  <si>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</si>
  <si>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</si>
  <si>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</si>
  <si>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</si>
  <si>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</si>
  <si>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</si>
  <si>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</si>
  <si>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</si>
  <si>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</si>
  <si>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</si>
  <si>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</si>
  <si>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</si>
  <si>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</si>
  <si>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</si>
  <si>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</si>
  <si>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</si>
  <si>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</si>
  <si>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</si>
  <si>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</si>
  <si>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</si>
  <si>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</si>
  <si>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</si>
  <si>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</si>
  <si>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</si>
  <si>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</si>
  <si>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</si>
  <si>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</si>
  <si>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</si>
  <si>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</si>
  <si>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</si>
  <si>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</si>
  <si>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</si>
  <si>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</si>
  <si>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</si>
  <si>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</si>
  <si>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</si>
  <si>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</si>
  <si>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</si>
  <si>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</si>
  <si>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</si>
  <si>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</si>
  <si>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</si>
  <si>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</si>
  <si>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</si>
  <si>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</si>
  <si>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</si>
  <si>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</si>
  <si>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</si>
  <si>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</si>
  <si>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</si>
  <si>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</si>
  <si>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</si>
  <si>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</si>
  <si>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</si>
  <si>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</si>
  <si>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</si>
  <si>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</si>
  <si>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</si>
  <si>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</si>
  <si>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</si>
  <si>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</si>
  <si>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</si>
  <si>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</si>
  <si>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</si>
  <si>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</si>
  <si>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</si>
  <si>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</si>
  <si>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</si>
  <si>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</si>
  <si>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</si>
  <si>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</si>
  <si>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</si>
  <si>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</si>
  <si>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</si>
  <si>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</si>
  <si>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</si>
  <si>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</si>
  <si>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</si>
  <si>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</si>
  <si>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</si>
  <si>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</si>
  <si>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</si>
  <si>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</si>
  <si>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</si>
  <si>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</si>
  <si>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</si>
  <si>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</si>
  <si>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</si>
  <si>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</si>
  <si>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</si>
  <si>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</si>
  <si>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</si>
  <si>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</si>
  <si>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</si>
  <si>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</si>
  <si>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</si>
  <si>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</si>
  <si>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</si>
  <si>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</si>
  <si>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</si>
  <si>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</si>
  <si>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</si>
  <si>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</si>
  <si>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</si>
  <si>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</si>
  <si>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</si>
  <si>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</si>
  <si>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</si>
  <si>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</si>
  <si>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</si>
  <si>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</si>
  <si>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</si>
  <si>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</si>
  <si>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</si>
  <si>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</si>
  <si>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</si>
  <si>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</si>
  <si>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</si>
  <si>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</si>
  <si>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</si>
  <si>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</si>
  <si>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</si>
  <si>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</si>
  <si>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</si>
  <si>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</si>
  <si>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</si>
  <si>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</si>
  <si>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</si>
  <si>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</si>
  <si>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</si>
  <si>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</si>
  <si>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</si>
  <si>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</si>
  <si>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</si>
  <si>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</si>
  <si>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</si>
  <si>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</si>
  <si>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</si>
  <si>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</si>
  <si>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</si>
  <si>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</si>
  <si>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</si>
  <si>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</si>
  <si>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</si>
  <si>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</si>
  <si>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</si>
  <si>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</si>
  <si>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</si>
  <si>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</si>
  <si>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</si>
  <si>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</si>
  <si>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</si>
  <si>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</si>
  <si>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</si>
  <si>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</si>
  <si>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</si>
  <si>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</si>
  <si>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</si>
  <si>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</si>
  <si>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</si>
  <si>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</si>
  <si>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</si>
  <si>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</si>
  <si>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</si>
  <si>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</si>
  <si>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</si>
  <si>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</si>
  <si>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</si>
  <si>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</si>
  <si>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</si>
  <si>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</si>
  <si>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</si>
  <si>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</si>
  <si>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</si>
  <si>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</si>
  <si>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</si>
  <si>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</si>
  <si>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</si>
  <si>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</si>
  <si>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</si>
  <si>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</si>
  <si>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</si>
  <si>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</si>
  <si>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</si>
  <si>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</si>
  <si>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</si>
  <si>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</si>
  <si>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</si>
  <si>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</si>
  <si>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</si>
  <si>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</si>
  <si>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</si>
  <si>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</si>
  <si>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</si>
  <si>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</si>
  <si>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</si>
  <si>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</si>
  <si>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</si>
  <si>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</si>
  <si>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</si>
  <si>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</si>
  <si>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</si>
  <si>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</si>
  <si>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</si>
  <si>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</si>
  <si>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</si>
  <si>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</si>
  <si>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</si>
  <si>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</si>
  <si>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</si>
  <si>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</si>
  <si>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</si>
  <si>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</si>
  <si>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</si>
  <si>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</si>
  <si>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</si>
  <si>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</si>
  <si>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</si>
  <si>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</si>
  <si>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</si>
  <si>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</si>
  <si>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</si>
  <si>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</si>
  <si>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</si>
  <si>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</si>
  <si>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</si>
  <si>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</si>
  <si>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</si>
  <si>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</si>
  <si>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</si>
  <si>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</si>
  <si>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</si>
  <si>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</si>
  <si>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</si>
  <si>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</si>
  <si>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</si>
  <si>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</si>
  <si>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</si>
  <si>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</si>
  <si>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</si>
  <si>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</si>
  <si>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</si>
  <si>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</si>
  <si>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</si>
  <si>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</si>
  <si>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</si>
  <si>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</si>
  <si>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</si>
  <si>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</si>
  <si>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</si>
  <si>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</si>
  <si>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</si>
  <si>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</si>
  <si>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</si>
  <si>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</si>
  <si>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</si>
  <si>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</si>
  <si>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</si>
  <si>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</si>
  <si>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</si>
  <si>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</si>
  <si>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</si>
  <si>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</si>
  <si>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</si>
  <si>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</si>
  <si>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</si>
  <si>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</si>
  <si>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</si>
  <si>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</si>
  <si>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</si>
  <si>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</si>
  <si>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</si>
  <si>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</si>
  <si>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</si>
  <si>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</si>
  <si>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</si>
  <si>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</si>
  <si>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</si>
  <si>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</si>
  <si>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</si>
  <si>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</si>
  <si>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</si>
  <si>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</si>
  <si>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</si>
  <si>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</si>
  <si>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</si>
  <si>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</si>
  <si>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</si>
  <si>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</si>
  <si>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</si>
  <si>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</si>
  <si>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</si>
  <si>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</si>
  <si>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</si>
  <si>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</si>
  <si>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</si>
  <si>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</si>
  <si>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</si>
  <si>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</si>
  <si>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</si>
  <si>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</si>
  <si>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</si>
  <si>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</si>
  <si>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</si>
  <si>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</si>
  <si>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</si>
  <si>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</si>
  <si>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</si>
  <si>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</si>
  <si>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</si>
  <si>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</si>
  <si>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</si>
  <si>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</si>
  <si>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</si>
  <si>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</si>
  <si>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</si>
  <si>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</si>
  <si>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</si>
  <si>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</si>
  <si>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</si>
  <si>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</si>
  <si>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</si>
  <si>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</si>
  <si>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</si>
  <si>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</si>
  <si>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</si>
  <si>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</si>
  <si>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</si>
  <si>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</si>
  <si>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</si>
  <si>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</si>
  <si>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</si>
  <si>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</si>
  <si>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</si>
  <si>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</si>
  <si>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</si>
  <si>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</si>
  <si>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</si>
  <si>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</si>
  <si>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</si>
  <si>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</si>
  <si>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</si>
  <si>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</si>
  <si>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</si>
  <si>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</si>
  <si>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</si>
  <si>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</si>
  <si>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</si>
  <si>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</si>
  <si>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</si>
  <si>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</si>
  <si>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</si>
  <si>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</si>
  <si>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</si>
  <si>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</si>
  <si>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</si>
  <si>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</si>
  <si>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</si>
  <si>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</si>
  <si>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</si>
  <si>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</si>
  <si>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</si>
  <si>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</si>
  <si>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</si>
  <si>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</si>
  <si>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</si>
  <si>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</si>
  <si>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</si>
  <si>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</si>
  <si>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</si>
  <si>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</si>
  <si>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</si>
  <si>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</si>
  <si>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</si>
  <si>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</si>
  <si>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</si>
  <si>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</si>
  <si>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</si>
  <si>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</si>
  <si>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</si>
  <si>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</si>
  <si>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</si>
  <si>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</si>
  <si>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</si>
  <si>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</si>
  <si>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</si>
  <si>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</si>
  <si>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</si>
  <si>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</si>
  <si>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</si>
  <si>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</si>
  <si>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</si>
  <si>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</si>
  <si>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</si>
  <si>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</si>
  <si>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</si>
  <si>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</si>
  <si>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</si>
  <si>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</si>
  <si>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</si>
  <si>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</si>
  <si>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</si>
  <si>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</si>
  <si>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</si>
  <si>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</si>
  <si>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</si>
  <si>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</si>
  <si>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</si>
  <si>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</si>
  <si>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</si>
  <si>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</si>
  <si>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</si>
  <si>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</si>
  <si>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</si>
  <si>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</si>
  <si>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</si>
  <si>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</si>
  <si>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</si>
  <si>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</si>
  <si>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</si>
  <si>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</si>
  <si>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</si>
  <si>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</si>
  <si>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</si>
  <si>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</si>
  <si>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</si>
  <si>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</si>
  <si>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</si>
  <si>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</si>
  <si>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</si>
  <si>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</si>
  <si>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</si>
  <si>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</si>
  <si>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</si>
  <si>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</si>
  <si>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</si>
  <si>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</si>
  <si>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</si>
  <si>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</si>
  <si>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</si>
  <si>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</si>
  <si>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</si>
  <si>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</si>
  <si>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</si>
  <si>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</si>
  <si>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</si>
  <si>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</si>
  <si>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</si>
  <si>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</si>
  <si>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</si>
  <si>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</si>
  <si>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</si>
  <si>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</si>
  <si>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</si>
  <si>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</si>
  <si>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</si>
  <si>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</si>
  <si>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</si>
  <si>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</si>
  <si>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</si>
  <si>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</si>
  <si>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</si>
  <si>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</si>
  <si>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</si>
  <si>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</si>
  <si>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</si>
  <si>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</si>
  <si>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</si>
  <si>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</si>
  <si>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</si>
  <si>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</si>
  <si>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</si>
  <si>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</si>
  <si>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</si>
  <si>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</si>
  <si>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</si>
  <si>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</si>
  <si>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</si>
  <si>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</si>
  <si>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</si>
  <si>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</si>
  <si>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</si>
  <si>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</si>
  <si>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</si>
  <si>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</si>
  <si>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</si>
  <si>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</si>
  <si>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</si>
  <si>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</si>
  <si>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</si>
  <si>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</si>
  <si>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</si>
  <si>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</si>
  <si>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</si>
  <si>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</si>
  <si>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</si>
  <si>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</si>
  <si>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</si>
  <si>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</si>
  <si>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</si>
  <si>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</si>
  <si>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</si>
  <si>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</si>
  <si>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</si>
  <si>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</si>
  <si>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</si>
  <si>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</si>
  <si>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</si>
  <si>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</si>
  <si>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</si>
  <si>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</si>
  <si>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</si>
  <si>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</si>
  <si>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</si>
  <si>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</si>
  <si>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</si>
  <si>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</si>
  <si>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</si>
  <si>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</si>
  <si>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</si>
  <si>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</si>
  <si>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</si>
  <si>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</si>
  <si>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</si>
  <si>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</si>
  <si>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</si>
  <si>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</si>
  <si>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</si>
  <si>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</si>
  <si>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</si>
  <si>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</si>
  <si>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</si>
  <si>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</si>
  <si>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</si>
  <si>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</si>
  <si>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</si>
  <si>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</si>
  <si>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</si>
  <si>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</si>
  <si>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</si>
  <si>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</si>
  <si>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</si>
  <si>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</si>
  <si>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</si>
  <si>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</si>
  <si>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</si>
  <si>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</si>
  <si>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</si>
  <si>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</si>
  <si>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</si>
  <si>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</si>
  <si>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</si>
  <si>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</si>
  <si>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</si>
  <si>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</si>
  <si>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</si>
  <si>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</si>
  <si>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</si>
  <si>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</si>
  <si>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</si>
  <si>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</si>
  <si>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</si>
  <si>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</si>
  <si>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</si>
  <si>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</si>
  <si>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</si>
  <si>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</si>
  <si>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</si>
  <si>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</si>
  <si>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</si>
  <si>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</si>
  <si>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</si>
  <si>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</si>
  <si>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</si>
  <si>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</si>
  <si>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</si>
  <si>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</si>
  <si>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</si>
  <si>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</si>
  <si>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</si>
  <si>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</si>
  <si>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</si>
  <si>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</si>
  <si>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</si>
  <si>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</si>
  <si>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</si>
  <si>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</si>
  <si>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</si>
  <si>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</si>
  <si>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</si>
  <si>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</si>
  <si>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</si>
  <si>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</si>
  <si>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</si>
  <si>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</si>
  <si>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</si>
  <si>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</si>
  <si>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</si>
  <si>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</si>
  <si>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</si>
  <si>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</si>
  <si>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</si>
  <si>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</si>
  <si>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</si>
  <si>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</si>
  <si>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</si>
  <si>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</si>
  <si>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</si>
  <si>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</si>
  <si>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</si>
  <si>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</si>
  <si>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</si>
  <si>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</si>
  <si>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</si>
  <si>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</si>
  <si>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</si>
  <si>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</si>
  <si>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</si>
  <si>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</si>
  <si>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</si>
  <si>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</si>
  <si>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</si>
  <si>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</si>
  <si>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</si>
  <si>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</si>
  <si>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</si>
  <si>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</si>
  <si>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</si>
  <si>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</si>
  <si>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</si>
  <si>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</si>
  <si>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</si>
  <si>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</si>
  <si>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</si>
  <si>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</si>
  <si>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</si>
  <si>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</si>
  <si>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</si>
  <si>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</si>
  <si>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</si>
  <si>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</si>
  <si>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</si>
  <si>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</si>
  <si>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</si>
  <si>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</si>
  <si>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</si>
  <si>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</si>
  <si>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</si>
  <si>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</si>
  <si>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</si>
  <si>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</si>
  <si>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Aqua Pennslyvania - Whitehaven Division</t>
  </si>
  <si>
    <t>The Whitehaven system within the Whitehaven division sells a lot of bulk water to contractor tanker trucks.  The kiosk filling the trucks is not metered but the size of the tanker (e.g., 5000 gals) is known.  The contractor is billed based on the tanker size.</t>
  </si>
  <si>
    <t>WhiteHaven Division has calculated water used internally as part of treatment. E.g., water sent through a chlorine analyzer continously (24/7/365).  This is finished water that is not metered but can accuarately be quanitified via bucket fill tests.</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</si>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</sst>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55.208026128590063</c:v>
                </c:pt>
                <c:pt idx="1">
                  <c:v>2.0024160337996988</c:v>
                </c:pt>
                <c:pt idx="2">
                  <c:v>193.09156206257256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3.0155021543016214</c:v>
                </c:pt>
                <c:pt idx="1">
                  <c:v>0.26113598867139654</c:v>
                </c:pt>
                <c:pt idx="2">
                  <c:v>29.365360440951552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24.645095568260704</c:v>
                </c:pt>
                <c:pt idx="1">
                  <c:v>0.92482240795754933</c:v>
                </c:pt>
                <c:pt idx="2">
                  <c:v>90.032883018475417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15.881970792977674</c:v>
                </c:pt>
                <c:pt idx="1">
                  <c:v>0.38772920688421864</c:v>
                </c:pt>
                <c:pt idx="2">
                  <c:v>32.196450860665436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8.7631247752830301</c:v>
                </c:pt>
                <c:pt idx="1">
                  <c:v>0.56875750335916142</c:v>
                </c:pt>
                <c:pt idx="2">
                  <c:v>61.762805641252989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66</c:v>
                </c:pt>
                <c:pt idx="1">
                  <c:v>1.2666666666666666</c:v>
                </c:pt>
                <c:pt idx="2" formatCode="General">
                  <c:v>132.73333333333335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1.57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8.6310000000000002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0.87260499999999996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7.1536122448979587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0.87260499999999996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154.02144306122455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$203,948/Yr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722.2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3970.26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12635.320399999999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103135.0930612245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12635.320399999999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70849.863808163296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2.3387619322936506</c:v>
                </c:pt>
                <c:pt idx="1">
                  <c:v>9.0856271993300333E-2</c:v>
                </c:pt>
                <c:pt idx="2">
                  <c:v>8.927415794875591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52.192523974288441</c:v>
                </c:pt>
                <c:pt idx="1">
                  <c:v>1.8469276802355887</c:v>
                </c:pt>
                <c:pt idx="2">
                  <c:v>176.82650837492457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2256.5591247707061</c:v>
                </c:pt>
                <c:pt idx="1">
                  <c:v>97.186039594358903</c:v>
                </c:pt>
                <c:pt idx="2" formatCode="_(* #,##0_);_(* \(#,##0\);_(* &quot;-&quot;??_);_(@_)">
                  <c:v>9794.5097849297963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image" Target="../media/image9.emf"/><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2.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image" Target="../media/image11.emf"/><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5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5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5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5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56"/>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57"/>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58"/>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59"/>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60"/>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61"/>
                  </a:ext>
                </a:extLst>
              </xdr:cNvPicPr>
            </xdr:nvPicPr>
            <xdr:blipFill rotWithShape="1">
              <a:blip xmlns:r="http://schemas.openxmlformats.org/officeDocument/2006/relationships" r:embed="rId1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62"/>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63"/>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64"/>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65"/>
                  </a:ext>
                </a:extLst>
              </xdr:cNvPicPr>
            </xdr:nvPicPr>
            <xdr:blipFill rotWithShape="1">
              <a:blip xmlns:r="http://schemas.openxmlformats.org/officeDocument/2006/relationships" r:embed="rId20"/>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66"/>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67"/>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68"/>
                  </a:ext>
                </a:extLst>
              </xdr:cNvPicPr>
            </xdr:nvPicPr>
            <xdr:blipFill rotWithShape="1">
              <a:blip xmlns:r="http://schemas.openxmlformats.org/officeDocument/2006/relationships" r:embed="rId2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69"/>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70"/>
                  </a:ext>
                </a:extLst>
              </xdr:cNvPicPr>
            </xdr:nvPicPr>
            <xdr:blipFill rotWithShape="1">
              <a:blip xmlns:r="http://schemas.openxmlformats.org/officeDocument/2006/relationships" r:embed="rId1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activeCell="BD10" sqref="BD10"/>
      <selection pane="bottomLeft" activeCell="BD10" sqref="BD10"/>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1276</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1279</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1280</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1281</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45741</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2024</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2024</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45292</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45657</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18600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activeCell="BD10" sqref="BD10"/>
      <selection pane="bottomLeft" activeCell="BD10" sqref="BD10"/>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Whitehaven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2024</v>
      </c>
      <c r="E5" s="1207"/>
      <c r="F5" s="1207"/>
      <c r="G5" s="1208"/>
      <c r="H5" s="1200" t="str">
        <f>IF(ISBLANK('Start Page'!AB20),"",TEXT('Start Page'!AB20,"mmm dd yyyy")&amp;" - "&amp;TEXT('Start Page'!AB21,"mmm dd yyyy"))</f>
        <v>Jan 01 2024 - Dec 31 2024</v>
      </c>
      <c r="I5" s="1201"/>
      <c r="J5" s="1202"/>
      <c r="K5" s="1204">
        <f>IF(ISBLANK('Start Page'!AB19),"",'Start Page'!AB19)</f>
        <v>2024</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488.42899999999997</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9.76858</v>
      </c>
      <c r="Y15" s="130">
        <f>$Y$19/$Y$18*H15</f>
        <v>32.646156686595418</v>
      </c>
      <c r="Z15" s="186">
        <f>$Y$19/$Y$18*ABS(X15)</f>
        <v>0.65292313373190836</v>
      </c>
      <c r="AA15" s="1046">
        <f>IF(W15=1,input_VOS-input_VOS/(1+O15*AB15),Q15*AB15)</f>
        <v>-9.9679387755102198</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498.39693877551019</v>
      </c>
    </row>
    <row r="16" spans="1:33" s="54" customFormat="1">
      <c r="A16" s="113"/>
      <c r="B16" s="666" t="s">
        <v>908</v>
      </c>
      <c r="C16" s="1052" t="s">
        <v>40</v>
      </c>
      <c r="D16" s="983" t="s">
        <v>881</v>
      </c>
      <c r="E16" s="681" t="s">
        <v>882</v>
      </c>
      <c r="F16" s="587">
        <f>'Interactive Data Grading'!D74</f>
        <v>6</v>
      </c>
      <c r="G16" s="336"/>
      <c r="H16" s="630">
        <v>24.12</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0.48240000000000005</v>
      </c>
      <c r="Y16" s="130">
        <f>$Y$19/$Y$18*H16</f>
        <v>1.6121591864542881</v>
      </c>
      <c r="Z16" s="186">
        <f>$Y$19/$Y$18*ABS(X16)</f>
        <v>3.2243183729085766E-2</v>
      </c>
      <c r="AA16" s="1046">
        <f>IF(W16=1,input_WI-input_WI/(1+O16*AB16),Q16*AB16)</f>
        <v>-0.49224489795918558</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24.612244897959187</v>
      </c>
    </row>
    <row r="17" spans="1:33" s="54" customFormat="1" ht="13.35" customHeight="1">
      <c r="A17" s="113"/>
      <c r="B17" s="666" t="s">
        <v>909</v>
      </c>
      <c r="C17" s="1052" t="s">
        <v>41</v>
      </c>
      <c r="D17" s="983" t="s">
        <v>881</v>
      </c>
      <c r="E17" s="681" t="s">
        <v>882</v>
      </c>
      <c r="F17" s="587">
        <f>'Interactive Data Grading'!D127</f>
        <v>6</v>
      </c>
      <c r="G17" s="336"/>
      <c r="H17" s="396">
        <v>0.82899999999999996</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1.6580000000000001E-2</v>
      </c>
      <c r="Y17" s="130">
        <f>$Y$19/$Y$18*H17</f>
        <v>5.5409617146376648E-2</v>
      </c>
      <c r="Z17" s="186">
        <f>$Y$19/$Y$18*ABS(X17)</f>
        <v>1.1081923429275332E-3</v>
      </c>
      <c r="AA17" s="1046">
        <f>IF(W17=1,input_WE-input_WE/(1+O17*AB17),Q17*AB17)</f>
        <v>-1.6918367346938745E-2</v>
      </c>
      <c r="AB17" s="636">
        <f t="shared" si="1"/>
        <v>-1</v>
      </c>
      <c r="AC17" s="297" t="str">
        <f t="shared" si="2"/>
        <v>yes</v>
      </c>
      <c r="AD17" s="297" t="str">
        <f>IF(OR(T17="select…..",T17=""),"no","yes")</f>
        <v>yes</v>
      </c>
      <c r="AE17" s="297" t="str">
        <f t="shared" si="3"/>
        <v>no</v>
      </c>
      <c r="AF17" s="638">
        <f t="shared" si="4"/>
        <v>0</v>
      </c>
      <c r="AG17" s="1046">
        <f>input_WE-AA17</f>
        <v>0.8459183673469387</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523.64555999999993</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522.16326530612241</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348.95699999999999</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13.937294416692581</v>
      </c>
      <c r="Z23" s="193"/>
      <c r="AA23" s="304" t="s">
        <v>780</v>
      </c>
      <c r="AB23" s="637"/>
      <c r="AC23" s="297"/>
      <c r="AD23" s="297"/>
      <c r="AE23" s="297"/>
    </row>
    <row r="24" spans="1:33" s="54" customFormat="1">
      <c r="A24" s="113"/>
      <c r="B24" s="666" t="s">
        <v>911</v>
      </c>
      <c r="C24" s="626" t="s">
        <v>482</v>
      </c>
      <c r="D24" s="983" t="s">
        <v>881</v>
      </c>
      <c r="E24" s="681" t="s">
        <v>882</v>
      </c>
      <c r="F24" s="587">
        <f>'Interactive Data Grading'!D200</f>
        <v>10</v>
      </c>
      <c r="G24" s="336"/>
      <c r="H24" s="396">
        <v>8.5000000000000006E-2</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6.2705583307419974E-2</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1.57</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350.52699999999999</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6</v>
      </c>
      <c r="G26" s="336"/>
      <c r="H26" s="594">
        <f>IF(OR(W26=1,AND(W26=2,Q26=0)),O26*SUM(H23:H24),Q26)</f>
        <v>8.6310000000000002</v>
      </c>
      <c r="I26" s="337"/>
      <c r="J26" s="338" t="str">
        <f>IF('Start Page'!$AB$22="million gallons (US)","MG/Yr",IF('Start Page'!$AB$22="Megalitres (thousand cubic metres)","ML/Yr",IF('Start Page'!$AB$22="acre-feet","Acre-ft/Yr","")))</f>
        <v>MG/Yr</v>
      </c>
      <c r="K26" s="338"/>
      <c r="L26" s="338"/>
      <c r="M26" s="338"/>
      <c r="N26" s="338"/>
      <c r="O26" s="588">
        <v>2.5000000000000001E-3</v>
      </c>
      <c r="P26" s="755" t="s">
        <v>835</v>
      </c>
      <c r="Q26" s="1192">
        <v>8.6310000000000002</v>
      </c>
      <c r="R26" s="1192"/>
      <c r="S26" s="586" t="str">
        <f>IF('Start Page'!$AB$22="million gallons (US)","MG/Yr",IF('Start Page'!$AB$22="Megalitres (thousand cubic metres)","ML/Yr",IF('Start Page'!$AB$22="acre-feet","acre-ft/yr","")))</f>
        <v>MG/Yr</v>
      </c>
      <c r="T26" s="313"/>
      <c r="U26" s="322"/>
      <c r="V26" s="113"/>
      <c r="W26" s="580">
        <f>IF(P26="default",1,2)</f>
        <v>2</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359.24299999999994</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162.92026530612247</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0.87260499999999996</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7.1536122448979427</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0.87260499999999996</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8.8988222448979428</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7.1215714285714284</v>
      </c>
      <c r="Y50" s="174">
        <f>IFERROR(IF(W41=1,((H25)/(1-(O41*X41)))-(H25),Q41*H25/(H23+H25)),0)</f>
        <v>3.2040816326530663E-2</v>
      </c>
      <c r="Z50" s="1079">
        <f>SUM(X50:Y50)</f>
        <v>7.1536122448979587</v>
      </c>
      <c r="AA50" s="1229"/>
      <c r="AB50" s="1229"/>
      <c r="AC50" s="1229"/>
      <c r="AD50" s="297"/>
      <c r="AE50" s="297"/>
    </row>
    <row r="51" spans="1:31" s="54" customFormat="1">
      <c r="A51" s="113"/>
      <c r="B51" s="666"/>
      <c r="C51" s="1209" t="s">
        <v>662</v>
      </c>
      <c r="D51" s="1209"/>
      <c r="E51" s="1209"/>
      <c r="F51" s="1209"/>
      <c r="G51" s="1018"/>
      <c r="H51" s="1017">
        <f>IFERROR(H35-H46,"")</f>
        <v>154.02144306122455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103120.35428571429</v>
      </c>
      <c r="Y51" s="1099">
        <f>Y50*input_VPC</f>
        <v>14.738775510204105</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162.92026530612247</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173.12126530612247</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187</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8085</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43.235294117647058</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34</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34</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69</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361000</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13" activePane="bottomLeft" state="frozen"/>
      <selection activeCell="BD10" sqref="BD10"/>
      <selection pane="bottomLeft" activeCell="BD10" sqref="BD10"/>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Whitehaven Division</v>
      </c>
      <c r="C1" s="718"/>
      <c r="D1" s="719"/>
      <c r="E1" s="1042" t="s">
        <v>1157</v>
      </c>
    </row>
    <row r="2" spans="1:20" ht="30.6" customHeight="1">
      <c r="A2" s="562"/>
      <c r="B2" s="1041">
        <f>IF(ISBLANK('Start Page'!AB18),"",'Start Page'!AB18)</f>
        <v>2024</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260</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t="s">
        <v>659</v>
      </c>
      <c r="E197" s="870" t="str">
        <f>IF(OR($D$200=10,$D$200="n/a"),"",IFERROR(IF(H197=MIN($H$197:$H$199),"Limiting",""),""))</f>
        <v/>
      </c>
      <c r="F197" s="402"/>
      <c r="H197" s="959">
        <f>VLOOKUP('Interactive Data Grading'!D197,BUAC!$C$6:$F$15,4,FALSE)</f>
        <v>10</v>
      </c>
      <c r="I197" s="959"/>
    </row>
    <row r="198" spans="1:18" ht="27.6" customHeight="1">
      <c r="A198" s="269"/>
      <c r="B198" s="659" t="s">
        <v>436</v>
      </c>
      <c r="C198" s="1034" t="str">
        <f>BUAC!B36</f>
        <v>Methodology to quantify consumption for unmetered accounts?</v>
      </c>
      <c r="D198" s="404" t="s">
        <v>729</v>
      </c>
      <c r="E198" s="870" t="str">
        <f>IF(OR($D$200=10,$D$200="n/a"),"",IFERROR(IF(H198=MIN($H$197:$H$199),"Limiting",""),""))</f>
        <v/>
      </c>
      <c r="F198" s="402"/>
      <c r="H198" s="959">
        <f>VLOOKUP('Interactive Data Grading'!D198,BUAC!$D$6:$F$15,3,FALSE)</f>
        <v>10</v>
      </c>
      <c r="I198" s="960"/>
    </row>
    <row r="199" spans="1:18" ht="27.6" customHeight="1">
      <c r="A199" s="269"/>
      <c r="B199" s="659" t="s">
        <v>437</v>
      </c>
      <c r="C199" s="1034" t="str">
        <f>BUAC!B37</f>
        <v>How frequently is unmetered customer consumption estimated?</v>
      </c>
      <c r="D199" s="404" t="s">
        <v>268</v>
      </c>
      <c r="E199" s="870" t="str">
        <f>IF(OR($D$200=10,$D$200="n/a"),"",IFERROR(IF(H199=MIN($H$197:$H$199),"Limiting",""),""))</f>
        <v/>
      </c>
      <c r="F199" s="402"/>
      <c r="H199" s="959">
        <f>VLOOKUP('Interactive Data Grading'!D199,BUAC!$E$6:$F$15,2,FALSE)</f>
        <v>10</v>
      </c>
      <c r="I199" s="960"/>
    </row>
    <row r="200" spans="1:18" ht="27.6" customHeight="1">
      <c r="A200" s="269"/>
      <c r="B200" s="269"/>
      <c r="C200" s="403" t="s">
        <v>313</v>
      </c>
      <c r="D200" s="873">
        <f>IFERROR((IF(D196="No","n/a",H200)),"")</f>
        <v>10</v>
      </c>
      <c r="E200" s="870"/>
      <c r="F200" s="402"/>
      <c r="H200" s="962">
        <f>MIN(H196:H199)</f>
        <v>10</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830</v>
      </c>
      <c r="E222" s="870" t="str">
        <f>IF(OR($D$224=10,$D$224="n/a"),"",IFERROR(IF(H222=MIN($H$220:$H$223),"Limiting",""),""))</f>
        <v/>
      </c>
      <c r="F222" s="402"/>
      <c r="H222" s="959">
        <f>VLOOKUP('Interactive Data Grading'!D222,UMAC!$E$6:$G$15,3,FALSE)</f>
        <v>10</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A system specific volume has been entered</v>
      </c>
      <c r="E243" s="870"/>
      <c r="F243" s="402"/>
      <c r="I243" s="958"/>
      <c r="J243" s="951" t="s">
        <v>836</v>
      </c>
    </row>
    <row r="244" spans="1:18" ht="27.6" customHeight="1">
      <c r="A244" s="269"/>
      <c r="B244" s="659" t="s">
        <v>465</v>
      </c>
      <c r="C244" s="1034" t="str">
        <f>UUAC!B35</f>
        <v>How well-understood is the extent of unbilled unmetered use?</v>
      </c>
      <c r="D244" s="405" t="s">
        <v>839</v>
      </c>
      <c r="E244" s="870" t="str">
        <f>IF(OR($D$247=10,$D$247=3),"",IFERROR(IF(H244=MIN($H$244:$H$246),"Limiting",""),""))</f>
        <v/>
      </c>
      <c r="F244" s="402"/>
      <c r="H244" s="959">
        <f>VLOOKUP('Interactive Data Grading'!D244,UUAC!$C$6:$F$15,4,FALSE)</f>
        <v>10</v>
      </c>
      <c r="I244" s="959"/>
    </row>
    <row r="245" spans="1:18" ht="27.6" customHeight="1">
      <c r="A245" s="269"/>
      <c r="B245" s="659" t="s">
        <v>466</v>
      </c>
      <c r="C245" s="1034" t="str">
        <f>UUAC!B36</f>
        <v>Which best describes the records that are kept for events of unbilled unmetered use?</v>
      </c>
      <c r="D245" s="406" t="s">
        <v>832</v>
      </c>
      <c r="E245" s="870" t="str">
        <f>IF(OR($D$247=10,$D$247=3),"",IFERROR(IF(H245=MIN($H$244:$H$246),"Limiting",""),""))</f>
        <v>Limiting</v>
      </c>
      <c r="F245" s="402"/>
      <c r="H245" s="959">
        <f>VLOOKUP('Interactive Data Grading'!D245,UUAC!$D$6:$F$15,3,FALSE)</f>
        <v>6</v>
      </c>
      <c r="I245" s="960"/>
    </row>
    <row r="246" spans="1:18" ht="27.6" customHeight="1">
      <c r="A246" s="269"/>
      <c r="B246" s="659" t="s">
        <v>467</v>
      </c>
      <c r="C246" s="1034" t="str">
        <f>UUAC!B37</f>
        <v>How is the majority of unbilled unmetered use estimated?</v>
      </c>
      <c r="D246" s="406" t="s">
        <v>888</v>
      </c>
      <c r="E246" s="870" t="str">
        <f>IF(OR($D$247=10,$D$247=3),"",IFERROR(IF(H246=MIN($H$244:$H$246),"Limiting",""),""))</f>
        <v/>
      </c>
      <c r="F246" s="402"/>
      <c r="H246" s="959">
        <f>VLOOKUP('Interactive Data Grading'!D246,UUAC!$E$6:$F$15,2,FALSE)</f>
        <v>8</v>
      </c>
      <c r="I246" s="960"/>
    </row>
    <row r="247" spans="1:18" ht="27.6" customHeight="1">
      <c r="A247" s="269"/>
      <c r="B247" s="269"/>
      <c r="C247" s="403" t="s">
        <v>313</v>
      </c>
      <c r="D247" s="1045">
        <f>IFERROR((IF(D243=UUAC!A3,3,H247)),"")</f>
        <v>6</v>
      </c>
      <c r="E247" s="870"/>
      <c r="F247" s="402"/>
      <c r="H247" s="962">
        <f>MIN(H244:H246)</f>
        <v>6</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activeCell="BD10" sqref="BD10"/>
      <selection pane="bottomLeft" activeCell="BD10" sqref="BD10"/>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Whitehaven Division</v>
      </c>
      <c r="Q3" s="784"/>
      <c r="R3" s="784"/>
      <c r="S3" s="784"/>
      <c r="T3" s="784"/>
      <c r="U3" s="784"/>
      <c r="V3" s="784"/>
      <c r="W3" s="784"/>
      <c r="X3" s="784"/>
      <c r="Y3" s="784"/>
      <c r="Z3" s="784"/>
      <c r="AA3" s="784"/>
      <c r="AB3" s="784"/>
      <c r="AC3" s="781"/>
      <c r="AD3" s="782"/>
      <c r="AE3" s="783"/>
      <c r="AF3" s="780" t="s">
        <v>714</v>
      </c>
      <c r="AG3" s="1247">
        <f>IF(ISBLANK('Start Page'!AB18),"",'Start Page'!AB18)</f>
        <v>2024</v>
      </c>
      <c r="AH3" s="124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66</v>
      </c>
      <c r="BS6" s="826"/>
      <c r="BT6" s="825"/>
      <c r="BU6" s="827"/>
      <c r="BV6" s="827"/>
      <c r="BW6" s="827"/>
      <c r="BX6" s="73"/>
      <c r="BY6" s="73"/>
    </row>
    <row r="7" spans="1:77" s="301" customFormat="1" ht="12.95" customHeight="1">
      <c r="A7" s="300"/>
      <c r="B7" s="410"/>
      <c r="C7" s="78"/>
      <c r="D7" s="788"/>
      <c r="E7" s="996"/>
      <c r="F7" s="789"/>
      <c r="G7" s="789"/>
      <c r="H7" s="787"/>
      <c r="I7" s="931" t="s">
        <v>237</v>
      </c>
      <c r="J7" s="1249">
        <f>BR6</f>
        <v>66</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66</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132.73333333333335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24.645095568260704</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24.645095568260704</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24.645095568260704</v>
      </c>
      <c r="AB18" s="1259"/>
      <c r="AC18" s="1259"/>
      <c r="AD18" s="1020" t="str">
        <f>BD13</f>
        <v>$/conn/year</v>
      </c>
      <c r="AE18" s="1021"/>
      <c r="AF18" s="1022"/>
      <c r="AG18" s="1022"/>
      <c r="AH18" s="1023"/>
      <c r="AI18" s="1023"/>
      <c r="AJ18" s="1021"/>
      <c r="AK18" s="1259">
        <f>BS22</f>
        <v>15.881970792977674</v>
      </c>
      <c r="AL18" s="1259"/>
      <c r="AM18" s="1259"/>
      <c r="AN18" s="1020" t="str">
        <f>BD13</f>
        <v>$/conn/year</v>
      </c>
      <c r="AO18" s="1021"/>
      <c r="AP18" s="1021"/>
      <c r="AQ18" s="1021"/>
      <c r="AR18" s="1021"/>
      <c r="AS18" s="1021"/>
      <c r="AT18" s="1021"/>
      <c r="AU18" s="1259">
        <f>BS29</f>
        <v>8.7631247752830301</v>
      </c>
      <c r="AV18" s="1259"/>
      <c r="AW18" s="1259"/>
      <c r="AX18" s="1020" t="str">
        <f>BD13</f>
        <v>$/conn/year</v>
      </c>
      <c r="AY18" s="814"/>
      <c r="AZ18" s="789"/>
      <c r="BA18" s="789"/>
      <c r="BB18" s="418"/>
      <c r="BC18" s="138"/>
      <c r="BD18" s="73" t="s">
        <v>706</v>
      </c>
      <c r="BE18" s="290">
        <f>(((5.41*Worksheet!H61)+(0.15*Worksheet!H62)+(7.5*(Worksheet!H62*Worksheet!W67/5280)))*Worksheet!H68)/1000000*365</f>
        <v>65.855973168749998</v>
      </c>
      <c r="BM18" s="765"/>
      <c r="BN18" s="766"/>
      <c r="BO18" s="833" t="s">
        <v>1039</v>
      </c>
      <c r="BP18" s="835">
        <f>BQ18-BQ17</f>
        <v>8.9525318444022357</v>
      </c>
      <c r="BQ18" s="1054">
        <f t="shared" si="0"/>
        <v>18.283980813778896</v>
      </c>
      <c r="BR18" s="833" t="s">
        <v>779</v>
      </c>
      <c r="BS18" s="837">
        <f>SUM(BP16:BP20)-SUM(BS16,BS17)</f>
        <v>90.032883018475417</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202.10429558696012</v>
      </c>
      <c r="BF19" s="289">
        <f>BE19*325851.427242/Worksheet!H62/365</f>
        <v>22.316304730983301</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420.74690624999999</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15.881970792977674</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15.881970792977674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32.196450860665436</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55.208026128590063</v>
      </c>
      <c r="AB29" s="1263"/>
      <c r="AC29" s="1263"/>
      <c r="AD29" s="1019" t="str">
        <f>BD10</f>
        <v>gal/conn/day</v>
      </c>
      <c r="AE29" s="1019"/>
      <c r="AF29" s="1024"/>
      <c r="AG29" s="1024"/>
      <c r="AH29" s="813"/>
      <c r="AI29" s="813"/>
      <c r="AJ29" s="813"/>
      <c r="AK29" s="1263">
        <f>BS43</f>
        <v>3.0155021543016214</v>
      </c>
      <c r="AL29" s="1263"/>
      <c r="AM29" s="1263"/>
      <c r="AN29" s="1020" t="str">
        <f>BD10</f>
        <v>gal/conn/day</v>
      </c>
      <c r="AO29" s="813"/>
      <c r="AP29" s="813"/>
      <c r="AQ29" s="813"/>
      <c r="AR29" s="813"/>
      <c r="AS29" s="813"/>
      <c r="AT29" s="813"/>
      <c r="AU29" s="1269">
        <f>BS55</f>
        <v>52.192523974288441</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8.7631247752830301</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8.7631247752830301</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69</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61.762805641252989</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55.208026128590063</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55.208026128590063</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193.09156206257256</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2.3387619322936506</v>
      </c>
      <c r="AI41" s="1268"/>
      <c r="AJ41" s="1268"/>
      <c r="AK41" s="1019" t="s">
        <v>1048</v>
      </c>
      <c r="AL41" s="938"/>
      <c r="AM41" s="939"/>
      <c r="AN41" s="940"/>
      <c r="AO41" s="940"/>
      <c r="AP41" s="940"/>
      <c r="AQ41" s="940"/>
      <c r="AR41" s="940"/>
      <c r="AS41" s="1267">
        <f>BS69</f>
        <v>2256.5591247707061</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65.855973168749998</v>
      </c>
      <c r="AL43" s="1265"/>
      <c r="AM43" s="1265"/>
      <c r="AN43" s="1265"/>
      <c r="AO43" s="1071" t="str">
        <f>BD7</f>
        <v>MG/Yr</v>
      </c>
      <c r="AP43" s="813"/>
      <c r="AQ43" s="813"/>
      <c r="AR43" s="813"/>
      <c r="AS43" s="1265">
        <f>IF(BG19=1,BF19,IFERROR(AK43*1000000/Worksheet!H62/365,""))</f>
        <v>22.316304730983301</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3.0155021543016214</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3.0155021543016214</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29.365360440951552</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8.8988222448979428</v>
      </c>
      <c r="J49" s="1275"/>
      <c r="K49" s="1275"/>
      <c r="L49" s="1275"/>
      <c r="M49" s="795"/>
      <c r="N49" s="1276">
        <f>IF(OR(ISBLANK('Start Page'!$AB$22),ISBLANK(Worksheet!J76)),"",(SUM(Worksheet!H43+Worksheet!H39+Worksheet!X50)*Worksheet!H76)*INDEX(Sheet1!B2:D4,MATCH('Start Page'!AB22,Sheet1!A2:A4,0),MATCH(Worksheet!J76,Sheet1!B1:D1,0))+Worksheet!Y50*Worksheet!H77)</f>
        <v>128405.73386122449</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154.02144306122455</v>
      </c>
      <c r="J50" s="1275"/>
      <c r="K50" s="1275"/>
      <c r="L50" s="1275"/>
      <c r="M50" s="795"/>
      <c r="N50" s="1276">
        <f>IFERROR(IF(Worksheet!H41="Select under/over","",IF(ISBLANK('Start Page'!AB22),"",Worksheet!H51*(IF(BD29=FALSE,Worksheet!H77,IF(BD29=TRUE,Worksheet!H76*INDEX(Sheet1!B2:D4,MATCH('Start Page'!AB22,Sheet1!A2:A4,0),MATCH(Worksheet!J76,Sheet1!B1:D1,0)),""))))),"")</f>
        <v>70849.863808163296</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10.201000000000001</v>
      </c>
      <c r="J51" s="1275"/>
      <c r="K51" s="1275"/>
      <c r="L51" s="1275"/>
      <c r="M51" s="795"/>
      <c r="N51" s="1276">
        <f>IFERROR(IF(SUM(Sheet1!D90:D91)=0,"",SUM(Sheet1!D90:D91)),"")</f>
        <v>4692.46</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173.12126530612247</v>
      </c>
      <c r="J52" s="1275"/>
      <c r="K52" s="1275"/>
      <c r="L52" s="1275"/>
      <c r="M52" s="795"/>
      <c r="N52" s="1276">
        <f>IF(SUM(N49:N51)=0,"",SUM(N49:N51))</f>
        <v>203948.05766938778</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52.192523974288441</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52.192523974288441</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176.82650837492457</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2.3387619322936506</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2.3387619322936506</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8.927415794875591</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2256.5591247707061</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2256.5591247707061</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9794.5097849297963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16.665808526427512</v>
      </c>
      <c r="BQ83" s="850">
        <f>BP83+BQ78</f>
        <v>69</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31" activePane="bottomLeft" state="frozen"/>
      <selection activeCell="BD10" sqref="BD10"/>
      <selection pane="bottomLeft" activeCell="BD10" sqref="BD10"/>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Whitehaven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84"/>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91"/>
      <c r="H16" s="1291"/>
    </row>
    <row r="17" spans="2:8" ht="28.9" customHeight="1">
      <c r="B17" s="989" t="s">
        <v>1154</v>
      </c>
      <c r="C17" s="988"/>
      <c r="D17" s="989" t="s">
        <v>1155</v>
      </c>
      <c r="F17" s="1279"/>
      <c r="G17" s="1286"/>
      <c r="H17" s="1286"/>
    </row>
    <row r="18" spans="2:8" ht="28.9" customHeight="1">
      <c r="B18" s="987"/>
      <c r="C18" s="988"/>
      <c r="D18" s="987"/>
      <c r="F18" s="1280"/>
      <c r="G18" s="1287"/>
      <c r="H18" s="1287"/>
    </row>
    <row r="19" spans="2:8" ht="28.9" customHeight="1">
      <c r="B19" s="987"/>
      <c r="C19" s="988"/>
      <c r="D19" s="987"/>
      <c r="F19" s="1278" t="s">
        <v>1140</v>
      </c>
      <c r="G19" s="1291"/>
      <c r="H19" s="1291"/>
    </row>
    <row r="20" spans="2:8" ht="28.9" customHeight="1">
      <c r="B20" s="989" t="s">
        <v>1154</v>
      </c>
      <c r="C20" s="988"/>
      <c r="D20" s="989" t="s">
        <v>1155</v>
      </c>
      <c r="F20" s="1279"/>
      <c r="G20" s="1286"/>
      <c r="H20" s="1286"/>
    </row>
    <row r="21" spans="2:8" ht="28.9" customHeight="1">
      <c r="B21" s="987"/>
      <c r="C21" s="988"/>
      <c r="D21" s="987"/>
      <c r="F21" s="1280"/>
      <c r="G21" s="1287"/>
      <c r="H21" s="1287"/>
    </row>
    <row r="22" spans="2:8" ht="28.9" customHeight="1">
      <c r="B22" s="987"/>
      <c r="C22" s="988"/>
      <c r="D22" s="987"/>
      <c r="F22" s="1278" t="s">
        <v>1131</v>
      </c>
      <c r="G22" s="1291"/>
      <c r="H22" s="1291"/>
    </row>
    <row r="23" spans="2:8" ht="28.9" customHeight="1">
      <c r="B23" s="989" t="s">
        <v>1154</v>
      </c>
      <c r="C23" s="988"/>
      <c r="D23" s="989" t="s">
        <v>1155</v>
      </c>
      <c r="F23" s="1279"/>
      <c r="G23" s="1286"/>
      <c r="H23" s="1286"/>
    </row>
    <row r="24" spans="2:8" ht="28.9" customHeight="1">
      <c r="B24" s="987"/>
      <c r="C24" s="988"/>
      <c r="D24" s="987"/>
      <c r="F24" s="1280"/>
      <c r="G24" s="1287"/>
      <c r="H24" s="1287"/>
    </row>
    <row r="25" spans="2:8" ht="28.9" customHeight="1">
      <c r="B25" s="987"/>
      <c r="C25" s="988"/>
      <c r="D25" s="987"/>
      <c r="F25" s="1278" t="s">
        <v>1141</v>
      </c>
      <c r="G25" s="1288"/>
      <c r="H25" s="1288"/>
    </row>
    <row r="26" spans="2:8" ht="28.9" customHeight="1">
      <c r="B26" s="989" t="s">
        <v>1154</v>
      </c>
      <c r="C26" s="988"/>
      <c r="D26" s="989" t="s">
        <v>1155</v>
      </c>
      <c r="F26" s="1279"/>
      <c r="G26" s="1289"/>
      <c r="H26" s="1289"/>
    </row>
    <row r="27" spans="2:8" ht="28.9" customHeight="1">
      <c r="B27" s="987"/>
      <c r="C27" s="988"/>
      <c r="D27" s="987"/>
      <c r="F27" s="1280"/>
      <c r="G27" s="1290"/>
      <c r="H27" s="1290"/>
    </row>
    <row r="28" spans="2:8" ht="28.9" customHeight="1">
      <c r="B28" s="987"/>
      <c r="C28" s="988"/>
      <c r="D28" s="987"/>
      <c r="F28" s="1278" t="s">
        <v>1142</v>
      </c>
      <c r="G28" s="1291"/>
      <c r="H28" s="1291"/>
    </row>
    <row r="29" spans="2:8" ht="28.9" customHeight="1">
      <c r="B29" s="989" t="s">
        <v>1154</v>
      </c>
      <c r="C29" s="988"/>
      <c r="D29" s="989" t="s">
        <v>1155</v>
      </c>
      <c r="F29" s="1279"/>
      <c r="G29" s="1286"/>
      <c r="H29" s="1286"/>
    </row>
    <row r="30" spans="2:8" ht="28.9" customHeight="1">
      <c r="B30" s="987"/>
      <c r="C30" s="988"/>
      <c r="D30" s="987"/>
      <c r="F30" s="1280"/>
      <c r="G30" s="1287"/>
      <c r="H30" s="1287"/>
    </row>
    <row r="31" spans="2:8" ht="28.9" customHeight="1">
      <c r="B31" s="987"/>
      <c r="C31" s="988"/>
      <c r="D31" s="987"/>
      <c r="F31" s="1278" t="s">
        <v>1143</v>
      </c>
      <c r="G31" s="1281" t="s">
        <v>1277</v>
      </c>
      <c r="H31" s="1291"/>
    </row>
    <row r="32" spans="2:8" ht="28.9" customHeight="1">
      <c r="B32" s="989" t="s">
        <v>1154</v>
      </c>
      <c r="C32" s="988"/>
      <c r="D32" s="989" t="s">
        <v>1155</v>
      </c>
      <c r="F32" s="1279"/>
      <c r="G32" s="1286"/>
      <c r="H32" s="1286"/>
    </row>
    <row r="33" spans="2:8" ht="28.9" customHeight="1">
      <c r="B33" s="987"/>
      <c r="C33" s="988"/>
      <c r="D33" s="987"/>
      <c r="F33" s="1280"/>
      <c r="G33" s="1287"/>
      <c r="H33" s="1287"/>
    </row>
    <row r="34" spans="2:8" ht="28.9" customHeight="1">
      <c r="B34" s="987"/>
      <c r="C34" s="988"/>
      <c r="D34" s="987"/>
      <c r="F34" s="1278" t="s">
        <v>1144</v>
      </c>
      <c r="G34" s="1288"/>
      <c r="H34" s="1288"/>
    </row>
    <row r="35" spans="2:8" ht="28.9" customHeight="1">
      <c r="B35" s="989" t="s">
        <v>1154</v>
      </c>
      <c r="C35" s="988"/>
      <c r="D35" s="989" t="s">
        <v>1155</v>
      </c>
      <c r="F35" s="1279"/>
      <c r="G35" s="1289"/>
      <c r="H35" s="1289"/>
    </row>
    <row r="36" spans="2:8" ht="28.9" customHeight="1">
      <c r="B36" s="987"/>
      <c r="C36" s="988"/>
      <c r="D36" s="987"/>
      <c r="F36" s="1280"/>
      <c r="G36" s="1290"/>
      <c r="H36" s="1290"/>
    </row>
    <row r="37" spans="2:8" ht="28.9" customHeight="1">
      <c r="B37" s="987"/>
      <c r="C37" s="988"/>
      <c r="D37" s="987"/>
      <c r="F37" s="1278" t="s">
        <v>1145</v>
      </c>
      <c r="G37" s="1288" t="s">
        <v>1278</v>
      </c>
      <c r="H37" s="1288"/>
    </row>
    <row r="38" spans="2:8" ht="28.9" customHeight="1">
      <c r="B38" s="989" t="s">
        <v>1154</v>
      </c>
      <c r="C38" s="988"/>
      <c r="D38" s="989" t="s">
        <v>1155</v>
      </c>
      <c r="F38" s="1279"/>
      <c r="G38" s="1289"/>
      <c r="H38" s="1289"/>
    </row>
    <row r="39" spans="2:8" ht="28.9" customHeight="1">
      <c r="B39" s="987"/>
      <c r="C39" s="988"/>
      <c r="D39" s="987"/>
      <c r="F39" s="1280"/>
      <c r="G39" s="1290"/>
      <c r="H39" s="1290"/>
    </row>
    <row r="40" spans="2:8" ht="28.9" customHeight="1">
      <c r="B40" s="987"/>
      <c r="C40" s="988"/>
      <c r="D40" s="987"/>
      <c r="F40" s="1278" t="s">
        <v>1146</v>
      </c>
      <c r="G40" s="1288"/>
      <c r="H40" s="1288"/>
    </row>
    <row r="41" spans="2:8" ht="28.9" customHeight="1">
      <c r="B41" s="989" t="s">
        <v>1154</v>
      </c>
      <c r="C41" s="988"/>
      <c r="D41" s="989" t="s">
        <v>1155</v>
      </c>
      <c r="F41" s="1279"/>
      <c r="G41" s="1289"/>
      <c r="H41" s="1289"/>
    </row>
    <row r="42" spans="2:8" ht="28.9" customHeight="1">
      <c r="B42" s="987"/>
      <c r="C42" s="988"/>
      <c r="D42" s="987"/>
      <c r="F42" s="1280"/>
      <c r="G42" s="1290"/>
      <c r="H42" s="1290"/>
    </row>
    <row r="43" spans="2:8" ht="28.9" customHeight="1">
      <c r="B43" s="987"/>
      <c r="C43" s="988"/>
      <c r="D43" s="987"/>
      <c r="F43" s="1278" t="s">
        <v>1147</v>
      </c>
      <c r="G43" s="1288"/>
      <c r="H43" s="1288"/>
    </row>
    <row r="44" spans="2:8" ht="28.9" customHeight="1">
      <c r="B44" s="989" t="s">
        <v>1154</v>
      </c>
      <c r="C44" s="988"/>
      <c r="D44" s="989" t="s">
        <v>1155</v>
      </c>
      <c r="F44" s="1279"/>
      <c r="G44" s="1289"/>
      <c r="H44" s="1289"/>
    </row>
    <row r="45" spans="2:8" ht="28.9" customHeight="1">
      <c r="B45" s="987"/>
      <c r="C45" s="988"/>
      <c r="D45" s="987"/>
      <c r="F45" s="1280"/>
      <c r="G45" s="1290"/>
      <c r="H45" s="1290"/>
    </row>
    <row r="46" spans="2:8" ht="28.9" customHeight="1">
      <c r="B46" s="987"/>
      <c r="C46" s="988"/>
      <c r="D46" s="987"/>
      <c r="F46" s="1278" t="s">
        <v>1148</v>
      </c>
      <c r="G46" s="1288"/>
      <c r="H46" s="1288"/>
    </row>
    <row r="47" spans="2:8" ht="28.9" customHeight="1">
      <c r="B47" s="989" t="s">
        <v>1154</v>
      </c>
      <c r="C47" s="988"/>
      <c r="D47" s="989" t="s">
        <v>1155</v>
      </c>
      <c r="F47" s="1279"/>
      <c r="G47" s="1289"/>
      <c r="H47" s="1289"/>
    </row>
    <row r="48" spans="2:8" ht="28.9" customHeight="1">
      <c r="B48" s="987"/>
      <c r="C48" s="988"/>
      <c r="D48" s="987"/>
      <c r="F48" s="1280"/>
      <c r="G48" s="1290"/>
      <c r="H48" s="1290"/>
    </row>
    <row r="49" spans="2:8" ht="28.9" customHeight="1">
      <c r="B49" s="987"/>
      <c r="C49" s="988"/>
      <c r="D49" s="987"/>
      <c r="F49" s="1278" t="s">
        <v>1125</v>
      </c>
      <c r="G49" s="1288"/>
      <c r="H49" s="1288"/>
    </row>
    <row r="50" spans="2:8" ht="28.9" customHeight="1">
      <c r="B50" s="989" t="s">
        <v>1154</v>
      </c>
      <c r="C50" s="988"/>
      <c r="D50" s="989" t="s">
        <v>1155</v>
      </c>
      <c r="F50" s="1279"/>
      <c r="G50" s="1289"/>
      <c r="H50" s="1289"/>
    </row>
    <row r="51" spans="2:8" ht="28.9" customHeight="1">
      <c r="B51" s="987"/>
      <c r="C51" s="988"/>
      <c r="D51" s="987"/>
      <c r="F51" s="1280"/>
      <c r="G51" s="1290"/>
      <c r="H51" s="1290"/>
    </row>
    <row r="52" spans="2:8" ht="28.9" customHeight="1">
      <c r="B52" s="987"/>
      <c r="C52" s="988"/>
      <c r="D52" s="987"/>
      <c r="F52" s="1278" t="s">
        <v>1149</v>
      </c>
      <c r="G52" s="1288"/>
      <c r="H52" s="1288"/>
    </row>
    <row r="53" spans="2:8" ht="28.9" customHeight="1">
      <c r="B53" s="989" t="s">
        <v>1154</v>
      </c>
      <c r="C53" s="988"/>
      <c r="D53" s="989" t="s">
        <v>1155</v>
      </c>
      <c r="F53" s="1279"/>
      <c r="G53" s="1289"/>
      <c r="H53" s="1289"/>
    </row>
    <row r="54" spans="2:8" ht="28.9" customHeight="1">
      <c r="B54" s="987"/>
      <c r="C54" s="988"/>
      <c r="D54" s="987"/>
      <c r="F54" s="1280"/>
      <c r="G54" s="1290"/>
      <c r="H54" s="1290"/>
    </row>
    <row r="55" spans="2:8" ht="28.9" customHeight="1">
      <c r="B55" s="987"/>
      <c r="C55" s="988"/>
      <c r="D55" s="987"/>
      <c r="F55" s="1278" t="s">
        <v>1150</v>
      </c>
      <c r="G55" s="1288"/>
      <c r="H55" s="1288"/>
    </row>
    <row r="56" spans="2:8" ht="28.9" customHeight="1">
      <c r="B56" s="989" t="s">
        <v>1154</v>
      </c>
      <c r="C56" s="988"/>
      <c r="D56" s="989" t="s">
        <v>1155</v>
      </c>
      <c r="F56" s="1279"/>
      <c r="G56" s="1289"/>
      <c r="H56" s="1289"/>
    </row>
    <row r="57" spans="2:8" ht="28.9" customHeight="1">
      <c r="B57" s="987"/>
      <c r="C57" s="988"/>
      <c r="D57" s="987"/>
      <c r="F57" s="1280"/>
      <c r="G57" s="1290"/>
      <c r="H57" s="1290"/>
    </row>
    <row r="58" spans="2:8" ht="28.9" customHeight="1">
      <c r="B58" s="987"/>
      <c r="C58" s="988"/>
      <c r="D58" s="987"/>
      <c r="F58" s="1278" t="s">
        <v>1151</v>
      </c>
      <c r="G58" s="1288"/>
      <c r="H58" s="1288"/>
    </row>
    <row r="59" spans="2:8" ht="28.9" customHeight="1">
      <c r="B59" s="989" t="s">
        <v>1154</v>
      </c>
      <c r="C59" s="988"/>
      <c r="D59" s="989" t="s">
        <v>1155</v>
      </c>
      <c r="F59" s="1279"/>
      <c r="G59" s="1289"/>
      <c r="H59" s="1289"/>
    </row>
    <row r="60" spans="2:8" ht="28.9" customHeight="1">
      <c r="B60" s="987"/>
      <c r="C60" s="988"/>
      <c r="D60" s="987"/>
      <c r="F60" s="1280"/>
      <c r="G60" s="1290"/>
      <c r="H60" s="1290"/>
    </row>
    <row r="61" spans="2:8" ht="28.9" customHeight="1">
      <c r="B61" s="987"/>
      <c r="C61" s="988"/>
      <c r="D61" s="987"/>
      <c r="F61" s="1278" t="s">
        <v>1152</v>
      </c>
      <c r="G61" s="1288"/>
      <c r="H61" s="1288"/>
    </row>
    <row r="62" spans="2:8" ht="28.9" customHeight="1">
      <c r="B62" s="989" t="s">
        <v>1154</v>
      </c>
      <c r="C62" s="988"/>
      <c r="D62" s="989" t="s">
        <v>1155</v>
      </c>
      <c r="F62" s="1279"/>
      <c r="G62" s="1289"/>
      <c r="H62" s="1289"/>
    </row>
    <row r="63" spans="2:8" ht="28.9" customHeight="1">
      <c r="B63" s="987"/>
      <c r="C63" s="988"/>
      <c r="D63" s="987"/>
      <c r="F63" s="1280"/>
      <c r="G63" s="1290"/>
      <c r="H63" s="1290"/>
    </row>
    <row r="64" spans="2:8" ht="28.9" customHeight="1">
      <c r="B64" s="987"/>
      <c r="C64" s="988"/>
      <c r="D64" s="987"/>
      <c r="F64" s="1278" t="s">
        <v>1153</v>
      </c>
      <c r="G64" s="1288"/>
      <c r="H64" s="1288"/>
    </row>
    <row r="65" spans="2:8" ht="28.9" customHeight="1">
      <c r="B65" s="989" t="s">
        <v>1154</v>
      </c>
      <c r="C65" s="988"/>
      <c r="D65" s="989" t="s">
        <v>1155</v>
      </c>
      <c r="F65" s="1279"/>
      <c r="G65" s="1289"/>
      <c r="H65" s="1289"/>
    </row>
    <row r="66" spans="2:8" ht="28.9" customHeight="1">
      <c r="B66" s="987"/>
      <c r="C66" s="988"/>
      <c r="D66" s="987"/>
      <c r="F66" s="1280"/>
      <c r="G66" s="1290"/>
      <c r="H66" s="129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173 MG/Yr</v>
      </c>
    </row>
    <row r="79" spans="1:6" ht="16.5">
      <c r="B79" s="65"/>
      <c r="C79" s="65"/>
      <c r="D79" s="65"/>
      <c r="E79" s="12" t="str">
        <f>IFERROR("Total Cost of NRW = $"&amp;TEXT(SUM(D90,D91,D94,D95,D96,D97,D99),"#,###")&amp;"/Yr","")</f>
        <v>Total Cost of NRW = $203,948/Yr</v>
      </c>
      <c r="F79" s="65"/>
    </row>
    <row r="80" spans="1:6">
      <c r="A80" s="64"/>
      <c r="B80" s="64"/>
      <c r="C80" s="66" t="str">
        <f>"Volume ("&amp;Worksheet!J15&amp;")"</f>
        <v>Volume (MG/Yr)</v>
      </c>
      <c r="D80" s="66" t="s">
        <v>147</v>
      </c>
      <c r="E80" s="119" t="s">
        <v>1085</v>
      </c>
      <c r="F80" s="64"/>
    </row>
    <row r="81" spans="1:6">
      <c r="A81" s="67" t="s">
        <v>127</v>
      </c>
      <c r="B81" s="67"/>
      <c r="C81" s="160">
        <f>IF(Dashboard!BO$2&gt;0,"",Worksheet!H15)</f>
        <v>488.42899999999997</v>
      </c>
      <c r="D81" s="161">
        <f>IF(Dashboard!BO$2&gt;0,"",C81*(Worksheet!$H$77))</f>
        <v>224677.34</v>
      </c>
      <c r="E81" s="712">
        <f>D81</f>
        <v>224677.34</v>
      </c>
      <c r="F81" s="925" t="s">
        <v>1084</v>
      </c>
    </row>
    <row r="82" spans="1:6">
      <c r="A82" s="67" t="str">
        <f>A81&amp;" MA"</f>
        <v>Vol. from own sources: MA</v>
      </c>
      <c r="B82" s="67"/>
      <c r="C82" s="160">
        <f>IF(Dashboard!BO$2&gt;0,"",Worksheet!X15)</f>
        <v>9.76858</v>
      </c>
      <c r="D82" s="161">
        <f>IF(Dashboard!BO$2&gt;0,"",C82*(Worksheet!$H$77))</f>
        <v>4493.5468000000001</v>
      </c>
      <c r="E82" s="712">
        <f t="shared" ref="E82:E100" si="0">D82</f>
        <v>4493.5468000000001</v>
      </c>
      <c r="F82" s="64"/>
    </row>
    <row r="83" spans="1:6">
      <c r="A83" s="64" t="s">
        <v>0</v>
      </c>
      <c r="B83" s="64"/>
      <c r="C83" s="160">
        <f>IF(Dashboard!BO$2&gt;0,"",Worksheet!H16)</f>
        <v>24.12</v>
      </c>
      <c r="D83" s="161">
        <f>IF(Dashboard!BO$2&gt;0,"",C83*(Worksheet!$H$77))</f>
        <v>11095.2</v>
      </c>
      <c r="E83" s="712">
        <f t="shared" si="0"/>
        <v>11095.2</v>
      </c>
      <c r="F83" s="64"/>
    </row>
    <row r="84" spans="1:6">
      <c r="A84" s="64" t="str">
        <f>A83&amp;" MA"</f>
        <v>Water imported: MA</v>
      </c>
      <c r="B84" s="64"/>
      <c r="C84" s="160">
        <f>IF(Dashboard!BO$2&gt;0,"",Worksheet!X16)</f>
        <v>0.48240000000000005</v>
      </c>
      <c r="D84" s="161">
        <f>IF(Dashboard!BO$2&gt;0,"",C84*(Worksheet!$H$77))</f>
        <v>221.90400000000002</v>
      </c>
      <c r="E84" s="712">
        <f t="shared" si="0"/>
        <v>221.90400000000002</v>
      </c>
      <c r="F84" s="64"/>
    </row>
    <row r="85" spans="1:6">
      <c r="A85" s="64" t="s">
        <v>1</v>
      </c>
      <c r="B85" s="64"/>
      <c r="C85" s="160">
        <f>IF(Dashboard!BO$2&gt;0,"",Worksheet!H17)</f>
        <v>0.82899999999999996</v>
      </c>
      <c r="D85" s="161">
        <f>IF(Dashboard!BO$2&gt;0,"",C85*(Worksheet!$H$77))</f>
        <v>381.34</v>
      </c>
      <c r="E85" s="712">
        <f t="shared" si="0"/>
        <v>381.34</v>
      </c>
      <c r="F85" s="64"/>
    </row>
    <row r="86" spans="1:6">
      <c r="A86" s="64" t="str">
        <f>A85&amp;" MA"</f>
        <v>Water exported: MA</v>
      </c>
      <c r="B86" s="64"/>
      <c r="C86" s="160">
        <f>IF(Dashboard!BO$2&gt;0,"",Worksheet!X17)</f>
        <v>1.6580000000000001E-2</v>
      </c>
      <c r="D86" s="161">
        <f>IF(Dashboard!BO$2&gt;0,"",C86*(Worksheet!$H$77))</f>
        <v>7.6268000000000002</v>
      </c>
      <c r="E86" s="712">
        <f t="shared" si="0"/>
        <v>7.6268000000000002</v>
      </c>
      <c r="F86" s="64"/>
    </row>
    <row r="87" spans="1:6">
      <c r="A87" s="64" t="s">
        <v>109</v>
      </c>
      <c r="B87" s="64"/>
      <c r="C87" s="160">
        <f>IF(Dashboard!BO$2&gt;0,"",Worksheet!H19)</f>
        <v>522.16326530612241</v>
      </c>
      <c r="D87" s="161">
        <f>IF(Dashboard!BO$2&gt;0,"",C87*(Worksheet!$H$77))</f>
        <v>240195.1020408163</v>
      </c>
      <c r="E87" s="712">
        <f t="shared" si="0"/>
        <v>240195.1020408163</v>
      </c>
      <c r="F87" s="64"/>
    </row>
    <row r="88" spans="1:6">
      <c r="A88" s="279" t="s">
        <v>1268</v>
      </c>
      <c r="B88" s="64"/>
      <c r="C88" s="160">
        <f>IF(Dashboard!BO$2&gt;0,"",Worksheet!H23)</f>
        <v>348.95699999999999</v>
      </c>
      <c r="D88" s="161">
        <f>IF(Dashboard!BO$2&gt;0,"",C88*(Worksheet!$H$76*1000))</f>
        <v>5052897.3600000003</v>
      </c>
      <c r="E88" s="712">
        <f t="shared" si="0"/>
        <v>5052897.3600000003</v>
      </c>
      <c r="F88" s="64"/>
    </row>
    <row r="89" spans="1:6">
      <c r="A89" s="279" t="s">
        <v>1269</v>
      </c>
      <c r="B89" s="64"/>
      <c r="C89" s="160">
        <f>IF(Dashboard!BO$2&gt;0,"",Worksheet!H24)</f>
        <v>8.5000000000000006E-2</v>
      </c>
      <c r="D89" s="161">
        <f>IF(Dashboard!BO$2&gt;0,"",C89*(Worksheet!$H$76*1000))</f>
        <v>1230.8000000000002</v>
      </c>
      <c r="E89" s="712">
        <f t="shared" si="0"/>
        <v>1230.8000000000002</v>
      </c>
      <c r="F89" s="64"/>
    </row>
    <row r="90" spans="1:6">
      <c r="A90" s="1107" t="str">
        <f>"Unbilled Metered (UMAC) valued at "&amp;A76&amp;""</f>
        <v xml:space="preserve">Unbilled Metered (UMAC) valued at </v>
      </c>
      <c r="B90" s="1108"/>
      <c r="C90" s="1109">
        <f>IF(Dashboard!BO$2&gt;0,"",Worksheet!H25)</f>
        <v>1.57</v>
      </c>
      <c r="D90" s="1110">
        <f>IF(Dashboard!BO$2&gt;0,"",IF(ISBLANK('Start Page'!AB22),"",IF(AND(ISBLANK(Worksheet!H77),Worksheet!Z77&lt;&gt;1),"",Worksheet!H25*(IF(Dashboard!BD29=FALSE,Worksheet!H77,IF(Dashboard!BD29=TRUE,Worksheet!H76*INDEX(Sheet1!B2:D4,MATCH('Start Page'!AB22,Sheet1!A2:A4,0),MATCH(Worksheet!J76,Sheet1!B1:D1,0)),""))))))</f>
        <v>722.2</v>
      </c>
      <c r="E90" s="1111">
        <f t="shared" si="0"/>
        <v>722.2</v>
      </c>
      <c r="F90" s="64"/>
    </row>
    <row r="91" spans="1:6">
      <c r="A91" s="1112" t="str">
        <f>"Unbilled Unmetered (UUAC) valued at "&amp;A76&amp;""</f>
        <v xml:space="preserve">Unbilled Unmetered (UUAC) valued at </v>
      </c>
      <c r="B91" s="1108"/>
      <c r="C91" s="1109">
        <f>IF(Dashboard!BO$2&gt;0,"",Worksheet!H26)</f>
        <v>8.6310000000000002</v>
      </c>
      <c r="D91" s="1110">
        <f>IF(Dashboard!BO$2&gt;0,"",IF(ISBLANK('Start Page'!AB22),"",IF(AND(ISBLANK(Worksheet!H77),Worksheet!Z77&lt;&gt;1),"",Worksheet!H26*(IF(Dashboard!BD29=FALSE,Worksheet!H77,IF(Dashboard!BD29=TRUE,Worksheet!H76*INDEX(Sheet1!B2:D4,MATCH('Start Page'!AB22,Sheet1!A2:A4,0),MATCH(Worksheet!J76,Sheet1!B1:D1,0)),""))))))</f>
        <v>3970.26</v>
      </c>
      <c r="E91" s="1111">
        <f t="shared" si="0"/>
        <v>3970.26</v>
      </c>
      <c r="F91" s="64"/>
    </row>
    <row r="92" spans="1:6">
      <c r="A92" s="279" t="s">
        <v>2</v>
      </c>
      <c r="B92" s="164" t="s">
        <v>239</v>
      </c>
      <c r="C92" s="160">
        <f>IF(Dashboard!BO$2&gt;0,"",Worksheet!H30)</f>
        <v>359.24299999999994</v>
      </c>
      <c r="D92" s="161">
        <f>IF(Dashboard!BO$2&gt;0,"",C92*(Worksheet!$H$76*1000))</f>
        <v>5201838.6399999987</v>
      </c>
      <c r="E92" s="712">
        <f t="shared" si="0"/>
        <v>5201838.6399999987</v>
      </c>
      <c r="F92" s="64"/>
    </row>
    <row r="93" spans="1:6">
      <c r="A93" s="64" t="s">
        <v>51</v>
      </c>
      <c r="B93" s="64"/>
      <c r="C93" s="160">
        <f>IF(Dashboard!BO$2&gt;0,"",Worksheet!H35)</f>
        <v>162.92026530612247</v>
      </c>
      <c r="D93" s="161"/>
      <c r="E93" s="712">
        <f t="shared" si="0"/>
        <v>0</v>
      </c>
      <c r="F93" s="64"/>
    </row>
    <row r="94" spans="1:6">
      <c r="A94" s="278" t="s">
        <v>678</v>
      </c>
      <c r="B94" s="67"/>
      <c r="C94" s="165">
        <f>IF(Dashboard!BO$2&gt;0,"",Worksheet!H43)</f>
        <v>0.87260499999999996</v>
      </c>
      <c r="D94" s="166">
        <f>IF(Dashboard!BO$2&gt;0,"",IF(ISBLANK('Start Page'!AB22),"",IF(AND(ISBLANK(Worksheet!H77),Worksheet!Z77&lt;&gt;1),"",C94*Worksheet!H76*INDEX(Sheet1!B2:D4,MATCH('Start Page'!AB22,Sheet1!A2:A4,0),MATCH(Worksheet!J76,Sheet1!B1:D1,0)))))</f>
        <v>12635.320399999999</v>
      </c>
      <c r="E94" s="713">
        <f t="shared" si="0"/>
        <v>12635.320399999999</v>
      </c>
      <c r="F94" s="167"/>
    </row>
    <row r="95" spans="1:6">
      <c r="A95" s="1094" t="s">
        <v>679</v>
      </c>
      <c r="B95" s="1093"/>
      <c r="C95" s="1095">
        <f>Worksheet!X50</f>
        <v>7.1215714285714284</v>
      </c>
      <c r="D95" s="1096">
        <f>IF(Dashboard!BO$2&gt;0,"",IF(ISBLANK('Start Page'!AB22),"",IF(AND(ISBLANK(Worksheet!H77),Worksheet!Z77&lt;&gt;1),"",C95*Worksheet!H76*INDEX(Sheet1!B2:D4,MATCH('Start Page'!AB22,Sheet1!A2:A4,0),MATCH(Worksheet!J76,Sheet1!B1:D1,0)))))</f>
        <v>103120.35428571429</v>
      </c>
      <c r="E95" s="1097">
        <f t="shared" si="0"/>
        <v>103120.35428571429</v>
      </c>
      <c r="F95" s="167"/>
    </row>
    <row r="96" spans="1:6">
      <c r="A96" s="1094" t="s">
        <v>1270</v>
      </c>
      <c r="B96" s="1093"/>
      <c r="C96" s="1095">
        <f>Worksheet!Y50</f>
        <v>3.2040816326530663E-2</v>
      </c>
      <c r="D96" s="1096">
        <f>C96*input_VPC</f>
        <v>14.738775510204105</v>
      </c>
      <c r="E96" s="1097">
        <f t="shared" si="0"/>
        <v>14.738775510204105</v>
      </c>
      <c r="F96" s="1100" t="s">
        <v>1272</v>
      </c>
    </row>
    <row r="97" spans="1:7">
      <c r="A97" s="278" t="s">
        <v>680</v>
      </c>
      <c r="B97" s="67"/>
      <c r="C97" s="165">
        <f>IF(Dashboard!BO$2&gt;0,"",Worksheet!H39)</f>
        <v>0.87260499999999996</v>
      </c>
      <c r="D97" s="166">
        <f>IF(Dashboard!BO$2&gt;0,"",IF(ISBLANK('Start Page'!AB22),"",IF(AND(ISBLANK(Worksheet!H77),Worksheet!Z77&lt;&gt;1),"",C97*Worksheet!H76*INDEX(Sheet1!B2:D4,MATCH('Start Page'!AB22,Sheet1!A2:A4,0),MATCH(Worksheet!J76,Sheet1!B1:D1,0)))))</f>
        <v>12635.320399999999</v>
      </c>
      <c r="E97" s="713">
        <f t="shared" si="0"/>
        <v>12635.320399999999</v>
      </c>
      <c r="F97" s="167"/>
    </row>
    <row r="98" spans="1:7">
      <c r="A98" s="1104" t="s">
        <v>42</v>
      </c>
      <c r="B98" s="1104"/>
      <c r="C98" s="1105">
        <f>IF(Dashboard!BO$2&gt;0,"",Worksheet!H46)</f>
        <v>8.8988222448979428</v>
      </c>
      <c r="D98" s="1106">
        <f>IF(Dashboard!BO$2&gt;0,"",SUM(D94:D97))</f>
        <v>128405.73386122449</v>
      </c>
      <c r="E98" s="712">
        <f t="shared" si="0"/>
        <v>128405.73386122449</v>
      </c>
      <c r="F98" s="64"/>
    </row>
    <row r="99" spans="1:7">
      <c r="A99" s="118" t="str">
        <f>"Real Losses valued at "&amp;A76&amp;""</f>
        <v xml:space="preserve">Real Losses valued at </v>
      </c>
      <c r="B99" s="67"/>
      <c r="C99" s="165">
        <f>IF(Dashboard!BO$2&gt;0,"",Worksheet!H51)</f>
        <v>154.02144306122455</v>
      </c>
      <c r="D99" s="1098">
        <f>IF(Dashboard!BO$2&gt;0,"",Dashboard!N50)</f>
        <v>70849.863808163296</v>
      </c>
      <c r="E99" s="713">
        <f t="shared" si="0"/>
        <v>70849.863808163296</v>
      </c>
      <c r="F99" s="712"/>
    </row>
    <row r="100" spans="1:7">
      <c r="A100" s="64" t="s">
        <v>72</v>
      </c>
      <c r="B100" s="64"/>
      <c r="C100" s="160">
        <f>IF(Dashboard!BO$2&gt;0,"",Worksheet!H57)</f>
        <v>173.12126530612247</v>
      </c>
      <c r="D100" s="162">
        <f>IF(Dashboard!BO$2&gt;0,"",D98+D99+D90+D91)</f>
        <v>203948.05766938781</v>
      </c>
      <c r="E100" s="712">
        <f t="shared" si="0"/>
        <v>203948.05766938781</v>
      </c>
      <c r="F100" s="64"/>
      <c r="G100" s="168"/>
    </row>
    <row r="101" spans="1:7">
      <c r="A101" s="1101"/>
    </row>
    <row r="102" spans="1:7">
      <c r="A102" s="1101" t="s">
        <v>1271</v>
      </c>
      <c r="C102" s="1102">
        <f>C95+C96</f>
        <v>7.1536122448979587</v>
      </c>
      <c r="D102" s="168">
        <f>D95+D96</f>
        <v>103135.0930612245</v>
      </c>
      <c r="E102" s="168">
        <f>E95+E96</f>
        <v>103135.0930612245</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election activeCell="BD10" sqref="BD10"/>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D10" sqref="BD10"/>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Whitehaven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0.8459183673469387</v>
      </c>
      <c r="E10" s="1312"/>
      <c r="F10" s="1313"/>
      <c r="G10" s="1314"/>
      <c r="H10" s="428">
        <f>D10</f>
        <v>0.8459183673469387</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348.95699999999999</v>
      </c>
      <c r="H12" s="438"/>
      <c r="I12" s="7"/>
      <c r="K12" s="1049"/>
    </row>
    <row r="13" spans="2:16" ht="22.5" customHeight="1">
      <c r="B13" s="1293"/>
      <c r="C13" s="439"/>
      <c r="D13" s="436"/>
      <c r="E13" s="1302"/>
      <c r="F13" s="441">
        <f>Worksheet!H23+Worksheet!H24</f>
        <v>349.04199999999997</v>
      </c>
      <c r="G13" s="442" t="s">
        <v>1090</v>
      </c>
      <c r="H13" s="443">
        <f>SUM(G12+G14)</f>
        <v>349.04199999999997</v>
      </c>
      <c r="I13" s="7"/>
      <c r="K13" s="163"/>
      <c r="L13" s="159"/>
      <c r="M13" s="159"/>
      <c r="N13" s="159"/>
      <c r="O13" s="159"/>
      <c r="P13" s="159"/>
    </row>
    <row r="14" spans="2:16" ht="15.75" customHeight="1">
      <c r="B14" s="1305" t="s">
        <v>762</v>
      </c>
      <c r="C14" s="444"/>
      <c r="D14" s="436"/>
      <c r="E14" s="445"/>
      <c r="F14" s="446"/>
      <c r="G14" s="447">
        <f>Worksheet!H24</f>
        <v>8.5000000000000006E-2</v>
      </c>
      <c r="H14" s="448"/>
      <c r="I14" s="7"/>
      <c r="K14" s="163"/>
    </row>
    <row r="15" spans="2:16" ht="15.75" customHeight="1">
      <c r="B15" s="1306"/>
      <c r="C15" s="444"/>
      <c r="D15" s="436"/>
      <c r="E15" s="449">
        <f>Worksheet!H30</f>
        <v>359.24299999999994</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1.57</v>
      </c>
      <c r="H16" s="1301"/>
      <c r="I16" s="7"/>
      <c r="K16" s="163"/>
    </row>
    <row r="17" spans="2:16" ht="22.5" customHeight="1">
      <c r="B17" s="453">
        <f>Worksheet!AG15</f>
        <v>498.39693877551019</v>
      </c>
      <c r="C17" s="454"/>
      <c r="D17" s="455"/>
      <c r="E17" s="311"/>
      <c r="F17" s="456">
        <f>Worksheet!H25+Worksheet!H26</f>
        <v>10.201000000000001</v>
      </c>
      <c r="G17" s="440" t="s">
        <v>1092</v>
      </c>
      <c r="H17" s="438"/>
      <c r="I17" s="7"/>
      <c r="K17" s="163"/>
      <c r="L17" s="159"/>
      <c r="M17" s="159"/>
      <c r="N17" s="159"/>
      <c r="O17" s="159"/>
      <c r="P17" s="159"/>
    </row>
    <row r="18" spans="2:16" ht="15.75" customHeight="1">
      <c r="B18" s="451"/>
      <c r="C18" s="1315" t="s">
        <v>763</v>
      </c>
      <c r="D18" s="436"/>
      <c r="E18" s="457"/>
      <c r="F18" s="446"/>
      <c r="G18" s="458">
        <f>Worksheet!H26</f>
        <v>8.6310000000000002</v>
      </c>
      <c r="H18" s="438"/>
      <c r="I18" s="7"/>
      <c r="K18" s="163"/>
    </row>
    <row r="19" spans="2:16" ht="22.5" customHeight="1">
      <c r="B19" s="451"/>
      <c r="C19" s="1315"/>
      <c r="D19" s="459" t="s">
        <v>116</v>
      </c>
      <c r="E19" s="432"/>
      <c r="F19" s="460"/>
      <c r="G19" s="707" t="s">
        <v>695</v>
      </c>
      <c r="H19" s="461">
        <f>Worksheet!H25+Worksheet!H26+Worksheet!H46+Worksheet!H51</f>
        <v>173.1212653061225</v>
      </c>
      <c r="I19" s="7"/>
      <c r="K19" s="163"/>
      <c r="L19" s="159"/>
      <c r="M19" s="159"/>
      <c r="N19" s="159"/>
      <c r="O19" s="159"/>
      <c r="P19" s="159"/>
    </row>
    <row r="20" spans="2:16" ht="15.75" customHeight="1">
      <c r="B20" s="451"/>
      <c r="C20" s="462">
        <f>B17+B27</f>
        <v>523.00918367346935</v>
      </c>
      <c r="D20" s="436"/>
      <c r="E20" s="311"/>
      <c r="F20" s="463" t="s">
        <v>52</v>
      </c>
      <c r="G20" s="452">
        <f>Worksheet!H39</f>
        <v>0.87260499999999996</v>
      </c>
      <c r="H20" s="438"/>
      <c r="I20" s="7"/>
      <c r="K20" s="163"/>
    </row>
    <row r="21" spans="2:16" ht="14.25" customHeight="1">
      <c r="B21" s="464"/>
      <c r="C21" s="465"/>
      <c r="D21" s="462">
        <f>Worksheet!H19</f>
        <v>522.16326530612241</v>
      </c>
      <c r="E21" s="466"/>
      <c r="F21" s="456">
        <f>Worksheet!H46</f>
        <v>8.8988222448979428</v>
      </c>
      <c r="G21" s="440" t="s">
        <v>694</v>
      </c>
      <c r="H21" s="438"/>
      <c r="I21" s="7"/>
      <c r="K21" s="163"/>
      <c r="L21" s="159"/>
      <c r="M21" s="159"/>
      <c r="N21" s="159"/>
      <c r="O21" s="159"/>
      <c r="P21" s="159"/>
    </row>
    <row r="22" spans="2:16" ht="15.75" customHeight="1">
      <c r="B22" s="451"/>
      <c r="C22" s="435"/>
      <c r="D22" s="436"/>
      <c r="E22" s="311"/>
      <c r="F22" s="466"/>
      <c r="G22" s="467">
        <f>Worksheet!H41</f>
        <v>7.1536122448979427</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0.87260499999999996</v>
      </c>
      <c r="H24" s="438"/>
      <c r="I24" s="7"/>
      <c r="K24" s="163"/>
    </row>
    <row r="25" spans="2:16" ht="26.25" customHeight="1">
      <c r="B25" s="1292" t="s">
        <v>1087</v>
      </c>
      <c r="C25" s="439"/>
      <c r="D25" s="436"/>
      <c r="E25" s="469">
        <f>Worksheet!H53</f>
        <v>162.92026530612247</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24.612244897959187</v>
      </c>
      <c r="C27" s="454"/>
      <c r="D27" s="436"/>
      <c r="E27" s="311"/>
      <c r="F27" s="456">
        <f>Worksheet!H51</f>
        <v>154.02144306122455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D10" sqref="BD10"/>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Whitehaven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2024</v>
      </c>
      <c r="H5" s="1360" t="str">
        <f>IF(ISBLANK('Start Page'!AB20),"",TEXT('Start Page'!AB20,"mmm dd yyyy")&amp;" - "&amp;TEXT('Start Page'!AB21,"mmm dd yyyy"))</f>
        <v>Jan 01 2024 - Dec 31 2024</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32.646156686595418</v>
      </c>
      <c r="AF98" s="47">
        <f t="shared" ref="AF98:AF103" si="0">AE98</f>
        <v>32.646156686595418</v>
      </c>
      <c r="AG98" s="47">
        <f>IF(AE98&lt;&gt;0,AF98/10,0)</f>
        <v>3.264615668659542</v>
      </c>
      <c r="AH98" s="44">
        <f>IFERROR(AD98*AG98,0)</f>
        <v>19.587694011957254</v>
      </c>
      <c r="AI98" s="45">
        <f t="shared" ref="AI98:AI117" si="1">IF(AG98=0,0,AF98-AH98)</f>
        <v>13.058462674638164</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0.65292313373190836</v>
      </c>
      <c r="AF99" s="47">
        <f t="shared" si="0"/>
        <v>0.65292313373190836</v>
      </c>
      <c r="AG99" s="47">
        <f t="shared" ref="AG99:AG117" si="3">IF(AE99&lt;&gt;0,AF99/10,0)</f>
        <v>6.529231337319083E-2</v>
      </c>
      <c r="AH99" s="44">
        <f t="shared" ref="AH99:AH106" si="4">IFERROR(AD99*AG99,0)</f>
        <v>0.26116925349276332</v>
      </c>
      <c r="AI99" s="45">
        <f t="shared" si="1"/>
        <v>0.39175388023914504</v>
      </c>
      <c r="AJ99">
        <f t="array" aca="1" ref="AJ99" ca="1">SUM(1*(AI99&lt;$AI$98:$AI$117))+1+IF(ROW(AI99)-ROW($AI$98)=0,0,SUM(1*(AI99=OFFSET($AI$98,0,0,INDEX(ROW(AI99)-ROW($AI$98)+1,1)-1,1))))</f>
        <v>14</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1.6121591864542881</v>
      </c>
      <c r="AF100" s="47">
        <f t="shared" si="0"/>
        <v>1.6121591864542881</v>
      </c>
      <c r="AG100" s="47">
        <f t="shared" si="3"/>
        <v>0.16121591864542881</v>
      </c>
      <c r="AH100" s="44">
        <f t="shared" si="4"/>
        <v>0.96729551187257279</v>
      </c>
      <c r="AI100" s="45">
        <f t="shared" si="1"/>
        <v>0.64486367458171534</v>
      </c>
      <c r="AJ100">
        <f t="array" aca="1" ref="AJ100" ca="1">SUM(1*(AI100&lt;$AI$98:$AI$117))+1+IF(ROW(AI100)-ROW($AI$98)=0,0,SUM(1*(AI100=OFFSET($AI$98,0,0,INDEX(ROW(AI100)-ROW($AI$98)+1,1)-1,1))))</f>
        <v>11</v>
      </c>
      <c r="AK100" s="104" t="str">
        <f t="shared" si="5"/>
        <v>Water Imported (WI)</v>
      </c>
      <c r="AL100">
        <f t="shared" si="6"/>
        <v>1</v>
      </c>
      <c r="AM100">
        <f t="shared" si="7"/>
        <v>1</v>
      </c>
      <c r="AN100">
        <f t="shared" si="2"/>
        <v>0</v>
      </c>
    </row>
    <row r="101" spans="28:40">
      <c r="AC101" s="274" t="s">
        <v>702</v>
      </c>
      <c r="AD101" s="46">
        <f>IF(Worksheet!M16="n/a",0,Worksheet!M16)</f>
        <v>4</v>
      </c>
      <c r="AE101" s="80">
        <f>Worksheet!Z16</f>
        <v>3.2243183729085766E-2</v>
      </c>
      <c r="AF101" s="47">
        <f t="shared" si="0"/>
        <v>3.2243183729085766E-2</v>
      </c>
      <c r="AG101" s="47">
        <f t="shared" si="3"/>
        <v>3.2243183729085767E-3</v>
      </c>
      <c r="AH101" s="44">
        <f t="shared" si="4"/>
        <v>1.2897273491634307E-2</v>
      </c>
      <c r="AI101" s="45">
        <f t="shared" si="1"/>
        <v>1.9345910237451459E-2</v>
      </c>
      <c r="AJ101">
        <f t="array" aca="1" ref="AJ101" ca="1">SUM(1*(AI101&lt;$AI$98:$AI$117))+1+IF(ROW(AI101)-ROW($AI$98)=0,0,SUM(1*(AI101=OFFSET($AI$98,0,0,INDEX(ROW(AI101)-ROW($AI$98)+1,1)-1,1))))</f>
        <v>17</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5.5409617146376648E-2</v>
      </c>
      <c r="AF102" s="47">
        <f t="shared" si="0"/>
        <v>5.5409617146376648E-2</v>
      </c>
      <c r="AG102" s="47">
        <f t="shared" si="3"/>
        <v>5.5409617146376646E-3</v>
      </c>
      <c r="AH102" s="44">
        <f t="shared" si="4"/>
        <v>3.3245770287825986E-2</v>
      </c>
      <c r="AI102" s="45">
        <f t="shared" si="1"/>
        <v>2.2163846858550662E-2</v>
      </c>
      <c r="AJ102">
        <f t="array" aca="1" ref="AJ102" ca="1">SUM(1*(AI102&lt;$AI$98:$AI$117))+1+IF(ROW(AI102)-ROW($AI$98)=0,0,SUM(1*(AI102=OFFSET($AI$98,0,0,INDEX(ROW(AI102)-ROW($AI$98)+1,1)-1,1))))</f>
        <v>16</v>
      </c>
      <c r="AK102" s="104" t="str">
        <f t="shared" si="5"/>
        <v>Water Exported (WE)</v>
      </c>
      <c r="AL102">
        <f t="shared" si="6"/>
        <v>1</v>
      </c>
      <c r="AM102">
        <f t="shared" si="7"/>
        <v>1</v>
      </c>
      <c r="AN102">
        <f t="shared" si="2"/>
        <v>0</v>
      </c>
    </row>
    <row r="103" spans="28:40">
      <c r="AC103" s="274" t="s">
        <v>704</v>
      </c>
      <c r="AD103" s="81">
        <f>IF(Worksheet!M17="n/a",0,Worksheet!M17)</f>
        <v>4</v>
      </c>
      <c r="AE103" s="82">
        <f>Worksheet!Z17</f>
        <v>1.1081923429275332E-3</v>
      </c>
      <c r="AF103" s="83">
        <f t="shared" si="0"/>
        <v>1.1081923429275332E-3</v>
      </c>
      <c r="AG103" s="83">
        <f t="shared" si="3"/>
        <v>1.1081923429275331E-4</v>
      </c>
      <c r="AH103" s="44">
        <f t="shared" si="4"/>
        <v>4.4327693717101325E-4</v>
      </c>
      <c r="AI103" s="83">
        <f t="shared" si="1"/>
        <v>6.6491540575651994E-4</v>
      </c>
      <c r="AJ103" s="84">
        <f t="array" aca="1" ref="AJ103" ca="1">SUM(1*(AI103&lt;$AI$98:$AI$117))+1+IF(ROW(AI103)-ROW($AI$98)=0,0,SUM(1*(AI103=OFFSET($AI$98,0,0,INDEX(ROW(AI103)-ROW($AI$98)+1,1)-1,1))))</f>
        <v>18</v>
      </c>
      <c r="AK103" s="105" t="str">
        <f t="shared" si="5"/>
        <v>WE Error Adjustment (WEEA)</v>
      </c>
      <c r="AL103">
        <f t="shared" si="6"/>
        <v>1</v>
      </c>
      <c r="AM103" s="84">
        <f t="shared" si="7"/>
        <v>1</v>
      </c>
      <c r="AN103" s="84">
        <f t="shared" si="2"/>
        <v>0</v>
      </c>
    </row>
    <row r="104" spans="28:40">
      <c r="AC104" s="271" t="s">
        <v>690</v>
      </c>
      <c r="AD104" s="90">
        <f>IF(Worksheet!F23="n/a",0,Worksheet!F23)</f>
        <v>8</v>
      </c>
      <c r="AE104" s="275">
        <f>IF(Worksheet!H23&gt;0,Worksheet!Y23,0)</f>
        <v>13.937294416692581</v>
      </c>
      <c r="AF104" s="92">
        <f t="shared" ref="AF104:AF117" si="8">AE104/$AE$120</f>
        <v>13.937294416692581</v>
      </c>
      <c r="AG104" s="92">
        <f t="shared" si="3"/>
        <v>1.3937294416692581</v>
      </c>
      <c r="AH104" s="92">
        <f t="shared" ref="AH104:AH117" si="9">AD104*AG104</f>
        <v>11.149835533354064</v>
      </c>
      <c r="AI104" s="93">
        <f t="shared" si="1"/>
        <v>2.7874588833385161</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10</v>
      </c>
      <c r="AE105" s="276">
        <f>IF(Worksheet!H24=0,0,12)</f>
        <v>12</v>
      </c>
      <c r="AF105" s="97">
        <f t="shared" si="8"/>
        <v>12</v>
      </c>
      <c r="AG105" s="97">
        <f t="shared" si="3"/>
        <v>1.2</v>
      </c>
      <c r="AH105" s="44">
        <f t="shared" si="4"/>
        <v>12</v>
      </c>
      <c r="AI105" s="98">
        <f t="shared" si="1"/>
        <v>0</v>
      </c>
      <c r="AJ105" s="99">
        <f t="array" aca="1" ref="AJ105" ca="1">SUM(1*(AI105&lt;$AI$98:$AI$117))+1+IF(ROW(AI105)-ROW($AI$98)=0,0,SUM(1*(AI105=OFFSET($AI$98,0,0,INDEX(ROW(AI105)-ROW($AI$98)+1,1)-1,1))))</f>
        <v>19</v>
      </c>
      <c r="AK105" s="107" t="str">
        <f t="shared" si="5"/>
        <v>Billed Unmetered (BUAC)</v>
      </c>
      <c r="AL105" s="99">
        <f t="shared" si="10"/>
        <v>1</v>
      </c>
      <c r="AM105" s="99">
        <f t="shared" si="7"/>
        <v>1</v>
      </c>
      <c r="AN105" s="99">
        <f t="shared" si="2"/>
        <v>0</v>
      </c>
    </row>
    <row r="106" spans="28:40">
      <c r="AC106" s="272" t="s">
        <v>692</v>
      </c>
      <c r="AD106" s="96">
        <f>IF(Worksheet!F25="n/a",0,Worksheet!F25)</f>
        <v>4</v>
      </c>
      <c r="AE106" s="276">
        <f>IF(Worksheet!H25&gt;0,Worksheet!Y24,0)</f>
        <v>6.2705583307419974E-2</v>
      </c>
      <c r="AF106" s="97">
        <f t="shared" si="8"/>
        <v>6.2705583307419974E-2</v>
      </c>
      <c r="AG106" s="97">
        <f t="shared" si="3"/>
        <v>6.270558330741997E-3</v>
      </c>
      <c r="AH106" s="44">
        <f t="shared" si="4"/>
        <v>2.5082233322967988E-2</v>
      </c>
      <c r="AI106" s="98">
        <f t="shared" si="1"/>
        <v>3.7623349984451986E-2</v>
      </c>
      <c r="AJ106" s="99">
        <f t="array" aca="1" ref="AJ106" ca="1">SUM(1*(AI106&lt;$AI$98:$AI$117))+1+IF(ROW(AI106)-ROW($AI$98)=0,0,SUM(1*(AI106=OFFSET($AI$98,0,0,INDEX(ROW(AI106)-ROW($AI$98)+1,1)-1,1))))</f>
        <v>15</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6</v>
      </c>
      <c r="AE107" s="86">
        <v>2</v>
      </c>
      <c r="AF107" s="87">
        <f t="shared" si="8"/>
        <v>2</v>
      </c>
      <c r="AG107" s="87">
        <f t="shared" si="3"/>
        <v>0.2</v>
      </c>
      <c r="AH107" s="87">
        <f t="shared" si="9"/>
        <v>1.2000000000000002</v>
      </c>
      <c r="AI107" s="88">
        <f t="shared" si="1"/>
        <v>0.79999999999999982</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3.5</v>
      </c>
      <c r="AG108" s="87">
        <f t="shared" si="3"/>
        <v>0.35</v>
      </c>
      <c r="AH108" s="87">
        <f t="shared" si="9"/>
        <v>1.0499999999999998</v>
      </c>
      <c r="AI108" s="88">
        <f t="shared" si="1"/>
        <v>2.4500000000000002</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6</v>
      </c>
      <c r="AG109" s="92">
        <f t="shared" si="3"/>
        <v>0.6</v>
      </c>
      <c r="AH109" s="92">
        <f t="shared" si="9"/>
        <v>3.5999999999999996</v>
      </c>
      <c r="AI109" s="93">
        <f t="shared" si="1"/>
        <v>2.4000000000000004</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3.5</v>
      </c>
      <c r="AG110" s="87">
        <f t="shared" si="3"/>
        <v>0.35</v>
      </c>
      <c r="AH110" s="87">
        <f t="shared" si="9"/>
        <v>1.0499999999999998</v>
      </c>
      <c r="AI110" s="88">
        <f t="shared" si="1"/>
        <v>2.4500000000000002</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5</v>
      </c>
      <c r="AG111" s="87">
        <f t="shared" si="3"/>
        <v>0.5</v>
      </c>
      <c r="AH111" s="87">
        <f t="shared" si="9"/>
        <v>3.5</v>
      </c>
      <c r="AI111" s="88">
        <f t="shared" si="1"/>
        <v>1.5</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5</v>
      </c>
      <c r="AG112" s="87">
        <f t="shared" si="3"/>
        <v>0.5</v>
      </c>
      <c r="AH112" s="87">
        <f t="shared" si="9"/>
        <v>2.5</v>
      </c>
      <c r="AI112" s="88">
        <f t="shared" si="1"/>
        <v>2.5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v>
      </c>
      <c r="AG113" s="87">
        <f t="shared" si="3"/>
        <v>0.2</v>
      </c>
      <c r="AH113" s="87">
        <f t="shared" si="9"/>
        <v>0.2</v>
      </c>
      <c r="AI113" s="88">
        <f t="shared" si="1"/>
        <v>1.8</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v>
      </c>
      <c r="AG114" s="87">
        <f t="shared" si="3"/>
        <v>0.2</v>
      </c>
      <c r="AH114" s="87">
        <f t="shared" si="9"/>
        <v>1.4000000000000001</v>
      </c>
      <c r="AI114" s="88">
        <f t="shared" si="1"/>
        <v>0.59999999999999987</v>
      </c>
      <c r="AJ114" s="89">
        <f t="array" aca="1" ref="AJ114" ca="1">SUM(1*(AI114&lt;$AI$98:$AI$117))+1+IF(ROW(AI114)-ROW($AI$98)=0,0,SUM(1*(AI114=OFFSET($AI$98,0,0,INDEX(ROW(AI114)-ROW($AI$98)+1,1)-1,1))))</f>
        <v>12</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5</v>
      </c>
      <c r="AG116" s="87">
        <f t="shared" si="3"/>
        <v>0.5</v>
      </c>
      <c r="AH116" s="87">
        <f t="shared" si="9"/>
        <v>2.5</v>
      </c>
      <c r="AI116" s="88">
        <f t="shared" si="1"/>
        <v>2.5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5</v>
      </c>
      <c r="AG117" s="87">
        <f t="shared" si="3"/>
        <v>0.5</v>
      </c>
      <c r="AH117" s="87">
        <f t="shared" si="9"/>
        <v>4.5</v>
      </c>
      <c r="AI117" s="88">
        <f t="shared" si="1"/>
        <v>0.5</v>
      </c>
      <c r="AJ117" s="89">
        <f t="array" aca="1" ref="AJ117" ca="1">SUM(1*(AI117&lt;$AI$98:$AI$117))+1+IF(ROW(AI117)-ROW($AI$98)=0,0,SUM(1*(AI117=OFFSET($AI$98,0,0,INDEX(ROW(AI117)-ROW($AI$98)+1,1)-1,1))))</f>
        <v>13</v>
      </c>
      <c r="AK117" s="108" t="str">
        <f t="shared" si="5"/>
        <v>Variable Production Cost (VPC)</v>
      </c>
      <c r="AL117" s="89">
        <f t="shared" si="10"/>
        <v>1</v>
      </c>
      <c r="AM117" s="89">
        <f t="shared" si="7"/>
        <v>1</v>
      </c>
      <c r="AN117" s="89">
        <f t="shared" si="2"/>
        <v>0</v>
      </c>
    </row>
    <row r="118" spans="29:40">
      <c r="AE118" s="100">
        <f>SUM(AE98:AE117)</f>
        <v>100</v>
      </c>
      <c r="AF118" s="43">
        <f>SUM(AF98:AF117)</f>
        <v>100</v>
      </c>
      <c r="AG118" s="43">
        <f>SUM(AG98:AG117)</f>
        <v>9.9999999999999982</v>
      </c>
      <c r="AH118" s="116">
        <f>SUM(AH98:AH117)</f>
        <v>65.537662864716253</v>
      </c>
      <c r="AN118" s="49">
        <f>SUM(AN98:AN117)</f>
        <v>0</v>
      </c>
    </row>
    <row r="119" spans="29:40">
      <c r="AE119" s="43">
        <f>SUM(AE104:AE117)</f>
        <v>65</v>
      </c>
      <c r="AK119" s="109"/>
      <c r="AN119" s="48"/>
    </row>
    <row r="120" spans="29:40">
      <c r="AE120" s="42">
        <f>AE119/(100-AE121)</f>
        <v>1</v>
      </c>
    </row>
    <row r="121" spans="29:40">
      <c r="AD121" s="101" t="s">
        <v>135</v>
      </c>
      <c r="AE121" s="102">
        <v>35</v>
      </c>
      <c r="AM121">
        <f>IF(SUM(Worksheet!W26,Worksheet!W43)=2,2,IF(SUM(Worksheet!W26,Worksheet!W43)=3,1,0))</f>
        <v>1</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1" zoomScale="115" zoomScaleNormal="115" zoomScaleSheetLayoutView="100" workbookViewId="0">
      <selection activeCell="BD10" sqref="BD10"/>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BD10" sqref="BD10"/>
      <selection pane="bottomLeft" activeCell="BD10" sqref="BD10"/>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 activePane="bottomLeft" state="frozen"/>
      <selection activeCell="BD10" sqref="BD10"/>
      <selection pane="bottomLeft" activeCell="BD10" sqref="BD10"/>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2023-03-23T19:20:03Z</cp:lastPrinted>
  <dcterms:created xsi:type="dcterms:W3CDTF">2004-11-04T17:59:53Z</dcterms:created>
  <dcterms:modified xsi:type="dcterms:W3CDTF">2025-04-29T21:35:33Z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